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FB84" lockStructure="1"/>
  <bookViews>
    <workbookView xWindow="7665" yWindow="-15" windowWidth="7710" windowHeight="7800" tabRatio="662"/>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 &amp;13" sheetId="335" r:id="rId31"/>
    <sheet name="SA14" sheetId="337" r:id="rId32"/>
    <sheet name="SA15" sheetId="142" r:id="rId33"/>
    <sheet name="SA16" sheetId="143" r:id="rId34"/>
    <sheet name="SA17" sheetId="144" r:id="rId35"/>
    <sheet name="SA18" sheetId="136" r:id="rId36"/>
    <sheet name="SA19" sheetId="249" r:id="rId37"/>
    <sheet name="SA20" sheetId="316" r:id="rId38"/>
    <sheet name="SA21" sheetId="305" r:id="rId39"/>
    <sheet name="SA22" sheetId="146" r:id="rId40"/>
    <sheet name="SA23" sheetId="145" r:id="rId41"/>
    <sheet name="SA24" sheetId="148" r:id="rId42"/>
    <sheet name="SA25" sheetId="137" r:id="rId43"/>
    <sheet name="SA26" sheetId="299" r:id="rId44"/>
    <sheet name="SA27" sheetId="298" r:id="rId45"/>
    <sheet name="SA28" sheetId="140" r:id="rId46"/>
    <sheet name="SA29" sheetId="300" r:id="rId47"/>
    <sheet name="SA30" sheetId="95" r:id="rId48"/>
    <sheet name="SA31" sheetId="301" r:id="rId49"/>
    <sheet name="SA32" sheetId="250" r:id="rId50"/>
    <sheet name="SA33" sheetId="139" r:id="rId51"/>
    <sheet name="SA34a" sheetId="134" r:id="rId52"/>
    <sheet name="SA34b" sheetId="350" r:id="rId53"/>
    <sheet name="SA34c" sheetId="349" r:id="rId54"/>
    <sheet name="SA35" sheetId="294" r:id="rId55"/>
    <sheet name="SA36" sheetId="256" r:id="rId56"/>
    <sheet name="SA37" sheetId="296" r:id="rId57"/>
    <sheet name="NERF" sheetId="338" state="hidden" r:id="rId58"/>
    <sheet name="MSCOA" sheetId="339" state="hidden" r:id="rId59"/>
    <sheet name="Compliance assessment" sheetId="348" state="hidden" r:id="rId60"/>
    <sheet name="Sheet1" sheetId="356" r:id="rId61"/>
  </sheets>
  <externalReferences>
    <externalReference r:id="rId62"/>
    <externalReference r:id="rId63"/>
    <externalReference r:id="rId64"/>
    <externalReference r:id="rId65"/>
    <externalReference r:id="rId66"/>
    <externalReference r:id="rId67"/>
  </externalReferences>
  <definedNames>
    <definedName name="_ADJ1">'Template names'!#REF!</definedName>
    <definedName name="_ADJ10">'Template names'!#REF!</definedName>
    <definedName name="_ADJ11">'Template names'!#REF!</definedName>
    <definedName name="_ADJ12">'Template names'!#REF!</definedName>
    <definedName name="_ADJ13">'Template names'!#REF!</definedName>
    <definedName name="_ADJ14">'Template names'!#REF!</definedName>
    <definedName name="_ADJ16">'Template names'!#REF!</definedName>
    <definedName name="_ADJ17">'Template names'!#REF!</definedName>
    <definedName name="_ADJ18">'Template names'!#REF!</definedName>
    <definedName name="_ADJ19">'Template names'!#REF!</definedName>
    <definedName name="_ADJ2">'Template names'!#REF!</definedName>
    <definedName name="_ADJ3">'Template names'!#REF!</definedName>
    <definedName name="_ADJ4">'Template names'!#REF!</definedName>
    <definedName name="_ADJ5">'Template names'!#REF!</definedName>
    <definedName name="_ADJ6">'Template names'!#REF!</definedName>
    <definedName name="_ADJ7">'Template names'!#REF!</definedName>
    <definedName name="_ADJ8">'Template names'!#REF!</definedName>
    <definedName name="_ADJ9">'Template names'!#REF!</definedName>
    <definedName name="_ccf04">#REF!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inf1">#REF!</definedName>
    <definedName name="_inf2">#REF!</definedName>
    <definedName name="_inf3">#REF!</definedName>
    <definedName name="_int04">#REF!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'Template names'!#REF!</definedName>
    <definedName name="_MEB10">'Template names'!#REF!</definedName>
    <definedName name="_MEB11">'Template names'!#REF!</definedName>
    <definedName name="_MEB12">'Template names'!#REF!</definedName>
    <definedName name="_MEB2">'Template names'!#REF!</definedName>
    <definedName name="_MEB3">'Template names'!#REF!</definedName>
    <definedName name="_MEB4">'Template names'!#REF!</definedName>
    <definedName name="_MEB5">'Template names'!#REF!</definedName>
    <definedName name="_MEB6">'Template names'!#REF!</definedName>
    <definedName name="_MEB7">'Template names'!#REF!</definedName>
    <definedName name="_MEB8">'Template names'!#REF!</definedName>
    <definedName name="_MEB9">'Template names'!#REF!</definedName>
    <definedName name="_MER1">'Template names'!#REF!</definedName>
    <definedName name="_MER10">'Template names'!#REF!</definedName>
    <definedName name="_MER11">'Template names'!#REF!</definedName>
    <definedName name="_MER2">'Template names'!#REF!</definedName>
    <definedName name="_MER3">'Template names'!#REF!</definedName>
    <definedName name="_MER4">'Template names'!#REF!</definedName>
    <definedName name="_MER5">'Template names'!#REF!</definedName>
    <definedName name="_MER6">'Template names'!#REF!</definedName>
    <definedName name="_MER7">'Template names'!#REF!</definedName>
    <definedName name="_MER8">'Template names'!#REF!</definedName>
    <definedName name="_MER9">'Template names'!#REF!</definedName>
    <definedName name="_rat03">#REF!</definedName>
    <definedName name="_rat04">#REF!</definedName>
    <definedName name="_rat05">#REF!</definedName>
    <definedName name="_rat06">#REF!</definedName>
    <definedName name="_rat07">#REF!</definedName>
    <definedName name="_rat08">#REF!</definedName>
    <definedName name="_rat09">#REF!</definedName>
    <definedName name="_rat10">#REF!</definedName>
    <definedName name="_rat11">#REF!</definedName>
    <definedName name="_rat12">#REF!</definedName>
    <definedName name="_rat13">#REF!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'Template names'!#REF!</definedName>
    <definedName name="ADJ18A">'Template names'!#REF!</definedName>
    <definedName name="ADJ18B">'Template names'!#REF!</definedName>
    <definedName name="ADJ19B">'Template names'!#REF!</definedName>
    <definedName name="ADJ8A">'Template names'!#REF!</definedName>
    <definedName name="ADJ8B">'Template names'!#REF!</definedName>
    <definedName name="ADJP1">'Template names'!#REF!</definedName>
    <definedName name="adjsum">'Template names'!#REF!</definedName>
    <definedName name="ADJTB1">'Template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#REF!</definedName>
    <definedName name="basedesc">'Template names'!$D$39:$D$39</definedName>
    <definedName name="baseindex">'Template names'!$B$88:$B$89</definedName>
    <definedName name="Bus">#REF!</definedName>
    <definedName name="capexfactor">#REF!</definedName>
    <definedName name="capexlimit06">#REF!</definedName>
    <definedName name="capexlimit07">#REF!</definedName>
    <definedName name="capexlimit08">#REF!</definedName>
    <definedName name="capexlimit09">#REF!</definedName>
    <definedName name="capexrate04">#REF!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names'!$B$151</definedName>
    <definedName name="ChartA10">'Template names'!$B$160</definedName>
    <definedName name="ChartA11">'Template names'!$B$161</definedName>
    <definedName name="ChartA12">'Template names'!$B$162</definedName>
    <definedName name="ChartA13">'Template names'!$B$163</definedName>
    <definedName name="ChartA2">'Template names'!$B$152</definedName>
    <definedName name="ChartA3">'Template names'!$B$153</definedName>
    <definedName name="ChartA4">'Template names'!$B$154</definedName>
    <definedName name="ChartA5">'Template names'!$B$155</definedName>
    <definedName name="ChartA6">'Template names'!$B$156</definedName>
    <definedName name="ChartA7">'Template names'!$B$157</definedName>
    <definedName name="ChartA8">'Template names'!$B$158</definedName>
    <definedName name="ChartA9">'Template names'!$B$159</definedName>
    <definedName name="choosebase">'Template names'!$B$89:$B$90</definedName>
    <definedName name="Consolques">'Template names'!$A$95</definedName>
    <definedName name="cpix04">#REF!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#REF!</definedName>
    <definedName name="date">[2]Data!$B$2</definedName>
    <definedName name="debt03">#REF!</definedName>
    <definedName name="debt04">#REF!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#REF!</definedName>
    <definedName name="Example_1___Vote1">'Org structure'!$A$2:$A$16</definedName>
    <definedName name="FinYear">Instructions!$X$36</definedName>
    <definedName name="finyears">#REF!</definedName>
    <definedName name="GrantNatCapex">'Lookup and lists'!$AB$2:$AB$6</definedName>
    <definedName name="GrantNatOpex">'Lookup and lists'!$Z$2:$Z$8</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#REF!</definedName>
    <definedName name="infra">#REF!</definedName>
    <definedName name="Infrarenewal">#REF!</definedName>
    <definedName name="infrastratnum">#REF!</definedName>
    <definedName name="Instructions">#REF!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#REF!</definedName>
    <definedName name="MEAB1">'Template names'!#REF!</definedName>
    <definedName name="MEAB10">'Template names'!#REF!</definedName>
    <definedName name="MEAB11">'Template names'!#REF!</definedName>
    <definedName name="MEAB2">'Template names'!#REF!</definedName>
    <definedName name="MEAB3">'Template names'!#REF!</definedName>
    <definedName name="MEAB4">'Template names'!#REF!</definedName>
    <definedName name="MEAB5">'Template names'!#REF!</definedName>
    <definedName name="MEAB6">'Template names'!#REF!</definedName>
    <definedName name="MEAB7">'Template names'!#REF!</definedName>
    <definedName name="MEAB8">'Template names'!#REF!</definedName>
    <definedName name="MEAB9">'Template names'!#REF!</definedName>
    <definedName name="MEABsum">'Template names'!#REF!</definedName>
    <definedName name="MEB1A">'Template names'!#REF!</definedName>
    <definedName name="MEBsum">'Template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#REF!</definedName>
    <definedName name="nersa0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structure'!$B$2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57">NERF!$A$1:$M$68</definedName>
    <definedName name="_xlnm.Print_Area" localSheetId="19">'SA1'!$A$1:$L$153</definedName>
    <definedName name="_xlnm.Print_Area" localSheetId="28">'SA10'!$A$1:$M$34</definedName>
    <definedName name="_xlnm.Print_Area" localSheetId="29">'SA11'!$A$1:$K$73</definedName>
    <definedName name="_xlnm.Print_Area" localSheetId="30">'SA12 &amp;13'!$A$1:$R$110</definedName>
    <definedName name="_xlnm.Print_Area" localSheetId="31">'SA14'!$A$1:$L$53</definedName>
    <definedName name="_xlnm.Print_Area" localSheetId="32">'SA15'!$A$1:$K$35</definedName>
    <definedName name="_xlnm.Print_Area" localSheetId="33">'SA16'!$A$1:$G$28</definedName>
    <definedName name="_xlnm.Print_Area" localSheetId="34">'SA17'!$A$1:$K$37</definedName>
    <definedName name="_xlnm.Print_Area" localSheetId="35">'SA18'!$A$1:$K$53</definedName>
    <definedName name="_xlnm.Print_Area" localSheetId="36">'SA19'!$A$1:$K$49</definedName>
    <definedName name="_xlnm.Print_Area" localSheetId="20">'SA2'!$A$1:$R$44</definedName>
    <definedName name="_xlnm.Print_Area" localSheetId="37">'SA20'!$A$1:$K$58</definedName>
    <definedName name="_xlnm.Print_Area" localSheetId="38">'SA21'!$A$1:$K$34</definedName>
    <definedName name="_xlnm.Print_Area" localSheetId="39">'SA22'!$A$1:$K$104</definedName>
    <definedName name="_xlnm.Print_Area" localSheetId="40">'SA23'!$A$1:$I$70</definedName>
    <definedName name="_xlnm.Print_Area" localSheetId="41">'SA24'!$A$1:$K$51</definedName>
    <definedName name="_xlnm.Print_Area" localSheetId="42">'SA25'!$A$1:$Q$48</definedName>
    <definedName name="_xlnm.Print_Area" localSheetId="43">'SA26'!$A$1:$Q$47</definedName>
    <definedName name="_xlnm.Print_Area" localSheetId="44">'SA27'!$A$1:$Q$55</definedName>
    <definedName name="_xlnm.Print_Area" localSheetId="45">'SA28'!$A$1:$Q$44</definedName>
    <definedName name="_xlnm.Print_Area" localSheetId="46">'SA29'!$A$1:$Q$28</definedName>
    <definedName name="_xlnm.Print_Area" localSheetId="21">'SA3'!$A$1:$L$78</definedName>
    <definedName name="_xlnm.Print_Area" localSheetId="47">'SA30'!$A$1:$P$57</definedName>
    <definedName name="_xlnm.Print_Area" localSheetId="48">'SA31'!$A$1:$K$42</definedName>
    <definedName name="_xlnm.Print_Area" localSheetId="49">'SA32'!$A$1:$F$27</definedName>
    <definedName name="_xlnm.Print_Area" localSheetId="50">'SA33'!$A$1:$O$47</definedName>
    <definedName name="_xlnm.Print_Area" localSheetId="51">SA34a!$A$1:$K$90</definedName>
    <definedName name="_xlnm.Print_Area" localSheetId="54">'SA35'!$A$1:$I$58</definedName>
    <definedName name="_xlnm.Print_Area" localSheetId="55">'SA36'!$A$1:$O$41</definedName>
    <definedName name="_xlnm.Print_Area" localSheetId="56">'SA37'!$A$1:$K$27</definedName>
    <definedName name="_xlnm.Print_Area" localSheetId="22">'SA4'!$A$1:$L$31</definedName>
    <definedName name="_xlnm.Print_Area" localSheetId="23">'SA5'!$A$1:$L$25</definedName>
    <definedName name="_xlnm.Print_Area" localSheetId="24">'SA6'!$A$1:$M$27</definedName>
    <definedName name="_xlnm.Print_Area" localSheetId="25">'SA7'!$A$1:$K$89</definedName>
    <definedName name="_xlnm.Print_Area" localSheetId="26">'SA8'!$A$1:$L$37</definedName>
    <definedName name="_xlnm.Print_Area" localSheetId="27">'SA9'!$A$1:$L$57</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#REF!</definedName>
    <definedName name="RandM">'Template names'!$B$70</definedName>
    <definedName name="REDHHGR06">#REF!</definedName>
    <definedName name="redhhgr07">#REF!</definedName>
    <definedName name="redrev06">#REF!</definedName>
    <definedName name="redrev07">#REF!</definedName>
    <definedName name="Reds">#REF!</definedName>
    <definedName name="renewyears">#REF!</definedName>
    <definedName name="Request0506">#REF!</definedName>
    <definedName name="resiprop">#REF!</definedName>
    <definedName name="result">'Template names'!$B$35</definedName>
    <definedName name="rmcRED06">#REF!</definedName>
    <definedName name="rmcred07">#REF!</definedName>
    <definedName name="roundfactor">#REF!</definedName>
    <definedName name="S71A">'Template names'!#REF!</definedName>
    <definedName name="S71B">'Template names'!#REF!</definedName>
    <definedName name="s71B8">'Template names'!#REF!</definedName>
    <definedName name="s71B9">'Template names'!#REF!</definedName>
    <definedName name="S71C">'Template names'!#REF!</definedName>
    <definedName name="S71D">'Template names'!#REF!</definedName>
    <definedName name="S71E">'Template names'!#REF!</definedName>
    <definedName name="S71F">'Template names'!#REF!</definedName>
    <definedName name="S71G">'Template names'!#REF!</definedName>
    <definedName name="S71H">'Template names'!#REF!</definedName>
    <definedName name="S71I">'Template names'!#REF!</definedName>
    <definedName name="S71J">'Template names'!#REF!</definedName>
    <definedName name="S71K">'Template names'!#REF!</definedName>
    <definedName name="S71L">'Template names'!#REF!</definedName>
    <definedName name="S71M">'Template names'!#REF!</definedName>
    <definedName name="S71N">'Template names'!#REF!</definedName>
    <definedName name="S71O">'Template names'!#REF!</definedName>
    <definedName name="S71P">'Template names'!#REF!</definedName>
    <definedName name="S71Q">'Template names'!#REF!</definedName>
    <definedName name="S71SDBIP">'Template names'!#REF!</definedName>
    <definedName name="s71sum">'Template names'!#REF!</definedName>
    <definedName name="Scale">'Compliance assessment'!$L$77</definedName>
    <definedName name="scenario">#REF!</definedName>
    <definedName name="SDBIP1">'Template names'!#REF!</definedName>
    <definedName name="SDBIP10">'Template names'!#REF!</definedName>
    <definedName name="SDBIP2">'Template names'!#REF!</definedName>
    <definedName name="SDBIP3">'Template names'!#REF!</definedName>
    <definedName name="SDBIP4">'Template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'Template names'!#REF!</definedName>
    <definedName name="TabC4">'Template names'!#REF!</definedName>
    <definedName name="TabC5">'Template names'!#REF!</definedName>
    <definedName name="TabC6">'Template names'!#REF!</definedName>
    <definedName name="Tabc7">'Template names'!#REF!</definedName>
    <definedName name="Tabc8">'Template names'!#REF!</definedName>
    <definedName name="Tabc9">'Template names'!#REF!</definedName>
    <definedName name="Tablc8">'Template names'!#REF!</definedName>
    <definedName name="TableA1">'Template names'!$B$111</definedName>
    <definedName name="TableA10">'Template names'!$B$120</definedName>
    <definedName name="TableA11">'Template names'!$B$121</definedName>
    <definedName name="TableA12">'Template names'!$B$122</definedName>
    <definedName name="TableA13">'Template names'!$B$123</definedName>
    <definedName name="TableA14">'Template names'!$B$124</definedName>
    <definedName name="TableA15">'Template names'!$B$125</definedName>
    <definedName name="TableA16">'Template names'!$B$126</definedName>
    <definedName name="TableA17">'Template names'!$B$127</definedName>
    <definedName name="TableA18">'Template names'!$B$128</definedName>
    <definedName name="TableA19">'Template names'!$B$129</definedName>
    <definedName name="TableA2">'Template names'!$B$112</definedName>
    <definedName name="TableA20">'Template names'!$B$130</definedName>
    <definedName name="TableA21">'Template names'!$B$131</definedName>
    <definedName name="TableA22">'Template names'!$B$132</definedName>
    <definedName name="TableA23">'Template names'!$B$133</definedName>
    <definedName name="TableA24">'Template names'!$B$134</definedName>
    <definedName name="TableA25">'Template names'!$B$135</definedName>
    <definedName name="TableA26">'Template names'!$B$136</definedName>
    <definedName name="TableA27">'Template names'!$B$137</definedName>
    <definedName name="TableA28">'Template names'!$B$138</definedName>
    <definedName name="TableA29">'Template names'!$B$139</definedName>
    <definedName name="TableA3">'Template names'!$B$113</definedName>
    <definedName name="TableA30">'Template names'!$B$140</definedName>
    <definedName name="TableA31">'Template names'!$B$141</definedName>
    <definedName name="TableA32">'Template names'!$B$142</definedName>
    <definedName name="TableA33">'Template names'!$B$143</definedName>
    <definedName name="TableA34a">'Template names'!$B$144</definedName>
    <definedName name="TableA34b">'Template names'!$B$145</definedName>
    <definedName name="TableA34c">'Template names'!$B$146</definedName>
    <definedName name="TableA35">'Template names'!$B$147</definedName>
    <definedName name="TableA36">'Template names'!$B$148</definedName>
    <definedName name="TableA37">'Template names'!$B$149</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'Template names'!#REF!</definedName>
    <definedName name="TableD8">'Template names'!#REF!</definedName>
    <definedName name="TableE4">'Template names'!#REF!</definedName>
    <definedName name="TableE7">'Template names'!#REF!</definedName>
    <definedName name="TableE9">'Template names'!#REF!</definedName>
    <definedName name="TableF6">'Template names'!#REF!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structure'!$B$3:$B$12</definedName>
    <definedName name="Vote10">'Org structure'!$B$74:$B$83</definedName>
    <definedName name="Vote11">'Org structure'!$B$85:$B$94</definedName>
    <definedName name="Vote12">'Org structure'!#REF!</definedName>
    <definedName name="Vote13">'Org structure'!#REF!</definedName>
    <definedName name="Vote14">'Org structure'!#REF!</definedName>
    <definedName name="Vote15">'Org structure'!#REF!</definedName>
    <definedName name="Vote2">'Org structure'!$B$14:$B$23</definedName>
    <definedName name="Vote3">'Org structure'!$B$25:$B$34</definedName>
    <definedName name="Vote4">'Org structure'!$B$36:$B$39</definedName>
    <definedName name="Vote5">'Org structure'!#REF!</definedName>
    <definedName name="Vote6">'Org structure'!#REF!</definedName>
    <definedName name="Vote7">'Org structure'!$B$40:$B$49</definedName>
    <definedName name="Vote8">'Org structure'!$B$51:$B$61</definedName>
    <definedName name="Vote9">'Org structure'!$B$63:$B$72</definedName>
    <definedName name="yrend">[2]Data!$B$3</definedName>
  </definedNames>
  <calcPr calcId="144525"/>
  <fileRecoveryPr autoRecover="0"/>
</workbook>
</file>

<file path=xl/calcChain.xml><?xml version="1.0" encoding="utf-8"?>
<calcChain xmlns="http://schemas.openxmlformats.org/spreadsheetml/2006/main">
  <c r="J6" i="131" l="1"/>
  <c r="C49" i="342"/>
  <c r="D49" i="342"/>
  <c r="E49" i="342"/>
  <c r="F49" i="342"/>
  <c r="G49" i="342"/>
  <c r="H49" i="342"/>
  <c r="I49" i="342"/>
  <c r="J49" i="342"/>
  <c r="K49" i="342"/>
  <c r="E34" i="246"/>
  <c r="D34" i="246"/>
  <c r="E19" i="246"/>
  <c r="F19" i="246"/>
  <c r="F35" i="128"/>
  <c r="F23" i="128"/>
  <c r="E23" i="128"/>
  <c r="K12" i="316"/>
  <c r="J12" i="316"/>
  <c r="I12" i="316"/>
  <c r="K7" i="316"/>
  <c r="J7" i="316"/>
  <c r="I7" i="316"/>
  <c r="K18" i="314" l="1"/>
  <c r="I12" i="134"/>
  <c r="D124" i="255"/>
  <c r="D34" i="255"/>
  <c r="D134" i="351"/>
  <c r="D6" i="351"/>
  <c r="L34" i="255" l="1"/>
  <c r="K34" i="255"/>
  <c r="J34" i="255"/>
  <c r="K17" i="249"/>
  <c r="J17" i="249"/>
  <c r="I17" i="249"/>
  <c r="K14" i="249"/>
  <c r="J14" i="249"/>
  <c r="I14" i="249"/>
  <c r="K17" i="136"/>
  <c r="J17" i="136"/>
  <c r="K14" i="136"/>
  <c r="J14" i="136"/>
  <c r="I14" i="136"/>
  <c r="I17" i="136"/>
  <c r="J19" i="141"/>
  <c r="L19" i="141"/>
  <c r="K19" i="141"/>
  <c r="L17" i="315"/>
  <c r="K17" i="315"/>
  <c r="J17" i="315"/>
  <c r="I105" i="351"/>
  <c r="K78" i="351"/>
  <c r="J78" i="351"/>
  <c r="I78" i="351"/>
  <c r="I25" i="351"/>
  <c r="K9" i="351"/>
  <c r="J9" i="351"/>
  <c r="I9" i="351"/>
  <c r="K187" i="342"/>
  <c r="J187" i="342"/>
  <c r="I187" i="342"/>
  <c r="I197" i="342"/>
  <c r="I29" i="342"/>
  <c r="K19" i="342"/>
  <c r="J19" i="342"/>
  <c r="I19" i="342"/>
  <c r="L124" i="255"/>
  <c r="K124" i="255"/>
  <c r="J124" i="255"/>
  <c r="J45" i="126" l="1"/>
  <c r="L18" i="314"/>
  <c r="M18" i="314"/>
  <c r="L18" i="315"/>
  <c r="K18" i="315"/>
  <c r="J18" i="315"/>
  <c r="I11" i="141"/>
  <c r="H11" i="141"/>
  <c r="G11" i="141"/>
  <c r="L20" i="141"/>
  <c r="K20" i="141"/>
  <c r="J20" i="141"/>
  <c r="G16" i="315"/>
  <c r="F201" i="342"/>
  <c r="F33" i="342"/>
  <c r="F34" i="255"/>
  <c r="F27" i="255"/>
  <c r="F22" i="255"/>
  <c r="F12" i="255"/>
  <c r="F111" i="255"/>
  <c r="H124" i="255"/>
  <c r="I124" i="255"/>
  <c r="G124" i="255"/>
  <c r="H34" i="255"/>
  <c r="I34" i="255"/>
  <c r="G34" i="255"/>
  <c r="L48" i="126"/>
  <c r="K48" i="126"/>
  <c r="J48" i="126"/>
  <c r="I17" i="134"/>
  <c r="J8" i="350"/>
  <c r="J41" i="134"/>
  <c r="I41" i="134"/>
  <c r="D10" i="145"/>
  <c r="K6" i="146"/>
  <c r="J6" i="146"/>
  <c r="I6" i="146"/>
  <c r="F12" i="128"/>
  <c r="E12" i="128"/>
  <c r="D12" i="128"/>
  <c r="I63" i="350" l="1"/>
  <c r="J62" i="126"/>
  <c r="K22" i="314" l="1"/>
  <c r="L21" i="314"/>
  <c r="K21" i="314"/>
  <c r="K31" i="131"/>
  <c r="L31" i="131" s="1"/>
  <c r="J19" i="148" l="1"/>
  <c r="I19" i="148"/>
  <c r="L45" i="95"/>
  <c r="K45" i="95"/>
  <c r="J45" i="95"/>
  <c r="I45" i="95"/>
  <c r="H45" i="95"/>
  <c r="G45" i="95"/>
  <c r="F45" i="95"/>
  <c r="E45" i="95"/>
  <c r="D45" i="95"/>
  <c r="C45" i="95"/>
  <c r="B45" i="95"/>
  <c r="L44" i="95"/>
  <c r="K44" i="95"/>
  <c r="J44" i="95"/>
  <c r="I44" i="95"/>
  <c r="H44" i="95"/>
  <c r="G44" i="95"/>
  <c r="F44" i="95"/>
  <c r="E44" i="95"/>
  <c r="D44" i="95"/>
  <c r="C44" i="95"/>
  <c r="B44" i="95"/>
  <c r="L43" i="95"/>
  <c r="K43" i="95"/>
  <c r="J43" i="95"/>
  <c r="I43" i="95"/>
  <c r="H43" i="95"/>
  <c r="G43" i="95"/>
  <c r="F43" i="95"/>
  <c r="E43" i="95"/>
  <c r="D43" i="95"/>
  <c r="C43" i="95"/>
  <c r="B43" i="95"/>
  <c r="L42" i="95"/>
  <c r="K42" i="95"/>
  <c r="J42" i="95"/>
  <c r="I42" i="95"/>
  <c r="H42" i="95"/>
  <c r="G42" i="95"/>
  <c r="F42" i="95"/>
  <c r="E42" i="95"/>
  <c r="D42" i="95"/>
  <c r="C42" i="95"/>
  <c r="B42" i="95"/>
  <c r="L41" i="95"/>
  <c r="K41" i="95"/>
  <c r="J41" i="95"/>
  <c r="I41" i="95"/>
  <c r="H41" i="95"/>
  <c r="G41" i="95"/>
  <c r="F41" i="95"/>
  <c r="E41" i="95"/>
  <c r="D41" i="95"/>
  <c r="C41" i="95"/>
  <c r="B41" i="95"/>
  <c r="L40" i="95"/>
  <c r="K40" i="95"/>
  <c r="J40" i="95"/>
  <c r="I40" i="95"/>
  <c r="H40" i="95"/>
  <c r="G40" i="95"/>
  <c r="F40" i="95"/>
  <c r="E40" i="95"/>
  <c r="D40" i="95"/>
  <c r="C40" i="95"/>
  <c r="B40" i="95"/>
  <c r="L39" i="95"/>
  <c r="K39" i="95"/>
  <c r="J39" i="95"/>
  <c r="I39" i="95"/>
  <c r="H39" i="95"/>
  <c r="G39" i="95"/>
  <c r="F39" i="95"/>
  <c r="E39" i="95"/>
  <c r="D39" i="95"/>
  <c r="C39" i="95"/>
  <c r="B39" i="95"/>
  <c r="L38" i="95"/>
  <c r="K38" i="95"/>
  <c r="J38" i="95"/>
  <c r="I38" i="95"/>
  <c r="H38" i="95"/>
  <c r="G38" i="95"/>
  <c r="F38" i="95"/>
  <c r="E38" i="95"/>
  <c r="D38" i="95"/>
  <c r="C38" i="95"/>
  <c r="B38" i="95"/>
  <c r="L37" i="95"/>
  <c r="K37" i="95"/>
  <c r="J37" i="95"/>
  <c r="I37" i="95"/>
  <c r="H37" i="95"/>
  <c r="G37" i="95"/>
  <c r="F37" i="95"/>
  <c r="E37" i="95"/>
  <c r="D37" i="95"/>
  <c r="C37" i="95"/>
  <c r="B37" i="95"/>
  <c r="L36" i="95"/>
  <c r="K36" i="95"/>
  <c r="J36" i="95"/>
  <c r="I36" i="95"/>
  <c r="H36" i="95"/>
  <c r="G36" i="95"/>
  <c r="F36" i="95"/>
  <c r="E36" i="95"/>
  <c r="D36" i="95"/>
  <c r="C36" i="95"/>
  <c r="B36" i="95"/>
  <c r="B6" i="95"/>
  <c r="C6" i="95"/>
  <c r="D6" i="95"/>
  <c r="E6" i="95"/>
  <c r="F6" i="95"/>
  <c r="G6" i="95"/>
  <c r="H6" i="95"/>
  <c r="I6" i="95"/>
  <c r="J6" i="95"/>
  <c r="K6" i="95"/>
  <c r="L6" i="95"/>
  <c r="B7" i="95"/>
  <c r="C7" i="95"/>
  <c r="D7" i="95"/>
  <c r="E7" i="95"/>
  <c r="F7" i="95"/>
  <c r="G7" i="95"/>
  <c r="H7" i="95"/>
  <c r="I7" i="95"/>
  <c r="J7" i="95"/>
  <c r="K7" i="95"/>
  <c r="L7" i="95"/>
  <c r="B8" i="95"/>
  <c r="C8" i="95"/>
  <c r="D8" i="95"/>
  <c r="E8" i="95"/>
  <c r="F8" i="95"/>
  <c r="G8" i="95"/>
  <c r="H8" i="95"/>
  <c r="I8" i="95"/>
  <c r="J8" i="95"/>
  <c r="K8" i="95"/>
  <c r="L8" i="95"/>
  <c r="B9" i="95"/>
  <c r="C9" i="95"/>
  <c r="D9" i="95"/>
  <c r="E9" i="95"/>
  <c r="F9" i="95"/>
  <c r="G9" i="95"/>
  <c r="H9" i="95"/>
  <c r="I9" i="95"/>
  <c r="J9" i="95"/>
  <c r="K9" i="95"/>
  <c r="L9" i="95"/>
  <c r="B10" i="95"/>
  <c r="C10" i="95"/>
  <c r="D10" i="95"/>
  <c r="E10" i="95"/>
  <c r="F10" i="95"/>
  <c r="G10" i="95"/>
  <c r="H10" i="95"/>
  <c r="I10" i="95"/>
  <c r="J10" i="95"/>
  <c r="K10" i="95"/>
  <c r="L10" i="95"/>
  <c r="B11" i="95"/>
  <c r="C11" i="95"/>
  <c r="D11" i="95"/>
  <c r="E11" i="95"/>
  <c r="F11" i="95"/>
  <c r="G11" i="95"/>
  <c r="H11" i="95"/>
  <c r="I11" i="95"/>
  <c r="J11" i="95"/>
  <c r="K11" i="95"/>
  <c r="L11" i="95"/>
  <c r="B12" i="95"/>
  <c r="C12" i="95"/>
  <c r="D12" i="95"/>
  <c r="E12" i="95"/>
  <c r="F12" i="95"/>
  <c r="G12" i="95"/>
  <c r="H12" i="95"/>
  <c r="I12" i="95"/>
  <c r="J12" i="95"/>
  <c r="K12" i="95"/>
  <c r="L12" i="95"/>
  <c r="B13" i="95"/>
  <c r="C13" i="95"/>
  <c r="D13" i="95"/>
  <c r="E13" i="95"/>
  <c r="F13" i="95"/>
  <c r="G13" i="95"/>
  <c r="H13" i="95"/>
  <c r="I13" i="95"/>
  <c r="J13" i="95"/>
  <c r="K13" i="95"/>
  <c r="L13" i="95"/>
  <c r="B14" i="95"/>
  <c r="C14" i="95"/>
  <c r="D14" i="95"/>
  <c r="E14" i="95"/>
  <c r="F14" i="95"/>
  <c r="G14" i="95"/>
  <c r="H14" i="95"/>
  <c r="I14" i="95"/>
  <c r="J14" i="95"/>
  <c r="K14" i="95"/>
  <c r="L14" i="95"/>
  <c r="B15" i="95"/>
  <c r="C15" i="95"/>
  <c r="D15" i="95"/>
  <c r="E15" i="95"/>
  <c r="F15" i="95"/>
  <c r="G15" i="95"/>
  <c r="H15" i="95"/>
  <c r="I15" i="95"/>
  <c r="J15" i="95"/>
  <c r="K15" i="95"/>
  <c r="L15" i="95"/>
  <c r="B16" i="95"/>
  <c r="C16" i="95"/>
  <c r="D16" i="95"/>
  <c r="E16" i="95"/>
  <c r="F16" i="95"/>
  <c r="G16" i="95"/>
  <c r="H16" i="95"/>
  <c r="I16" i="95"/>
  <c r="J16" i="95"/>
  <c r="K16" i="95"/>
  <c r="L16" i="95"/>
  <c r="B17" i="95"/>
  <c r="C17" i="95"/>
  <c r="D17" i="95"/>
  <c r="E17" i="95"/>
  <c r="F17" i="95"/>
  <c r="G17" i="95"/>
  <c r="H17" i="95"/>
  <c r="I17" i="95"/>
  <c r="J17" i="95"/>
  <c r="K17" i="95"/>
  <c r="L17" i="95"/>
  <c r="B18" i="95"/>
  <c r="C18" i="95"/>
  <c r="D18" i="95"/>
  <c r="E18" i="95"/>
  <c r="F18" i="95"/>
  <c r="G18" i="95"/>
  <c r="H18" i="95"/>
  <c r="I18" i="95"/>
  <c r="J18" i="95"/>
  <c r="K18" i="95"/>
  <c r="L18" i="95"/>
  <c r="B19" i="95"/>
  <c r="C19" i="95"/>
  <c r="D19" i="95"/>
  <c r="E19" i="95"/>
  <c r="F19" i="95"/>
  <c r="G19" i="95"/>
  <c r="H19" i="95"/>
  <c r="I19" i="95"/>
  <c r="J19" i="95"/>
  <c r="K19" i="95"/>
  <c r="L19" i="95"/>
  <c r="B20" i="95"/>
  <c r="C20" i="95"/>
  <c r="D20" i="95"/>
  <c r="E20" i="95"/>
  <c r="F20" i="95"/>
  <c r="G20" i="95"/>
  <c r="H20" i="95"/>
  <c r="I20" i="95"/>
  <c r="J20" i="95"/>
  <c r="K20" i="95"/>
  <c r="L20" i="95"/>
  <c r="L5" i="95"/>
  <c r="K5" i="95"/>
  <c r="J5" i="95"/>
  <c r="I5" i="95"/>
  <c r="H5" i="95"/>
  <c r="G5" i="95"/>
  <c r="F5" i="95"/>
  <c r="E5" i="95"/>
  <c r="D5" i="95"/>
  <c r="C5" i="95"/>
  <c r="B5" i="95"/>
  <c r="P20" i="95"/>
  <c r="P46" i="95"/>
  <c r="O46" i="95"/>
  <c r="N46" i="95"/>
  <c r="L46" i="95" s="1"/>
  <c r="B46" i="95" l="1"/>
  <c r="C46" i="95"/>
  <c r="D46" i="95"/>
  <c r="E46" i="95"/>
  <c r="F46" i="95"/>
  <c r="G46" i="95"/>
  <c r="H46" i="95"/>
  <c r="I46" i="95"/>
  <c r="J46" i="95"/>
  <c r="K46" i="95"/>
  <c r="B21" i="95"/>
  <c r="C21" i="95"/>
  <c r="D21" i="95"/>
  <c r="E21" i="95"/>
  <c r="F21" i="95"/>
  <c r="G21" i="95"/>
  <c r="H21" i="95"/>
  <c r="I21" i="95"/>
  <c r="J21" i="95"/>
  <c r="K21" i="95"/>
  <c r="L21" i="95"/>
  <c r="K83" i="351" l="1"/>
  <c r="J83" i="351"/>
  <c r="I83" i="351"/>
  <c r="I14" i="351"/>
  <c r="J14" i="351"/>
  <c r="K14" i="351"/>
  <c r="K199" i="342"/>
  <c r="J199" i="342"/>
  <c r="I199" i="342"/>
  <c r="J17" i="127"/>
  <c r="K63" i="349"/>
  <c r="J63" i="349"/>
  <c r="I63" i="349"/>
  <c r="L27" i="255"/>
  <c r="K27" i="255"/>
  <c r="J27" i="255"/>
  <c r="L22" i="255"/>
  <c r="K23" i="255"/>
  <c r="K22" i="255" s="1"/>
  <c r="J22" i="255"/>
  <c r="L17" i="255"/>
  <c r="K17" i="255"/>
  <c r="J17" i="255"/>
  <c r="L12" i="255"/>
  <c r="K12" i="255"/>
  <c r="J12" i="255"/>
  <c r="L7" i="255"/>
  <c r="J7" i="255"/>
  <c r="K7" i="255"/>
  <c r="E124" i="255" l="1"/>
  <c r="H27" i="255"/>
  <c r="I27" i="255"/>
  <c r="G27" i="255"/>
  <c r="E27" i="255"/>
  <c r="H12" i="255"/>
  <c r="I12" i="255"/>
  <c r="G12" i="255"/>
  <c r="I22" i="255"/>
  <c r="H22" i="255"/>
  <c r="G22" i="255"/>
  <c r="E22" i="255"/>
  <c r="I17" i="255"/>
  <c r="H17" i="255"/>
  <c r="G17" i="255"/>
  <c r="E17" i="255"/>
  <c r="E12" i="255"/>
  <c r="E7" i="255"/>
  <c r="I7" i="255"/>
  <c r="H7" i="255"/>
  <c r="G7" i="255"/>
  <c r="F7" i="255"/>
  <c r="E126" i="351" l="1"/>
  <c r="E198" i="342"/>
  <c r="E34" i="255"/>
  <c r="I5" i="314"/>
  <c r="C9" i="144" l="1"/>
  <c r="C5" i="144"/>
  <c r="I7" i="146" l="1"/>
  <c r="I8" i="146"/>
  <c r="I9" i="146"/>
  <c r="L64" i="128" l="1"/>
  <c r="I76" i="348" l="1"/>
  <c r="L75" i="348"/>
  <c r="J75" i="348"/>
  <c r="E75" i="348"/>
  <c r="L74" i="348"/>
  <c r="J74" i="348"/>
  <c r="E74" i="348"/>
  <c r="L73" i="348"/>
  <c r="J73" i="348"/>
  <c r="E73" i="348"/>
  <c r="L72" i="348"/>
  <c r="J72" i="348"/>
  <c r="E72" i="348"/>
  <c r="L71" i="348"/>
  <c r="J71" i="348"/>
  <c r="E71" i="348"/>
  <c r="L70" i="348"/>
  <c r="J70" i="348"/>
  <c r="E70" i="348"/>
  <c r="L69" i="348"/>
  <c r="J69" i="348"/>
  <c r="E69" i="348"/>
  <c r="L68" i="348"/>
  <c r="J68" i="348"/>
  <c r="E68" i="348"/>
  <c r="L67" i="348"/>
  <c r="J67" i="348"/>
  <c r="E67" i="348"/>
  <c r="L66" i="348"/>
  <c r="J66" i="348"/>
  <c r="E66" i="348"/>
  <c r="L65" i="348"/>
  <c r="J65" i="348"/>
  <c r="E65" i="348"/>
  <c r="L64" i="348"/>
  <c r="J64" i="348"/>
  <c r="E64" i="348"/>
  <c r="L63" i="348"/>
  <c r="J63" i="348"/>
  <c r="E63" i="348"/>
  <c r="L62" i="348"/>
  <c r="J62" i="348"/>
  <c r="E62" i="348"/>
  <c r="L61" i="348"/>
  <c r="J61" i="348"/>
  <c r="E61" i="348"/>
  <c r="L60" i="348"/>
  <c r="J60" i="348"/>
  <c r="E60" i="348"/>
  <c r="L59" i="348"/>
  <c r="J59" i="348"/>
  <c r="E59" i="348"/>
  <c r="L58" i="348"/>
  <c r="J58" i="348"/>
  <c r="E58" i="348"/>
  <c r="L57" i="348"/>
  <c r="J57" i="348"/>
  <c r="E57" i="348"/>
  <c r="L56" i="348"/>
  <c r="J56" i="348"/>
  <c r="E56" i="348"/>
  <c r="I54" i="348"/>
  <c r="L53" i="348"/>
  <c r="J53" i="348"/>
  <c r="E53" i="348"/>
  <c r="L52" i="348"/>
  <c r="J52" i="348"/>
  <c r="E52" i="348"/>
  <c r="L51" i="348"/>
  <c r="J51" i="348"/>
  <c r="E51" i="348"/>
  <c r="L50" i="348"/>
  <c r="J50" i="348"/>
  <c r="E50" i="348"/>
  <c r="L49" i="348"/>
  <c r="J49" i="348"/>
  <c r="E49" i="348"/>
  <c r="L48" i="348"/>
  <c r="J48" i="348"/>
  <c r="E48" i="348"/>
  <c r="L47" i="348"/>
  <c r="J47" i="348"/>
  <c r="E47" i="348"/>
  <c r="L46" i="348"/>
  <c r="J46" i="348"/>
  <c r="E46" i="348"/>
  <c r="L45" i="348"/>
  <c r="J45" i="348"/>
  <c r="E45" i="348"/>
  <c r="L44" i="348"/>
  <c r="J44" i="348"/>
  <c r="E44" i="348"/>
  <c r="L43" i="348"/>
  <c r="J43" i="348"/>
  <c r="E43" i="348"/>
  <c r="L42" i="348"/>
  <c r="J42" i="348"/>
  <c r="E42" i="348"/>
  <c r="L41" i="348"/>
  <c r="J41" i="348"/>
  <c r="E41" i="348"/>
  <c r="L40" i="348"/>
  <c r="J40" i="348"/>
  <c r="E40" i="348"/>
  <c r="L39" i="348"/>
  <c r="J39" i="348"/>
  <c r="E39" i="348"/>
  <c r="L38" i="348"/>
  <c r="J38" i="348"/>
  <c r="E38" i="348"/>
  <c r="L37" i="348"/>
  <c r="J37" i="348"/>
  <c r="E37" i="348"/>
  <c r="L35" i="348"/>
  <c r="J35" i="348"/>
  <c r="E35" i="348"/>
  <c r="L34" i="348"/>
  <c r="J34" i="348"/>
  <c r="E34" i="348"/>
  <c r="L33" i="348"/>
  <c r="J33" i="348"/>
  <c r="E33" i="348"/>
  <c r="L32" i="348"/>
  <c r="J32" i="348"/>
  <c r="E32" i="348"/>
  <c r="L31" i="348"/>
  <c r="J31" i="348"/>
  <c r="E31" i="348"/>
  <c r="L30" i="348"/>
  <c r="J30" i="348"/>
  <c r="E30" i="348"/>
  <c r="L29" i="348"/>
  <c r="J29" i="348"/>
  <c r="E29" i="348"/>
  <c r="L28" i="348"/>
  <c r="J28" i="348"/>
  <c r="E28" i="348"/>
  <c r="L27" i="348"/>
  <c r="J27" i="348"/>
  <c r="E27" i="348"/>
  <c r="L26" i="348"/>
  <c r="J26" i="348"/>
  <c r="E26" i="348"/>
  <c r="L25" i="348"/>
  <c r="J25" i="348"/>
  <c r="E25" i="348"/>
  <c r="L24" i="348"/>
  <c r="J24" i="348"/>
  <c r="E24" i="348"/>
  <c r="L23" i="348"/>
  <c r="J23" i="348"/>
  <c r="E23" i="348"/>
  <c r="L22" i="348"/>
  <c r="J22" i="348"/>
  <c r="E22" i="348"/>
  <c r="L21" i="348"/>
  <c r="J21" i="348"/>
  <c r="E21" i="348"/>
  <c r="I20" i="348"/>
  <c r="L19" i="348"/>
  <c r="J19" i="348"/>
  <c r="E19" i="348"/>
  <c r="L18" i="348"/>
  <c r="J18" i="348"/>
  <c r="E18" i="348"/>
  <c r="L17" i="348"/>
  <c r="J17" i="348"/>
  <c r="E17" i="348"/>
  <c r="L16" i="348"/>
  <c r="J16" i="348"/>
  <c r="E16" i="348"/>
  <c r="L15" i="348"/>
  <c r="J15" i="348"/>
  <c r="E15" i="348"/>
  <c r="L14" i="348"/>
  <c r="J14" i="348"/>
  <c r="E14" i="348"/>
  <c r="L13" i="348"/>
  <c r="J13" i="348"/>
  <c r="E13" i="348"/>
  <c r="L12" i="348"/>
  <c r="J12" i="348"/>
  <c r="E12" i="348"/>
  <c r="L11" i="348"/>
  <c r="J11" i="348"/>
  <c r="E11" i="348"/>
  <c r="L10" i="348"/>
  <c r="J10" i="348"/>
  <c r="E10" i="348"/>
  <c r="F37" i="339"/>
  <c r="F36" i="339"/>
  <c r="F35" i="339"/>
  <c r="F34" i="339"/>
  <c r="G33" i="339"/>
  <c r="F33" i="339"/>
  <c r="G32" i="339"/>
  <c r="F32" i="339"/>
  <c r="D32" i="339"/>
  <c r="G31" i="339"/>
  <c r="F31" i="339"/>
  <c r="E31" i="339"/>
  <c r="G30" i="339"/>
  <c r="F30" i="339"/>
  <c r="E30" i="339"/>
  <c r="G29" i="339"/>
  <c r="F29" i="339"/>
  <c r="E29" i="339"/>
  <c r="G28" i="339"/>
  <c r="F28" i="339"/>
  <c r="E28" i="339"/>
  <c r="B28" i="339"/>
  <c r="G27" i="339"/>
  <c r="F27" i="339"/>
  <c r="E27" i="339"/>
  <c r="D27" i="339"/>
  <c r="B27" i="339"/>
  <c r="G26" i="339"/>
  <c r="F26" i="339"/>
  <c r="D26" i="339"/>
  <c r="B26" i="339"/>
  <c r="G25" i="339"/>
  <c r="F25" i="339"/>
  <c r="E25" i="339"/>
  <c r="B25" i="339"/>
  <c r="G24" i="339"/>
  <c r="F24" i="339"/>
  <c r="E24" i="339"/>
  <c r="B24" i="339"/>
  <c r="G23" i="339"/>
  <c r="F23" i="339"/>
  <c r="E23" i="339"/>
  <c r="B23" i="339"/>
  <c r="G22" i="339"/>
  <c r="F22" i="339"/>
  <c r="E22" i="339"/>
  <c r="D22" i="339"/>
  <c r="C22" i="339"/>
  <c r="F21" i="339"/>
  <c r="D21" i="339"/>
  <c r="C21" i="339"/>
  <c r="G20" i="339"/>
  <c r="F20" i="339"/>
  <c r="E20" i="339"/>
  <c r="C20" i="339"/>
  <c r="B20" i="339"/>
  <c r="G19" i="339"/>
  <c r="F19" i="339"/>
  <c r="E19" i="339"/>
  <c r="D19" i="339"/>
  <c r="B19" i="339"/>
  <c r="F18" i="339"/>
  <c r="D18" i="339"/>
  <c r="B18" i="339"/>
  <c r="A18" i="339"/>
  <c r="G17" i="339"/>
  <c r="F17" i="339"/>
  <c r="E17" i="339"/>
  <c r="B17" i="339"/>
  <c r="A17" i="339"/>
  <c r="G16" i="339"/>
  <c r="F16" i="339"/>
  <c r="E16" i="339"/>
  <c r="D16" i="339"/>
  <c r="B16" i="339"/>
  <c r="A16" i="339"/>
  <c r="G15" i="339"/>
  <c r="F15" i="339"/>
  <c r="D15" i="339"/>
  <c r="B15" i="339"/>
  <c r="A15" i="339"/>
  <c r="G14" i="339"/>
  <c r="F14" i="339"/>
  <c r="D14" i="339"/>
  <c r="B14" i="339"/>
  <c r="A14" i="339"/>
  <c r="G13" i="339"/>
  <c r="F13" i="339"/>
  <c r="D13" i="339"/>
  <c r="B13" i="339"/>
  <c r="A13" i="339"/>
  <c r="G12" i="339"/>
  <c r="F12" i="339"/>
  <c r="E12" i="339"/>
  <c r="B12" i="339"/>
  <c r="A12" i="339"/>
  <c r="G11" i="339"/>
  <c r="F11" i="339"/>
  <c r="E11" i="339"/>
  <c r="B11" i="339"/>
  <c r="A11" i="339"/>
  <c r="G10" i="339"/>
  <c r="F10" i="339"/>
  <c r="E10" i="339"/>
  <c r="C10" i="339"/>
  <c r="A10" i="339"/>
  <c r="G9" i="339"/>
  <c r="F9" i="339"/>
  <c r="E9" i="339"/>
  <c r="C9" i="339"/>
  <c r="B9" i="339"/>
  <c r="A9" i="339"/>
  <c r="G8" i="339"/>
  <c r="F8" i="339"/>
  <c r="E8" i="339"/>
  <c r="B8" i="339"/>
  <c r="A8" i="339"/>
  <c r="G7" i="339"/>
  <c r="F7" i="339"/>
  <c r="E7" i="339"/>
  <c r="B7" i="339"/>
  <c r="A7" i="339"/>
  <c r="G6" i="339"/>
  <c r="F6" i="339"/>
  <c r="E6" i="339"/>
  <c r="B6" i="339"/>
  <c r="A6" i="339"/>
  <c r="G5" i="339"/>
  <c r="F5" i="339"/>
  <c r="E5" i="339"/>
  <c r="B5" i="339"/>
  <c r="A5" i="339"/>
  <c r="H4" i="339"/>
  <c r="G4" i="339"/>
  <c r="F4" i="339"/>
  <c r="E4" i="339"/>
  <c r="D4" i="339"/>
  <c r="B4" i="339"/>
  <c r="A4" i="339"/>
  <c r="E3" i="339"/>
  <c r="D3" i="339"/>
  <c r="D2" i="339"/>
  <c r="B2" i="339"/>
  <c r="M73" i="338"/>
  <c r="L73" i="338"/>
  <c r="K73" i="338"/>
  <c r="J73" i="338"/>
  <c r="I73" i="338"/>
  <c r="H73" i="338"/>
  <c r="G73" i="338"/>
  <c r="F73" i="338"/>
  <c r="E73" i="338"/>
  <c r="D73" i="338"/>
  <c r="C73" i="338"/>
  <c r="A73" i="338"/>
  <c r="A66" i="338"/>
  <c r="M65" i="338"/>
  <c r="L65" i="338"/>
  <c r="K65" i="338"/>
  <c r="J65" i="338"/>
  <c r="I65" i="338"/>
  <c r="H65" i="338"/>
  <c r="G65" i="338"/>
  <c r="F65" i="338"/>
  <c r="E65" i="338"/>
  <c r="D65" i="338"/>
  <c r="A65" i="338"/>
  <c r="M64" i="338"/>
  <c r="L64" i="338"/>
  <c r="K64" i="338"/>
  <c r="J64" i="338"/>
  <c r="I64" i="338"/>
  <c r="H64" i="338"/>
  <c r="G64" i="338"/>
  <c r="F64" i="338"/>
  <c r="E64" i="338"/>
  <c r="D64" i="338"/>
  <c r="M63" i="338"/>
  <c r="L63" i="338"/>
  <c r="K63" i="338"/>
  <c r="J63" i="338"/>
  <c r="I63" i="338"/>
  <c r="H63" i="338"/>
  <c r="G63" i="338"/>
  <c r="F63" i="338"/>
  <c r="E63" i="338"/>
  <c r="D63" i="338"/>
  <c r="M62" i="338"/>
  <c r="L62" i="338"/>
  <c r="K62" i="338"/>
  <c r="J62" i="338"/>
  <c r="I62" i="338"/>
  <c r="H62" i="338"/>
  <c r="G62" i="338"/>
  <c r="F62" i="338"/>
  <c r="E62" i="338"/>
  <c r="D62" i="338"/>
  <c r="M61" i="338"/>
  <c r="L61" i="338"/>
  <c r="K61" i="338"/>
  <c r="J61" i="338"/>
  <c r="I61" i="338"/>
  <c r="H61" i="338"/>
  <c r="G61" i="338"/>
  <c r="F61" i="338"/>
  <c r="E61" i="338"/>
  <c r="D61" i="338"/>
  <c r="A61" i="338"/>
  <c r="M57" i="338"/>
  <c r="L57" i="338"/>
  <c r="K57" i="338"/>
  <c r="J57" i="338"/>
  <c r="I57" i="338"/>
  <c r="H57" i="338"/>
  <c r="G57" i="338"/>
  <c r="F57" i="338"/>
  <c r="E57" i="338"/>
  <c r="D57" i="338"/>
  <c r="M55" i="338"/>
  <c r="L55" i="338"/>
  <c r="K55" i="338"/>
  <c r="J55" i="338"/>
  <c r="I55" i="338"/>
  <c r="H55" i="338"/>
  <c r="G55" i="338"/>
  <c r="D55" i="338"/>
  <c r="A51" i="338"/>
  <c r="M50" i="338"/>
  <c r="L50" i="338"/>
  <c r="K50" i="338"/>
  <c r="J50" i="338"/>
  <c r="I50" i="338"/>
  <c r="H50" i="338"/>
  <c r="G50" i="338"/>
  <c r="F50" i="338"/>
  <c r="E50" i="338"/>
  <c r="D50" i="338"/>
  <c r="A47" i="338"/>
  <c r="M44" i="338"/>
  <c r="L44" i="338"/>
  <c r="K44" i="338"/>
  <c r="J44" i="338"/>
  <c r="J43" i="338" s="1"/>
  <c r="I44" i="338"/>
  <c r="H44" i="338"/>
  <c r="G44" i="338"/>
  <c r="F44" i="338"/>
  <c r="F43" i="338" s="1"/>
  <c r="E44" i="338"/>
  <c r="D44" i="338"/>
  <c r="M43" i="338"/>
  <c r="L43" i="338"/>
  <c r="K43" i="338"/>
  <c r="I43" i="338"/>
  <c r="H43" i="338"/>
  <c r="G43" i="338"/>
  <c r="E43" i="338"/>
  <c r="D43" i="338"/>
  <c r="A42" i="338"/>
  <c r="M41" i="338"/>
  <c r="L41" i="338"/>
  <c r="K41" i="338"/>
  <c r="J41" i="338"/>
  <c r="I41" i="338"/>
  <c r="H41" i="338"/>
  <c r="G41" i="338"/>
  <c r="F41" i="338"/>
  <c r="E41" i="338"/>
  <c r="D41" i="338"/>
  <c r="A40" i="338"/>
  <c r="A38" i="338"/>
  <c r="M36" i="338"/>
  <c r="L36" i="338"/>
  <c r="K36" i="338"/>
  <c r="J36" i="338"/>
  <c r="I36" i="338"/>
  <c r="H36" i="338"/>
  <c r="G36" i="338"/>
  <c r="F36" i="338"/>
  <c r="E36" i="338"/>
  <c r="D36" i="338"/>
  <c r="M29" i="338"/>
  <c r="M27" i="338" s="1"/>
  <c r="L29" i="338"/>
  <c r="L27" i="338" s="1"/>
  <c r="K29" i="338"/>
  <c r="J29" i="338"/>
  <c r="I29" i="338"/>
  <c r="I27" i="338" s="1"/>
  <c r="H29" i="338"/>
  <c r="H27" i="338" s="1"/>
  <c r="G29" i="338"/>
  <c r="F29" i="338"/>
  <c r="E29" i="338"/>
  <c r="E27" i="338" s="1"/>
  <c r="D29" i="338"/>
  <c r="D27" i="338" s="1"/>
  <c r="K27" i="338"/>
  <c r="J27" i="338"/>
  <c r="G27" i="338"/>
  <c r="F27" i="338"/>
  <c r="M25" i="338"/>
  <c r="L25" i="338"/>
  <c r="K25" i="338"/>
  <c r="J25" i="338"/>
  <c r="I25" i="338"/>
  <c r="H25" i="338"/>
  <c r="G25" i="338"/>
  <c r="F25" i="338"/>
  <c r="E25" i="338"/>
  <c r="D25" i="338"/>
  <c r="M24" i="338"/>
  <c r="L24" i="338"/>
  <c r="K24" i="338"/>
  <c r="J24" i="338"/>
  <c r="I24" i="338"/>
  <c r="H24" i="338"/>
  <c r="G24" i="338"/>
  <c r="F24" i="338"/>
  <c r="E24" i="338"/>
  <c r="D24" i="338"/>
  <c r="M22" i="338"/>
  <c r="L22" i="338"/>
  <c r="K22" i="338"/>
  <c r="J22" i="338"/>
  <c r="I22" i="338"/>
  <c r="H22" i="338"/>
  <c r="F22" i="338"/>
  <c r="E22" i="338"/>
  <c r="D22" i="338"/>
  <c r="M19" i="338"/>
  <c r="L19" i="338"/>
  <c r="K19" i="338"/>
  <c r="J19" i="338"/>
  <c r="I19" i="338"/>
  <c r="H19" i="338"/>
  <c r="G19" i="338"/>
  <c r="F19" i="338"/>
  <c r="E19" i="338"/>
  <c r="D19" i="338"/>
  <c r="M18" i="338"/>
  <c r="L18" i="338"/>
  <c r="L17" i="338" s="1"/>
  <c r="K18" i="338"/>
  <c r="K17" i="338" s="1"/>
  <c r="J18" i="338"/>
  <c r="I18" i="338"/>
  <c r="H18" i="338"/>
  <c r="H17" i="338" s="1"/>
  <c r="G18" i="338"/>
  <c r="G17" i="338" s="1"/>
  <c r="F18" i="338"/>
  <c r="E18" i="338"/>
  <c r="D18" i="338"/>
  <c r="D17" i="338" s="1"/>
  <c r="M17" i="338"/>
  <c r="J17" i="338"/>
  <c r="I17" i="338"/>
  <c r="F17" i="338"/>
  <c r="E17" i="338"/>
  <c r="M12" i="338"/>
  <c r="L12" i="338"/>
  <c r="K12" i="338"/>
  <c r="J12" i="338"/>
  <c r="I12" i="338"/>
  <c r="H12" i="338"/>
  <c r="F12" i="338"/>
  <c r="E12" i="338"/>
  <c r="D12" i="338"/>
  <c r="M10" i="338"/>
  <c r="L10" i="338"/>
  <c r="K10" i="338"/>
  <c r="J10" i="338"/>
  <c r="I10" i="338"/>
  <c r="H10" i="338"/>
  <c r="G10" i="338"/>
  <c r="F10" i="338"/>
  <c r="E10" i="338"/>
  <c r="D10" i="338"/>
  <c r="A9" i="338"/>
  <c r="I4" i="338"/>
  <c r="H4" i="338"/>
  <c r="G4" i="338"/>
  <c r="F4" i="338"/>
  <c r="E4" i="338"/>
  <c r="D4" i="338"/>
  <c r="B3" i="338"/>
  <c r="A3" i="338"/>
  <c r="A24" i="296"/>
  <c r="H3" i="296"/>
  <c r="G3" i="296"/>
  <c r="F2" i="296"/>
  <c r="A37" i="256"/>
  <c r="O36" i="256"/>
  <c r="N36" i="256"/>
  <c r="M36" i="256"/>
  <c r="L36" i="256"/>
  <c r="K36" i="256"/>
  <c r="C36" i="256"/>
  <c r="O23" i="256"/>
  <c r="N23" i="256"/>
  <c r="M23" i="256"/>
  <c r="L23" i="256"/>
  <c r="K23" i="256"/>
  <c r="C23" i="256"/>
  <c r="B2" i="256"/>
  <c r="A55" i="294"/>
  <c r="I53" i="294"/>
  <c r="H53" i="294"/>
  <c r="G53" i="294"/>
  <c r="F53" i="294"/>
  <c r="E53" i="294"/>
  <c r="D53" i="294"/>
  <c r="C53" i="294"/>
  <c r="A50" i="294"/>
  <c r="A49" i="294"/>
  <c r="A48" i="294"/>
  <c r="A47" i="294"/>
  <c r="A46" i="294"/>
  <c r="A45" i="294"/>
  <c r="A44" i="294"/>
  <c r="A43" i="294"/>
  <c r="I40" i="294"/>
  <c r="H40" i="294"/>
  <c r="G40" i="294"/>
  <c r="F40" i="294"/>
  <c r="E40" i="294"/>
  <c r="D40" i="294"/>
  <c r="C40" i="294"/>
  <c r="I21" i="294"/>
  <c r="I54" i="294" s="1"/>
  <c r="H21" i="294"/>
  <c r="H54" i="294" s="1"/>
  <c r="G21" i="294"/>
  <c r="F21" i="294"/>
  <c r="I3" i="294"/>
  <c r="B2" i="294"/>
  <c r="A2" i="294"/>
  <c r="A84" i="349"/>
  <c r="K79" i="349"/>
  <c r="J79" i="349"/>
  <c r="I79" i="349"/>
  <c r="H79" i="349"/>
  <c r="G79" i="349"/>
  <c r="F79" i="349"/>
  <c r="E79" i="349"/>
  <c r="D79" i="349"/>
  <c r="C79" i="349"/>
  <c r="K73" i="349"/>
  <c r="J73" i="349"/>
  <c r="I73" i="349"/>
  <c r="H73" i="349"/>
  <c r="G73" i="349"/>
  <c r="F73" i="349"/>
  <c r="E73" i="349"/>
  <c r="D73" i="349"/>
  <c r="C73" i="349"/>
  <c r="K69" i="349"/>
  <c r="J69" i="349"/>
  <c r="I69" i="349"/>
  <c r="H69" i="349"/>
  <c r="G69" i="349"/>
  <c r="F69" i="349"/>
  <c r="E69" i="349"/>
  <c r="D69" i="349"/>
  <c r="C69" i="349"/>
  <c r="K65" i="349"/>
  <c r="J65" i="349"/>
  <c r="I65" i="349"/>
  <c r="H65" i="349"/>
  <c r="G65" i="349"/>
  <c r="F65" i="349"/>
  <c r="E65" i="349"/>
  <c r="D65" i="349"/>
  <c r="C65" i="349"/>
  <c r="K51" i="349"/>
  <c r="J51" i="349"/>
  <c r="I51" i="349"/>
  <c r="H51" i="349"/>
  <c r="G51" i="349"/>
  <c r="F51" i="349"/>
  <c r="E51" i="349"/>
  <c r="D51" i="349"/>
  <c r="C51" i="349"/>
  <c r="K47" i="349"/>
  <c r="J47" i="349"/>
  <c r="I47" i="349"/>
  <c r="H47" i="349"/>
  <c r="G47" i="349"/>
  <c r="F47" i="349"/>
  <c r="E47" i="349"/>
  <c r="D47" i="349"/>
  <c r="C47" i="349"/>
  <c r="K43" i="349"/>
  <c r="J43" i="349"/>
  <c r="I43" i="349"/>
  <c r="H43" i="349"/>
  <c r="G43" i="349"/>
  <c r="F43" i="349"/>
  <c r="E43" i="349"/>
  <c r="D43" i="349"/>
  <c r="C43" i="349"/>
  <c r="K27" i="349"/>
  <c r="J27" i="349"/>
  <c r="I27" i="349"/>
  <c r="H27" i="349"/>
  <c r="G27" i="349"/>
  <c r="F27" i="349"/>
  <c r="E27" i="349"/>
  <c r="D27" i="349"/>
  <c r="C27" i="349"/>
  <c r="K21" i="349"/>
  <c r="J21" i="349"/>
  <c r="I21" i="349"/>
  <c r="H21" i="349"/>
  <c r="G21" i="349"/>
  <c r="F21" i="349"/>
  <c r="E21" i="349"/>
  <c r="D21" i="349"/>
  <c r="C21" i="349"/>
  <c r="K18" i="349"/>
  <c r="J18" i="349"/>
  <c r="I18" i="349"/>
  <c r="H18" i="349"/>
  <c r="G18" i="349"/>
  <c r="F18" i="349"/>
  <c r="E18" i="349"/>
  <c r="D18" i="349"/>
  <c r="C18" i="349"/>
  <c r="K14" i="349"/>
  <c r="J14" i="349"/>
  <c r="I14" i="349"/>
  <c r="H14" i="349"/>
  <c r="G14" i="349"/>
  <c r="F14" i="349"/>
  <c r="E14" i="349"/>
  <c r="D14" i="349"/>
  <c r="C14" i="349"/>
  <c r="K10" i="349"/>
  <c r="J10" i="349"/>
  <c r="I10" i="349"/>
  <c r="I6" i="349" s="1"/>
  <c r="I77" i="349" s="1"/>
  <c r="H10" i="349"/>
  <c r="G10" i="349"/>
  <c r="F10" i="349"/>
  <c r="E10" i="349"/>
  <c r="E6" i="349" s="1"/>
  <c r="D10" i="349"/>
  <c r="C10" i="349"/>
  <c r="K7" i="349"/>
  <c r="K6" i="349" s="1"/>
  <c r="J7" i="349"/>
  <c r="J6" i="349" s="1"/>
  <c r="I7" i="349"/>
  <c r="H7" i="349"/>
  <c r="G7" i="349"/>
  <c r="G6" i="349" s="1"/>
  <c r="G77" i="349" s="1"/>
  <c r="F7" i="349"/>
  <c r="F6" i="349" s="1"/>
  <c r="E7" i="349"/>
  <c r="D7" i="349"/>
  <c r="C7" i="349"/>
  <c r="C6" i="349" s="1"/>
  <c r="H6" i="349"/>
  <c r="H77" i="349" s="1"/>
  <c r="D6" i="349"/>
  <c r="D77" i="349" s="1"/>
  <c r="H3" i="349"/>
  <c r="G3" i="349"/>
  <c r="F3" i="349"/>
  <c r="E3" i="349"/>
  <c r="D3" i="349"/>
  <c r="C3" i="349"/>
  <c r="B2" i="349"/>
  <c r="A2" i="349"/>
  <c r="A84" i="350"/>
  <c r="K79" i="350"/>
  <c r="J79" i="350"/>
  <c r="I79" i="350"/>
  <c r="H79" i="350"/>
  <c r="G79" i="350"/>
  <c r="F79" i="350"/>
  <c r="E79" i="350"/>
  <c r="D79" i="350"/>
  <c r="C79" i="350"/>
  <c r="K73" i="350"/>
  <c r="J73" i="350"/>
  <c r="I73" i="350"/>
  <c r="H73" i="350"/>
  <c r="G73" i="350"/>
  <c r="F73" i="350"/>
  <c r="E73" i="350"/>
  <c r="D73" i="350"/>
  <c r="C73" i="350"/>
  <c r="K69" i="350"/>
  <c r="J69" i="350"/>
  <c r="I69" i="350"/>
  <c r="H69" i="350"/>
  <c r="G69" i="350"/>
  <c r="F69" i="350"/>
  <c r="E69" i="350"/>
  <c r="D69" i="350"/>
  <c r="C69" i="350"/>
  <c r="K65" i="350"/>
  <c r="J65" i="350"/>
  <c r="I65" i="350"/>
  <c r="H65" i="350"/>
  <c r="G65" i="350"/>
  <c r="F65" i="350"/>
  <c r="E65" i="350"/>
  <c r="D65" i="350"/>
  <c r="C65" i="350"/>
  <c r="K51" i="350"/>
  <c r="J51" i="350"/>
  <c r="I51" i="350"/>
  <c r="H51" i="350"/>
  <c r="G51" i="350"/>
  <c r="F51" i="350"/>
  <c r="E51" i="350"/>
  <c r="D51" i="350"/>
  <c r="C51" i="350"/>
  <c r="K47" i="350"/>
  <c r="J47" i="350"/>
  <c r="I47" i="350"/>
  <c r="H47" i="350"/>
  <c r="G47" i="350"/>
  <c r="F47" i="350"/>
  <c r="E47" i="350"/>
  <c r="D47" i="350"/>
  <c r="C47" i="350"/>
  <c r="K43" i="350"/>
  <c r="J43" i="350"/>
  <c r="I43" i="350"/>
  <c r="H43" i="350"/>
  <c r="G43" i="350"/>
  <c r="F43" i="350"/>
  <c r="E43" i="350"/>
  <c r="D43" i="350"/>
  <c r="C43" i="350"/>
  <c r="K27" i="350"/>
  <c r="J27" i="350"/>
  <c r="I27" i="350"/>
  <c r="H27" i="350"/>
  <c r="G27" i="350"/>
  <c r="F27" i="350"/>
  <c r="E27" i="350"/>
  <c r="D27" i="350"/>
  <c r="C27" i="350"/>
  <c r="K21" i="350"/>
  <c r="J21" i="350"/>
  <c r="I21" i="350"/>
  <c r="H21" i="350"/>
  <c r="G21" i="350"/>
  <c r="F21" i="350"/>
  <c r="E21" i="350"/>
  <c r="D21" i="350"/>
  <c r="C21" i="350"/>
  <c r="K18" i="350"/>
  <c r="J18" i="350"/>
  <c r="I18" i="350"/>
  <c r="H18" i="350"/>
  <c r="G18" i="350"/>
  <c r="F18" i="350"/>
  <c r="E18" i="350"/>
  <c r="D18" i="350"/>
  <c r="C18" i="350"/>
  <c r="K14" i="350"/>
  <c r="J14" i="350"/>
  <c r="I14" i="350"/>
  <c r="H14" i="350"/>
  <c r="H6" i="350" s="1"/>
  <c r="H77" i="350" s="1"/>
  <c r="G14" i="350"/>
  <c r="F14" i="350"/>
  <c r="E14" i="350"/>
  <c r="D14" i="350"/>
  <c r="D6" i="350" s="1"/>
  <c r="C6" i="350" s="1"/>
  <c r="C14" i="350"/>
  <c r="K10" i="350"/>
  <c r="J10" i="350"/>
  <c r="I10" i="350"/>
  <c r="H10" i="350"/>
  <c r="G10" i="350"/>
  <c r="F10" i="350"/>
  <c r="E10" i="350"/>
  <c r="D10" i="350"/>
  <c r="C10" i="350"/>
  <c r="K7" i="350"/>
  <c r="J7" i="350"/>
  <c r="I7" i="350"/>
  <c r="H7" i="350"/>
  <c r="G7" i="350"/>
  <c r="G6" i="350" s="1"/>
  <c r="G77" i="350" s="1"/>
  <c r="F7" i="350"/>
  <c r="F6" i="350" s="1"/>
  <c r="F77" i="350" s="1"/>
  <c r="E7" i="350"/>
  <c r="D7" i="350"/>
  <c r="C7" i="350"/>
  <c r="J6" i="350"/>
  <c r="E6" i="350"/>
  <c r="E77" i="350" s="1"/>
  <c r="H3" i="350"/>
  <c r="G3" i="350"/>
  <c r="F3" i="350"/>
  <c r="E3" i="350"/>
  <c r="D3" i="350"/>
  <c r="C3" i="350"/>
  <c r="B2" i="350"/>
  <c r="A2" i="350"/>
  <c r="A84" i="134"/>
  <c r="K79" i="134"/>
  <c r="J79" i="134"/>
  <c r="I79" i="134"/>
  <c r="H79" i="134"/>
  <c r="G79" i="134"/>
  <c r="F79" i="134"/>
  <c r="E79" i="134"/>
  <c r="D79" i="134"/>
  <c r="C79" i="134"/>
  <c r="K73" i="134"/>
  <c r="J73" i="134"/>
  <c r="I73" i="134"/>
  <c r="H73" i="134"/>
  <c r="G73" i="134"/>
  <c r="F73" i="134"/>
  <c r="E73" i="134"/>
  <c r="D73" i="134"/>
  <c r="C73" i="134"/>
  <c r="K69" i="134"/>
  <c r="J69" i="134"/>
  <c r="I69" i="134"/>
  <c r="H69" i="134"/>
  <c r="G69" i="134"/>
  <c r="F69" i="134"/>
  <c r="E69" i="134"/>
  <c r="D69" i="134"/>
  <c r="C69" i="134"/>
  <c r="K65" i="134"/>
  <c r="J65" i="134"/>
  <c r="I65" i="134"/>
  <c r="H65" i="134"/>
  <c r="G65" i="134"/>
  <c r="F65" i="134"/>
  <c r="E65" i="134"/>
  <c r="D65" i="134"/>
  <c r="C65" i="134"/>
  <c r="C63" i="134"/>
  <c r="E59" i="134"/>
  <c r="E51" i="134" s="1"/>
  <c r="E54" i="134"/>
  <c r="F55" i="338" s="1"/>
  <c r="D54" i="134"/>
  <c r="E55" i="338" s="1"/>
  <c r="K51" i="134"/>
  <c r="J51" i="134"/>
  <c r="I51" i="134"/>
  <c r="H51" i="134"/>
  <c r="G51" i="134"/>
  <c r="F51" i="134"/>
  <c r="D51" i="134"/>
  <c r="C51" i="134" s="1"/>
  <c r="K47" i="134"/>
  <c r="J47" i="134"/>
  <c r="I47" i="134"/>
  <c r="H47" i="134"/>
  <c r="G47" i="134"/>
  <c r="F47" i="134"/>
  <c r="E47" i="134"/>
  <c r="D47" i="134"/>
  <c r="C47" i="134"/>
  <c r="K43" i="134"/>
  <c r="J43" i="134"/>
  <c r="I43" i="134"/>
  <c r="H43" i="134"/>
  <c r="G43" i="134"/>
  <c r="F43" i="134"/>
  <c r="E43" i="134"/>
  <c r="D43" i="134"/>
  <c r="C43" i="134"/>
  <c r="E41" i="134"/>
  <c r="K27" i="134"/>
  <c r="J27" i="134"/>
  <c r="I27" i="134"/>
  <c r="H27" i="134"/>
  <c r="G27" i="134"/>
  <c r="F27" i="134"/>
  <c r="E27" i="134"/>
  <c r="D27" i="134"/>
  <c r="C27" i="134"/>
  <c r="E25" i="134"/>
  <c r="C22" i="134"/>
  <c r="C21" i="134" s="1"/>
  <c r="K21" i="134"/>
  <c r="J21" i="134"/>
  <c r="I21" i="134"/>
  <c r="H21" i="134"/>
  <c r="G21" i="134"/>
  <c r="F21" i="134"/>
  <c r="E21" i="134"/>
  <c r="D21" i="134"/>
  <c r="D19" i="134"/>
  <c r="C19" i="134"/>
  <c r="K18" i="134"/>
  <c r="J18" i="134"/>
  <c r="I18" i="134"/>
  <c r="H18" i="134"/>
  <c r="G18" i="134"/>
  <c r="F18" i="134"/>
  <c r="E18" i="134"/>
  <c r="D18" i="134"/>
  <c r="C18" i="134" s="1"/>
  <c r="D17" i="134"/>
  <c r="D14" i="134" s="1"/>
  <c r="C14" i="134" s="1"/>
  <c r="C17" i="134"/>
  <c r="K14" i="134"/>
  <c r="J14" i="134"/>
  <c r="I14" i="134"/>
  <c r="H14" i="134"/>
  <c r="G14" i="134"/>
  <c r="F14" i="134"/>
  <c r="E14" i="134"/>
  <c r="C13" i="134"/>
  <c r="C12" i="134"/>
  <c r="K10" i="134"/>
  <c r="K6" i="134" s="1"/>
  <c r="K77" i="134" s="1"/>
  <c r="J10" i="134"/>
  <c r="I10" i="134"/>
  <c r="H10" i="134"/>
  <c r="G10" i="134"/>
  <c r="G6" i="134" s="1"/>
  <c r="G77" i="134" s="1"/>
  <c r="F10" i="134"/>
  <c r="E10" i="134"/>
  <c r="D10" i="134"/>
  <c r="C10" i="134" s="1"/>
  <c r="C9" i="134"/>
  <c r="D8" i="134"/>
  <c r="D7" i="134" s="1"/>
  <c r="C7" i="134" s="1"/>
  <c r="C8" i="134"/>
  <c r="K7" i="134"/>
  <c r="J7" i="134"/>
  <c r="I7" i="134"/>
  <c r="H7" i="134"/>
  <c r="G7" i="134"/>
  <c r="F7" i="134"/>
  <c r="F6" i="134" s="1"/>
  <c r="E7" i="134"/>
  <c r="E6" i="134" s="1"/>
  <c r="D6" i="134" s="1"/>
  <c r="D77" i="134" s="1"/>
  <c r="H6" i="134"/>
  <c r="H77" i="134" s="1"/>
  <c r="H3" i="134"/>
  <c r="G3" i="134"/>
  <c r="F3" i="134"/>
  <c r="E3" i="134"/>
  <c r="D3" i="134"/>
  <c r="C3" i="134"/>
  <c r="B2" i="134"/>
  <c r="A2" i="134"/>
  <c r="A45" i="139"/>
  <c r="N42" i="139"/>
  <c r="M42" i="139"/>
  <c r="L42" i="139"/>
  <c r="K42" i="139"/>
  <c r="J42" i="139"/>
  <c r="I42" i="139"/>
  <c r="H42" i="139"/>
  <c r="G42" i="139"/>
  <c r="F42" i="139"/>
  <c r="E42" i="139"/>
  <c r="D42" i="139"/>
  <c r="C42" i="139"/>
  <c r="O41" i="139"/>
  <c r="O40" i="139"/>
  <c r="O39" i="139"/>
  <c r="N36" i="139"/>
  <c r="N44" i="139" s="1"/>
  <c r="M36" i="139"/>
  <c r="M44" i="139" s="1"/>
  <c r="L36" i="139"/>
  <c r="K36" i="139"/>
  <c r="K44" i="139" s="1"/>
  <c r="J36" i="139"/>
  <c r="J44" i="139" s="1"/>
  <c r="I36" i="139"/>
  <c r="I44" i="139" s="1"/>
  <c r="H36" i="139"/>
  <c r="G36" i="139"/>
  <c r="G44" i="139" s="1"/>
  <c r="F36" i="139"/>
  <c r="F44" i="139" s="1"/>
  <c r="E36" i="139"/>
  <c r="E44" i="139" s="1"/>
  <c r="D36" i="139"/>
  <c r="C36" i="139"/>
  <c r="C44" i="139" s="1"/>
  <c r="O35" i="139"/>
  <c r="O34" i="139"/>
  <c r="O33" i="139"/>
  <c r="N30" i="139"/>
  <c r="M30" i="139"/>
  <c r="L30" i="139"/>
  <c r="K30" i="139"/>
  <c r="J30" i="139"/>
  <c r="I30" i="139"/>
  <c r="H30" i="139"/>
  <c r="G30" i="139"/>
  <c r="F30" i="139"/>
  <c r="E30" i="139"/>
  <c r="D30" i="139"/>
  <c r="C30" i="139"/>
  <c r="O29" i="139"/>
  <c r="O28" i="139"/>
  <c r="O27" i="139"/>
  <c r="N21" i="139"/>
  <c r="M21" i="139"/>
  <c r="L21" i="139"/>
  <c r="K21" i="139"/>
  <c r="J21" i="139"/>
  <c r="I21" i="139"/>
  <c r="H21" i="139"/>
  <c r="G21" i="139"/>
  <c r="F21" i="139"/>
  <c r="E21" i="139"/>
  <c r="D21" i="139"/>
  <c r="C21" i="139"/>
  <c r="O20" i="139"/>
  <c r="O19" i="139"/>
  <c r="O18" i="139"/>
  <c r="N15" i="139"/>
  <c r="N23" i="139" s="1"/>
  <c r="M15" i="139"/>
  <c r="L15" i="139"/>
  <c r="L23" i="139" s="1"/>
  <c r="K15" i="139"/>
  <c r="K23" i="139" s="1"/>
  <c r="J15" i="139"/>
  <c r="J23" i="139" s="1"/>
  <c r="I15" i="139"/>
  <c r="H15" i="139"/>
  <c r="H23" i="139" s="1"/>
  <c r="G15" i="139"/>
  <c r="G23" i="139" s="1"/>
  <c r="F15" i="139"/>
  <c r="F23" i="139" s="1"/>
  <c r="E15" i="139"/>
  <c r="D15" i="139"/>
  <c r="D23" i="139" s="1"/>
  <c r="C15" i="139"/>
  <c r="C23"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0" i="301"/>
  <c r="K19" i="301"/>
  <c r="J19" i="301"/>
  <c r="I19" i="301"/>
  <c r="H19" i="301"/>
  <c r="G19" i="301"/>
  <c r="F19" i="301"/>
  <c r="E19" i="301"/>
  <c r="D19" i="301"/>
  <c r="C19" i="301"/>
  <c r="A19" i="301"/>
  <c r="A18" i="301"/>
  <c r="A17" i="301"/>
  <c r="A16" i="301"/>
  <c r="A15" i="301"/>
  <c r="A14" i="301"/>
  <c r="A12" i="301"/>
  <c r="K11" i="301"/>
  <c r="K20" i="301" s="1"/>
  <c r="J11" i="301"/>
  <c r="J20" i="301" s="1"/>
  <c r="I11" i="301"/>
  <c r="I20" i="301" s="1"/>
  <c r="H11" i="301"/>
  <c r="H20" i="301" s="1"/>
  <c r="G11" i="301"/>
  <c r="G20" i="301" s="1"/>
  <c r="F11" i="301"/>
  <c r="F20" i="301" s="1"/>
  <c r="E11" i="301"/>
  <c r="E20" i="301" s="1"/>
  <c r="D11" i="301"/>
  <c r="D20" i="301" s="1"/>
  <c r="C11" i="301"/>
  <c r="C20" i="301" s="1"/>
  <c r="A11" i="301"/>
  <c r="A10" i="301"/>
  <c r="A9" i="301"/>
  <c r="A8" i="301"/>
  <c r="A24" i="301" s="1"/>
  <c r="A7" i="301"/>
  <c r="A6" i="301"/>
  <c r="A5" i="301"/>
  <c r="H3" i="301"/>
  <c r="G3" i="301"/>
  <c r="F3" i="301"/>
  <c r="E3" i="301"/>
  <c r="D3" i="301"/>
  <c r="C3" i="301"/>
  <c r="B2" i="301"/>
  <c r="A2" i="301"/>
  <c r="A58" i="95"/>
  <c r="N56" i="95"/>
  <c r="S55" i="95"/>
  <c r="R55" i="95"/>
  <c r="Q55" i="95"/>
  <c r="M52" i="95"/>
  <c r="A52" i="95"/>
  <c r="M51" i="95"/>
  <c r="A51" i="95"/>
  <c r="M50" i="95"/>
  <c r="A50" i="95"/>
  <c r="P47" i="95"/>
  <c r="P64" i="95" s="1"/>
  <c r="O47" i="95"/>
  <c r="O64" i="95" s="1"/>
  <c r="N47" i="95"/>
  <c r="L47" i="95"/>
  <c r="L64" i="95" s="1"/>
  <c r="K47" i="95"/>
  <c r="K64" i="95" s="1"/>
  <c r="J47" i="95"/>
  <c r="J64" i="95" s="1"/>
  <c r="I47" i="95"/>
  <c r="I64" i="95" s="1"/>
  <c r="H47" i="95"/>
  <c r="H64" i="95" s="1"/>
  <c r="G47" i="95"/>
  <c r="G64" i="95" s="1"/>
  <c r="F47" i="95"/>
  <c r="F64" i="95" s="1"/>
  <c r="E47" i="95"/>
  <c r="E64" i="95" s="1"/>
  <c r="D47" i="95"/>
  <c r="D53" i="95" s="1"/>
  <c r="C47" i="95"/>
  <c r="C53" i="95" s="1"/>
  <c r="B47" i="95"/>
  <c r="B53" i="95" s="1"/>
  <c r="M46" i="95"/>
  <c r="M45" i="95"/>
  <c r="M44" i="95"/>
  <c r="M43" i="95"/>
  <c r="M42" i="95"/>
  <c r="M41" i="95"/>
  <c r="M40" i="95"/>
  <c r="M39" i="95"/>
  <c r="M38" i="95"/>
  <c r="M37" i="95"/>
  <c r="M36" i="95"/>
  <c r="M32" i="95"/>
  <c r="A32" i="95"/>
  <c r="M31" i="95"/>
  <c r="A31" i="95"/>
  <c r="M30" i="95"/>
  <c r="A30" i="95"/>
  <c r="M29" i="95"/>
  <c r="A29" i="95"/>
  <c r="M28" i="95"/>
  <c r="A28" i="95"/>
  <c r="M27" i="95"/>
  <c r="A27" i="95"/>
  <c r="M26" i="95"/>
  <c r="A26" i="95"/>
  <c r="M25" i="95"/>
  <c r="A25" i="95"/>
  <c r="M24" i="95"/>
  <c r="P21" i="95"/>
  <c r="P33" i="95" s="1"/>
  <c r="O21" i="95"/>
  <c r="O33" i="95" s="1"/>
  <c r="N21" i="95"/>
  <c r="N33" i="95" s="1"/>
  <c r="L33" i="95"/>
  <c r="K33" i="95"/>
  <c r="J33" i="95"/>
  <c r="I33" i="95"/>
  <c r="H33" i="95"/>
  <c r="G33" i="95"/>
  <c r="F33" i="95"/>
  <c r="E33" i="95"/>
  <c r="D33" i="95"/>
  <c r="C33" i="95"/>
  <c r="B33" i="95"/>
  <c r="M20" i="95"/>
  <c r="A20" i="95"/>
  <c r="M19" i="95"/>
  <c r="M18" i="95"/>
  <c r="A18" i="95"/>
  <c r="M17" i="95"/>
  <c r="A17" i="95"/>
  <c r="M16" i="95"/>
  <c r="A16" i="95"/>
  <c r="M15" i="95"/>
  <c r="A15" i="95"/>
  <c r="M14" i="95"/>
  <c r="A14" i="95"/>
  <c r="M13" i="95"/>
  <c r="A13" i="95"/>
  <c r="M12" i="95"/>
  <c r="A12" i="95"/>
  <c r="M11" i="95"/>
  <c r="A11" i="95"/>
  <c r="M10" i="95"/>
  <c r="A10" i="95"/>
  <c r="M9" i="95"/>
  <c r="A9" i="95"/>
  <c r="M8" i="95"/>
  <c r="A8" i="95"/>
  <c r="M7" i="95"/>
  <c r="A7" i="95"/>
  <c r="M6" i="95"/>
  <c r="A6" i="95"/>
  <c r="M5" i="95"/>
  <c r="M21" i="95" s="1"/>
  <c r="M33" i="95" s="1"/>
  <c r="A5" i="95"/>
  <c r="A28" i="300"/>
  <c r="A26" i="300"/>
  <c r="A25" i="300"/>
  <c r="Q24" i="300"/>
  <c r="P24" i="300"/>
  <c r="O24" i="300"/>
  <c r="A24" i="300"/>
  <c r="Q23" i="300"/>
  <c r="P23" i="300"/>
  <c r="O23" i="300"/>
  <c r="A23" i="300"/>
  <c r="Q22" i="300"/>
  <c r="P22" i="300"/>
  <c r="O22" i="300"/>
  <c r="A22" i="300"/>
  <c r="Q21" i="300"/>
  <c r="P21" i="300"/>
  <c r="O21" i="300"/>
  <c r="A21" i="300"/>
  <c r="Q20" i="300"/>
  <c r="P20" i="300"/>
  <c r="O20" i="300"/>
  <c r="A20" i="300"/>
  <c r="A19" i="300"/>
  <c r="Q18" i="300"/>
  <c r="P18" i="300"/>
  <c r="O18" i="300"/>
  <c r="A18" i="300"/>
  <c r="Q17" i="300"/>
  <c r="P17" i="300"/>
  <c r="O17" i="300"/>
  <c r="A17" i="300"/>
  <c r="Q16" i="300"/>
  <c r="P16" i="300"/>
  <c r="O16" i="300"/>
  <c r="A16" i="300"/>
  <c r="A15" i="300"/>
  <c r="Q14" i="300"/>
  <c r="P14" i="300"/>
  <c r="O14" i="300"/>
  <c r="A14" i="300"/>
  <c r="Q13" i="300"/>
  <c r="P13" i="300"/>
  <c r="O13" i="300"/>
  <c r="A13" i="300"/>
  <c r="Q12" i="300"/>
  <c r="P12" i="300"/>
  <c r="O12" i="300"/>
  <c r="A12" i="300"/>
  <c r="Q11" i="300"/>
  <c r="P11" i="300"/>
  <c r="O11" i="300"/>
  <c r="A11" i="300"/>
  <c r="Q10" i="300"/>
  <c r="P10" i="300"/>
  <c r="O10" i="300"/>
  <c r="A10" i="300"/>
  <c r="A9" i="300"/>
  <c r="Q8" i="300"/>
  <c r="P8" i="300"/>
  <c r="O8" i="300"/>
  <c r="A8" i="300"/>
  <c r="Q7" i="300"/>
  <c r="P7" i="300"/>
  <c r="O7" i="300"/>
  <c r="A7" i="300"/>
  <c r="Q6" i="300"/>
  <c r="P6" i="300"/>
  <c r="O6" i="300"/>
  <c r="A6" i="300"/>
  <c r="A5" i="300"/>
  <c r="A4" i="300"/>
  <c r="B2" i="300"/>
  <c r="A2" i="300"/>
  <c r="A42" i="140"/>
  <c r="M38" i="140"/>
  <c r="L38" i="140"/>
  <c r="K38" i="140"/>
  <c r="J38" i="140"/>
  <c r="I38" i="140"/>
  <c r="H38" i="140"/>
  <c r="G38" i="140"/>
  <c r="F38" i="140"/>
  <c r="E38" i="140"/>
  <c r="D38" i="140"/>
  <c r="C38" i="140"/>
  <c r="B2" i="140"/>
  <c r="A2" i="140"/>
  <c r="A54" i="298"/>
  <c r="A53" i="298"/>
  <c r="Q52" i="298"/>
  <c r="P52" i="298"/>
  <c r="O52" i="298"/>
  <c r="N52" i="298" s="1"/>
  <c r="A52" i="298"/>
  <c r="A50" i="298"/>
  <c r="A27" i="298"/>
  <c r="A24" i="298"/>
  <c r="A23" i="298"/>
  <c r="A22" i="298"/>
  <c r="A21" i="298"/>
  <c r="A20" i="298"/>
  <c r="A19" i="298"/>
  <c r="A18" i="298"/>
  <c r="A17" i="298"/>
  <c r="A16" i="298"/>
  <c r="A15" i="298"/>
  <c r="A14" i="298"/>
  <c r="A13" i="298"/>
  <c r="A12" i="298"/>
  <c r="A11" i="298"/>
  <c r="A10" i="298"/>
  <c r="A9" i="298"/>
  <c r="A8" i="298"/>
  <c r="A7" i="298"/>
  <c r="A6" i="298"/>
  <c r="A5" i="298"/>
  <c r="A4" i="298"/>
  <c r="B2" i="298"/>
  <c r="A2" i="298"/>
  <c r="A46" i="299"/>
  <c r="A45" i="299"/>
  <c r="Q44" i="299"/>
  <c r="P44" i="299"/>
  <c r="O44" i="299"/>
  <c r="N44" i="299" s="1"/>
  <c r="A44" i="299"/>
  <c r="A40" i="299"/>
  <c r="A38" i="299"/>
  <c r="A22" i="299"/>
  <c r="A20" i="299"/>
  <c r="A4" i="299"/>
  <c r="B2" i="299"/>
  <c r="A2" i="299"/>
  <c r="A47" i="137"/>
  <c r="A46" i="137"/>
  <c r="Q45" i="137"/>
  <c r="P45" i="137"/>
  <c r="O45" i="137"/>
  <c r="N45" i="137"/>
  <c r="A45" i="137"/>
  <c r="Q44" i="137"/>
  <c r="Q43" i="299" s="1"/>
  <c r="P44" i="137"/>
  <c r="P43" i="299" s="1"/>
  <c r="O44" i="137"/>
  <c r="O43" i="299" s="1"/>
  <c r="N43" i="299" s="1"/>
  <c r="A44" i="137"/>
  <c r="A43" i="299" s="1"/>
  <c r="Q43" i="137"/>
  <c r="Q42" i="299" s="1"/>
  <c r="P43" i="137"/>
  <c r="P42" i="299" s="1"/>
  <c r="O43" i="137"/>
  <c r="O42" i="299" s="1"/>
  <c r="N42" i="299" s="1"/>
  <c r="A43" i="137"/>
  <c r="A42" i="299" s="1"/>
  <c r="A42" i="137"/>
  <c r="Q41" i="137"/>
  <c r="P41" i="137"/>
  <c r="O41" i="137"/>
  <c r="N41" i="137" s="1"/>
  <c r="A41" i="137"/>
  <c r="A40" i="137"/>
  <c r="Q39" i="137"/>
  <c r="P39" i="137"/>
  <c r="O39" i="137"/>
  <c r="N39" i="137" s="1"/>
  <c r="A39" i="137"/>
  <c r="A38" i="137"/>
  <c r="A36" i="137"/>
  <c r="Q35" i="137"/>
  <c r="P35" i="137"/>
  <c r="O35" i="137"/>
  <c r="A35" i="137"/>
  <c r="A34" i="137"/>
  <c r="Q33" i="137"/>
  <c r="P33" i="137"/>
  <c r="O33" i="137"/>
  <c r="A33" i="137"/>
  <c r="A32" i="137"/>
  <c r="Q31" i="137"/>
  <c r="P31" i="137"/>
  <c r="O31" i="137"/>
  <c r="A31" i="137"/>
  <c r="A30" i="137"/>
  <c r="Q29" i="137"/>
  <c r="P29" i="137"/>
  <c r="O29" i="137"/>
  <c r="A29" i="137"/>
  <c r="A28" i="137"/>
  <c r="Q27" i="137"/>
  <c r="P27" i="137"/>
  <c r="O27" i="137"/>
  <c r="A27" i="137"/>
  <c r="Q26" i="137"/>
  <c r="P26" i="137"/>
  <c r="O26" i="137"/>
  <c r="A26" i="137"/>
  <c r="A25" i="137"/>
  <c r="A24" i="137"/>
  <c r="A22" i="137"/>
  <c r="Q21" i="137"/>
  <c r="P21" i="137"/>
  <c r="O21" i="137"/>
  <c r="A21" i="137"/>
  <c r="A20" i="137"/>
  <c r="Q19" i="137"/>
  <c r="P19" i="137"/>
  <c r="O19" i="137"/>
  <c r="A19" i="137"/>
  <c r="Q18" i="137"/>
  <c r="P18" i="137"/>
  <c r="O18" i="137"/>
  <c r="A18" i="137"/>
  <c r="Q17" i="137"/>
  <c r="P17" i="137"/>
  <c r="O17" i="137"/>
  <c r="A17" i="137"/>
  <c r="Q16" i="137"/>
  <c r="P16" i="137"/>
  <c r="O16" i="137"/>
  <c r="A16" i="137"/>
  <c r="Q15" i="137"/>
  <c r="P15" i="137"/>
  <c r="O15" i="137"/>
  <c r="A15" i="137"/>
  <c r="Q14" i="137"/>
  <c r="P14" i="137"/>
  <c r="O14" i="137"/>
  <c r="A14" i="137"/>
  <c r="Q13" i="137"/>
  <c r="P13" i="137"/>
  <c r="O13" i="137"/>
  <c r="A13" i="137"/>
  <c r="Q12" i="137"/>
  <c r="P12" i="137"/>
  <c r="O12" i="137"/>
  <c r="A12" i="137"/>
  <c r="Q11" i="137"/>
  <c r="P11" i="137"/>
  <c r="O11" i="137"/>
  <c r="A11" i="137"/>
  <c r="A10" i="137"/>
  <c r="A9" i="137"/>
  <c r="A8" i="137"/>
  <c r="A7" i="137"/>
  <c r="Q6" i="137"/>
  <c r="P6" i="137"/>
  <c r="O6" i="137"/>
  <c r="A6" i="137"/>
  <c r="A5" i="137"/>
  <c r="A4" i="137"/>
  <c r="B2" i="137"/>
  <c r="A2" i="137"/>
  <c r="A43" i="148"/>
  <c r="C6" i="134" l="1"/>
  <c r="O42" i="139"/>
  <c r="I6" i="350"/>
  <c r="J76" i="348"/>
  <c r="I23" i="139"/>
  <c r="M23" i="139"/>
  <c r="O30" i="139"/>
  <c r="D44" i="139"/>
  <c r="H44" i="139"/>
  <c r="L44" i="139"/>
  <c r="K6" i="350"/>
  <c r="K77" i="350" s="1"/>
  <c r="F54" i="294"/>
  <c r="O21" i="139"/>
  <c r="G54" i="294"/>
  <c r="M6" i="300"/>
  <c r="L6" i="300"/>
  <c r="K6" i="300"/>
  <c r="J6" i="300"/>
  <c r="I6" i="300"/>
  <c r="H6" i="300"/>
  <c r="G6" i="300"/>
  <c r="F6" i="300"/>
  <c r="E6" i="300"/>
  <c r="D6" i="300"/>
  <c r="C6" i="300"/>
  <c r="C8" i="300"/>
  <c r="D8" i="300"/>
  <c r="E8" i="300"/>
  <c r="F8" i="300"/>
  <c r="G8" i="300"/>
  <c r="H8" i="300"/>
  <c r="I8" i="300"/>
  <c r="J8" i="300"/>
  <c r="K8" i="300"/>
  <c r="L8" i="300"/>
  <c r="M8" i="300"/>
  <c r="M10" i="300"/>
  <c r="L10" i="300"/>
  <c r="K10" i="300"/>
  <c r="J10" i="300"/>
  <c r="I10" i="300"/>
  <c r="H10" i="300"/>
  <c r="G10" i="300"/>
  <c r="F10" i="300"/>
  <c r="E10" i="300"/>
  <c r="D10" i="300"/>
  <c r="C10" i="300"/>
  <c r="M11" i="300"/>
  <c r="L11" i="300"/>
  <c r="K11" i="300"/>
  <c r="J11" i="300"/>
  <c r="I11" i="300"/>
  <c r="H11" i="300"/>
  <c r="G11" i="300"/>
  <c r="F11" i="300"/>
  <c r="E11" i="300"/>
  <c r="D11" i="300"/>
  <c r="C11" i="300"/>
  <c r="M12" i="300"/>
  <c r="L12" i="300"/>
  <c r="K12" i="300"/>
  <c r="J12" i="300"/>
  <c r="I12" i="300"/>
  <c r="H12" i="300"/>
  <c r="G12" i="300"/>
  <c r="F12" i="300"/>
  <c r="E12" i="300"/>
  <c r="D12" i="300"/>
  <c r="C12" i="300"/>
  <c r="M13" i="300"/>
  <c r="L13" i="300"/>
  <c r="K13" i="300"/>
  <c r="J13" i="300"/>
  <c r="I13" i="300"/>
  <c r="H13" i="300"/>
  <c r="G13" i="300"/>
  <c r="F13" i="300"/>
  <c r="E13" i="300"/>
  <c r="D13" i="300"/>
  <c r="C13" i="300"/>
  <c r="M14" i="300"/>
  <c r="L14" i="300"/>
  <c r="K14" i="300"/>
  <c r="J14" i="300"/>
  <c r="I14" i="300"/>
  <c r="H14" i="300"/>
  <c r="G14" i="300"/>
  <c r="F14" i="300"/>
  <c r="E14" i="300"/>
  <c r="D14" i="300"/>
  <c r="C14" i="300"/>
  <c r="M16" i="300"/>
  <c r="L16" i="300"/>
  <c r="K16" i="300"/>
  <c r="J16" i="300"/>
  <c r="I16" i="300"/>
  <c r="H16" i="300"/>
  <c r="G16" i="300"/>
  <c r="F16" i="300"/>
  <c r="E16" i="300"/>
  <c r="D16" i="300"/>
  <c r="C16" i="300"/>
  <c r="M17" i="300"/>
  <c r="L17" i="300"/>
  <c r="K17" i="300"/>
  <c r="J17" i="300"/>
  <c r="I17" i="300"/>
  <c r="H17" i="300"/>
  <c r="G17" i="300"/>
  <c r="F17" i="300"/>
  <c r="E17" i="300"/>
  <c r="D17" i="300"/>
  <c r="C17" i="300"/>
  <c r="M18" i="300"/>
  <c r="L18" i="300"/>
  <c r="K18" i="300"/>
  <c r="J18" i="300"/>
  <c r="I18" i="300"/>
  <c r="H18" i="300"/>
  <c r="G18" i="300"/>
  <c r="F18" i="300"/>
  <c r="E18" i="300"/>
  <c r="D18" i="300"/>
  <c r="C18" i="300"/>
  <c r="M21" i="300"/>
  <c r="L21" i="300"/>
  <c r="K21" i="300"/>
  <c r="J21" i="300"/>
  <c r="I21" i="300"/>
  <c r="H21" i="300"/>
  <c r="G21" i="300"/>
  <c r="F21" i="300"/>
  <c r="E21" i="300"/>
  <c r="D21" i="300"/>
  <c r="C21" i="300"/>
  <c r="M22" i="300"/>
  <c r="L22" i="300"/>
  <c r="K22" i="300"/>
  <c r="J22" i="300"/>
  <c r="I22" i="300"/>
  <c r="H22" i="300"/>
  <c r="G22" i="300"/>
  <c r="F22" i="300"/>
  <c r="E22" i="300"/>
  <c r="D22" i="300"/>
  <c r="C22" i="300"/>
  <c r="N22" i="300" s="1"/>
  <c r="M23" i="300"/>
  <c r="L23" i="300"/>
  <c r="K23" i="300"/>
  <c r="J23" i="300"/>
  <c r="I23" i="300"/>
  <c r="H23" i="300"/>
  <c r="G23" i="300"/>
  <c r="F23" i="300"/>
  <c r="E23" i="300"/>
  <c r="D23" i="300"/>
  <c r="C23" i="300"/>
  <c r="M24" i="300"/>
  <c r="L24" i="300"/>
  <c r="K24" i="300"/>
  <c r="J24" i="300"/>
  <c r="I24" i="300"/>
  <c r="H24" i="300"/>
  <c r="G24" i="300"/>
  <c r="F24" i="300"/>
  <c r="E24" i="300"/>
  <c r="D24" i="300"/>
  <c r="C24" i="300"/>
  <c r="C7" i="300"/>
  <c r="C5" i="300" s="1"/>
  <c r="D7" i="300"/>
  <c r="D5" i="300" s="1"/>
  <c r="E7" i="300"/>
  <c r="E5" i="300" s="1"/>
  <c r="F7" i="300"/>
  <c r="F5" i="300" s="1"/>
  <c r="G7" i="300"/>
  <c r="G5" i="300" s="1"/>
  <c r="H7" i="300"/>
  <c r="H5" i="300" s="1"/>
  <c r="I7" i="300"/>
  <c r="I5" i="300" s="1"/>
  <c r="J7" i="300"/>
  <c r="J5" i="300" s="1"/>
  <c r="K7" i="300"/>
  <c r="K5" i="300" s="1"/>
  <c r="L7" i="300"/>
  <c r="L5" i="300" s="1"/>
  <c r="M7" i="300"/>
  <c r="M5" i="300" s="1"/>
  <c r="M20" i="300"/>
  <c r="M19" i="300" s="1"/>
  <c r="L20" i="300"/>
  <c r="L19" i="300" s="1"/>
  <c r="K20" i="300"/>
  <c r="K19" i="300" s="1"/>
  <c r="J20" i="300"/>
  <c r="J19" i="300" s="1"/>
  <c r="I20" i="300"/>
  <c r="I19" i="300" s="1"/>
  <c r="H20" i="300"/>
  <c r="H19" i="300" s="1"/>
  <c r="G20" i="300"/>
  <c r="G19" i="300" s="1"/>
  <c r="F20" i="300"/>
  <c r="F19" i="300" s="1"/>
  <c r="E20" i="300"/>
  <c r="E19" i="300" s="1"/>
  <c r="D20" i="300"/>
  <c r="D19" i="300" s="1"/>
  <c r="C20" i="300"/>
  <c r="C19" i="300" s="1"/>
  <c r="J6" i="134"/>
  <c r="J77" i="350"/>
  <c r="I6" i="134"/>
  <c r="J77" i="134"/>
  <c r="L6" i="137"/>
  <c r="K6" i="137"/>
  <c r="J6" i="137"/>
  <c r="M6" i="137"/>
  <c r="I6" i="137"/>
  <c r="H6" i="137"/>
  <c r="G6" i="137"/>
  <c r="F6" i="137"/>
  <c r="E6" i="137"/>
  <c r="D6" i="137"/>
  <c r="C6" i="137"/>
  <c r="L11" i="137"/>
  <c r="K11" i="137"/>
  <c r="J11" i="137"/>
  <c r="M11" i="137"/>
  <c r="I11" i="137"/>
  <c r="H11" i="137"/>
  <c r="G11" i="137"/>
  <c r="F11" i="137"/>
  <c r="E11" i="137"/>
  <c r="D11" i="137"/>
  <c r="C11" i="137"/>
  <c r="L12" i="137"/>
  <c r="K12" i="137"/>
  <c r="J12" i="137"/>
  <c r="M12" i="137"/>
  <c r="I12" i="137"/>
  <c r="H12" i="137"/>
  <c r="G12" i="137"/>
  <c r="F12" i="137"/>
  <c r="E12" i="137"/>
  <c r="D12" i="137"/>
  <c r="C12" i="137"/>
  <c r="L13" i="137"/>
  <c r="K13" i="137"/>
  <c r="J13" i="137"/>
  <c r="M13" i="137"/>
  <c r="I13" i="137"/>
  <c r="H13" i="137"/>
  <c r="G13" i="137"/>
  <c r="F13" i="137"/>
  <c r="E13" i="137"/>
  <c r="D13" i="137"/>
  <c r="C13" i="137"/>
  <c r="N13" i="137" s="1"/>
  <c r="L14" i="137"/>
  <c r="K14" i="137"/>
  <c r="J14" i="137"/>
  <c r="M14" i="137"/>
  <c r="I14" i="137"/>
  <c r="H14" i="137"/>
  <c r="G14" i="137"/>
  <c r="F14" i="137"/>
  <c r="E14" i="137"/>
  <c r="D14" i="137"/>
  <c r="C14" i="137"/>
  <c r="L15" i="137"/>
  <c r="K15" i="137"/>
  <c r="J15" i="137"/>
  <c r="M15" i="137"/>
  <c r="I15" i="137"/>
  <c r="H15" i="137"/>
  <c r="G15" i="137"/>
  <c r="F15" i="137"/>
  <c r="E15" i="137"/>
  <c r="D15" i="137"/>
  <c r="C15" i="137"/>
  <c r="L16" i="137"/>
  <c r="K16" i="137"/>
  <c r="J16" i="137"/>
  <c r="M16" i="137"/>
  <c r="I16" i="137"/>
  <c r="H16" i="137"/>
  <c r="G16" i="137"/>
  <c r="F16" i="137"/>
  <c r="E16" i="137"/>
  <c r="D16" i="137"/>
  <c r="C16" i="137"/>
  <c r="L17" i="137"/>
  <c r="K17" i="137"/>
  <c r="J17" i="137"/>
  <c r="M17" i="137"/>
  <c r="I17" i="137"/>
  <c r="H17" i="137"/>
  <c r="G17" i="137"/>
  <c r="F17" i="137"/>
  <c r="E17" i="137"/>
  <c r="D17" i="137"/>
  <c r="C17" i="137"/>
  <c r="N17" i="137" s="1"/>
  <c r="L18" i="137"/>
  <c r="K18" i="137"/>
  <c r="J18" i="137"/>
  <c r="M18" i="137"/>
  <c r="I18" i="137"/>
  <c r="H18" i="137"/>
  <c r="G18" i="137"/>
  <c r="F18" i="137"/>
  <c r="E18" i="137"/>
  <c r="D18" i="137"/>
  <c r="C18" i="137"/>
  <c r="L19" i="137"/>
  <c r="K19" i="137"/>
  <c r="J19" i="137"/>
  <c r="M19" i="137"/>
  <c r="I19" i="137"/>
  <c r="H19" i="137"/>
  <c r="G19" i="137"/>
  <c r="F19" i="137"/>
  <c r="E19" i="137"/>
  <c r="D19" i="137"/>
  <c r="C19" i="137"/>
  <c r="F21" i="137"/>
  <c r="D21" i="137"/>
  <c r="C21" i="137"/>
  <c r="M26" i="137"/>
  <c r="L26" i="137"/>
  <c r="K26" i="137"/>
  <c r="J26" i="137"/>
  <c r="I26" i="137"/>
  <c r="H26" i="137"/>
  <c r="G26" i="137"/>
  <c r="F26" i="137"/>
  <c r="E26" i="137"/>
  <c r="D26" i="137"/>
  <c r="C26" i="137"/>
  <c r="N26" i="137" s="1"/>
  <c r="M27" i="137"/>
  <c r="L27" i="137"/>
  <c r="K27" i="137"/>
  <c r="J27" i="137"/>
  <c r="I27" i="137"/>
  <c r="H27" i="137"/>
  <c r="G27" i="137"/>
  <c r="F27" i="137"/>
  <c r="E27" i="137"/>
  <c r="D27" i="137"/>
  <c r="C27" i="137"/>
  <c r="M29" i="137"/>
  <c r="L29" i="137"/>
  <c r="K29" i="137"/>
  <c r="J29" i="137"/>
  <c r="I29" i="137"/>
  <c r="H29" i="137"/>
  <c r="G29" i="137"/>
  <c r="F29" i="137"/>
  <c r="E29" i="137"/>
  <c r="D29" i="137"/>
  <c r="C29" i="137"/>
  <c r="M31" i="137"/>
  <c r="L31" i="137"/>
  <c r="K31" i="137"/>
  <c r="J31" i="137"/>
  <c r="I31" i="137"/>
  <c r="H31" i="137"/>
  <c r="G31" i="137"/>
  <c r="F31" i="137"/>
  <c r="E31" i="137"/>
  <c r="D31" i="137"/>
  <c r="C31" i="137"/>
  <c r="M33" i="137"/>
  <c r="L33" i="137"/>
  <c r="K33" i="137"/>
  <c r="J33" i="137"/>
  <c r="I33" i="137"/>
  <c r="H33" i="137"/>
  <c r="G33" i="137"/>
  <c r="F33" i="137"/>
  <c r="E33" i="137"/>
  <c r="D33" i="137"/>
  <c r="C33" i="137"/>
  <c r="N33" i="137" s="1"/>
  <c r="M35" i="137"/>
  <c r="L35" i="137"/>
  <c r="K35" i="137"/>
  <c r="J35" i="137"/>
  <c r="I35" i="137"/>
  <c r="H35" i="137"/>
  <c r="G35" i="137"/>
  <c r="F35" i="137"/>
  <c r="E35" i="137"/>
  <c r="D35" i="137"/>
  <c r="C35" i="137"/>
  <c r="C77" i="134"/>
  <c r="D77" i="350"/>
  <c r="C77" i="350" s="1"/>
  <c r="C77" i="349"/>
  <c r="J54" i="348"/>
  <c r="N43" i="137"/>
  <c r="J20" i="348"/>
  <c r="J77" i="348" s="1"/>
  <c r="I77" i="348" s="1"/>
  <c r="L76" i="348" s="1"/>
  <c r="I77" i="350"/>
  <c r="I77" i="134"/>
  <c r="E23" i="139"/>
  <c r="O15" i="139"/>
  <c r="O23" i="139" s="1"/>
  <c r="O36" i="139"/>
  <c r="O44" i="139" s="1"/>
  <c r="F77" i="134"/>
  <c r="E77" i="134"/>
  <c r="F77" i="349"/>
  <c r="E77" i="349" s="1"/>
  <c r="J77" i="349"/>
  <c r="K77" i="349"/>
  <c r="N44" i="137"/>
  <c r="E53" i="95"/>
  <c r="F53" i="95"/>
  <c r="G53" i="95"/>
  <c r="G55" i="95" s="1"/>
  <c r="F55" i="95" s="1"/>
  <c r="E55" i="95" s="1"/>
  <c r="D55" i="95" s="1"/>
  <c r="C55" i="95" s="1"/>
  <c r="B55" i="95" s="1"/>
  <c r="H53" i="95"/>
  <c r="H55" i="95" s="1"/>
  <c r="H65" i="95" s="1"/>
  <c r="I53" i="95"/>
  <c r="I55" i="95" s="1"/>
  <c r="I65" i="95" s="1"/>
  <c r="J53" i="95"/>
  <c r="K53" i="95"/>
  <c r="K55" i="95" s="1"/>
  <c r="K65" i="95" s="1"/>
  <c r="L53" i="95"/>
  <c r="M47" i="95"/>
  <c r="N53" i="95"/>
  <c r="N55" i="95" s="1"/>
  <c r="O53" i="95"/>
  <c r="O55" i="95" s="1"/>
  <c r="O65" i="95" s="1"/>
  <c r="P53" i="95"/>
  <c r="N64" i="95"/>
  <c r="J55" i="95"/>
  <c r="P55" i="95"/>
  <c r="D74" i="338"/>
  <c r="D26" i="338" s="1"/>
  <c r="D23" i="338" s="1"/>
  <c r="E74" i="338"/>
  <c r="F74" i="338"/>
  <c r="F26" i="338" s="1"/>
  <c r="F23" i="338" s="1"/>
  <c r="G74" i="338"/>
  <c r="G70" i="338" s="1"/>
  <c r="H74" i="338"/>
  <c r="H26" i="338" s="1"/>
  <c r="H23" i="338" s="1"/>
  <c r="I74" i="338"/>
  <c r="J74" i="338"/>
  <c r="J26" i="338" s="1"/>
  <c r="J23" i="338" s="1"/>
  <c r="K74" i="338"/>
  <c r="L74" i="338"/>
  <c r="L26" i="338" s="1"/>
  <c r="L23" i="338" s="1"/>
  <c r="M74" i="338"/>
  <c r="D70" i="338"/>
  <c r="E70" i="338"/>
  <c r="E26" i="338"/>
  <c r="E23" i="338" s="1"/>
  <c r="G26" i="338"/>
  <c r="G23" i="338" s="1"/>
  <c r="H70" i="338"/>
  <c r="I70" i="338"/>
  <c r="I26" i="338"/>
  <c r="I23" i="338" s="1"/>
  <c r="K70" i="338"/>
  <c r="K26" i="338"/>
  <c r="K23" i="338" s="1"/>
  <c r="L70" i="338"/>
  <c r="M70" i="338"/>
  <c r="M26" i="338"/>
  <c r="M23" i="338" s="1"/>
  <c r="K36" i="148"/>
  <c r="J36" i="148"/>
  <c r="I36" i="148"/>
  <c r="H36" i="148"/>
  <c r="G36" i="148"/>
  <c r="F36" i="148"/>
  <c r="E36" i="148"/>
  <c r="K20" i="148"/>
  <c r="J20" i="148"/>
  <c r="I20" i="148"/>
  <c r="H20" i="148"/>
  <c r="G20" i="148"/>
  <c r="F20" i="148"/>
  <c r="E20" i="148"/>
  <c r="D20" i="148"/>
  <c r="C20" i="148"/>
  <c r="D19" i="148"/>
  <c r="D36" i="148" s="1"/>
  <c r="C19" i="148"/>
  <c r="C36" i="148" s="1"/>
  <c r="K10" i="148"/>
  <c r="J10" i="148"/>
  <c r="I10" i="148"/>
  <c r="H10" i="148"/>
  <c r="G10" i="148"/>
  <c r="F10" i="148"/>
  <c r="E10" i="148"/>
  <c r="D10" i="148"/>
  <c r="C10" i="148"/>
  <c r="B2" i="148"/>
  <c r="A59" i="145"/>
  <c r="H55" i="145"/>
  <c r="G55" i="145"/>
  <c r="F55" i="145"/>
  <c r="E55" i="145"/>
  <c r="D55" i="145"/>
  <c r="C55" i="145"/>
  <c r="I54" i="145"/>
  <c r="I53" i="145"/>
  <c r="I52" i="145"/>
  <c r="I51" i="145"/>
  <c r="I50" i="145"/>
  <c r="I49" i="145"/>
  <c r="I48" i="145"/>
  <c r="I47" i="145"/>
  <c r="I46" i="145"/>
  <c r="I45" i="145"/>
  <c r="I44" i="145"/>
  <c r="I43" i="145"/>
  <c r="I42" i="145"/>
  <c r="I41" i="145"/>
  <c r="I40" i="145"/>
  <c r="I39" i="145"/>
  <c r="H35" i="145"/>
  <c r="H57" i="145" s="1"/>
  <c r="G35" i="145"/>
  <c r="G57" i="145" s="1"/>
  <c r="C35" i="145"/>
  <c r="A35" i="145"/>
  <c r="I34" i="145"/>
  <c r="I33" i="145"/>
  <c r="I32" i="145"/>
  <c r="I31" i="145"/>
  <c r="I30" i="145"/>
  <c r="I29" i="145"/>
  <c r="I28" i="145"/>
  <c r="I27" i="145"/>
  <c r="I26" i="145"/>
  <c r="I25" i="145"/>
  <c r="I24" i="145"/>
  <c r="I23" i="145"/>
  <c r="I22" i="145"/>
  <c r="I19" i="145"/>
  <c r="I18" i="145"/>
  <c r="I17" i="145"/>
  <c r="D16" i="145"/>
  <c r="I16" i="145" s="1"/>
  <c r="N29" i="137" l="1"/>
  <c r="N19" i="137"/>
  <c r="N15" i="137"/>
  <c r="N11" i="137"/>
  <c r="N24" i="300"/>
  <c r="N18" i="300"/>
  <c r="N13" i="300"/>
  <c r="N31" i="137"/>
  <c r="N21" i="137"/>
  <c r="N16" i="137"/>
  <c r="N12" i="137"/>
  <c r="N21" i="300"/>
  <c r="N14" i="300"/>
  <c r="N11" i="300"/>
  <c r="N35" i="137"/>
  <c r="N27" i="137"/>
  <c r="N18" i="137"/>
  <c r="N14" i="137"/>
  <c r="N6" i="137"/>
  <c r="N23" i="300"/>
  <c r="N17" i="300"/>
  <c r="N12" i="300"/>
  <c r="N6" i="300"/>
  <c r="N8" i="300"/>
  <c r="C15" i="300"/>
  <c r="D15" i="300"/>
  <c r="E15" i="300"/>
  <c r="F15" i="300"/>
  <c r="G15" i="300"/>
  <c r="H15" i="300"/>
  <c r="I15" i="300"/>
  <c r="J15" i="300"/>
  <c r="K15" i="300"/>
  <c r="L15" i="300"/>
  <c r="M15" i="300"/>
  <c r="N16" i="300"/>
  <c r="C9" i="300"/>
  <c r="C25" i="300" s="1"/>
  <c r="D9" i="300"/>
  <c r="D25" i="300" s="1"/>
  <c r="E9" i="300"/>
  <c r="E25" i="300" s="1"/>
  <c r="F9" i="300"/>
  <c r="F25" i="300" s="1"/>
  <c r="G9" i="300"/>
  <c r="G25" i="300" s="1"/>
  <c r="H9" i="300"/>
  <c r="H25" i="300" s="1"/>
  <c r="I9" i="300"/>
  <c r="I25" i="300" s="1"/>
  <c r="J9" i="300"/>
  <c r="J25" i="300" s="1"/>
  <c r="K9" i="300"/>
  <c r="K25" i="300" s="1"/>
  <c r="L9" i="300"/>
  <c r="L25" i="300" s="1"/>
  <c r="M9" i="300"/>
  <c r="M25" i="300" s="1"/>
  <c r="N10" i="300"/>
  <c r="N7" i="300"/>
  <c r="N20" i="300"/>
  <c r="H37" i="148"/>
  <c r="I37" i="148"/>
  <c r="J37" i="148"/>
  <c r="J70" i="338"/>
  <c r="F70" i="338"/>
  <c r="G37" i="148"/>
  <c r="F37" i="148" s="1"/>
  <c r="K37" i="148"/>
  <c r="J65" i="95"/>
  <c r="G65" i="95"/>
  <c r="F65" i="95"/>
  <c r="E65" i="95"/>
  <c r="N65" i="95"/>
  <c r="N57" i="95"/>
  <c r="O56" i="95" s="1"/>
  <c r="O57" i="95" s="1"/>
  <c r="P56" i="95" s="1"/>
  <c r="P57" i="95" s="1"/>
  <c r="M64" i="95"/>
  <c r="M53" i="95"/>
  <c r="M55" i="95" s="1"/>
  <c r="L55" i="95" s="1"/>
  <c r="F15" i="145"/>
  <c r="F35" i="145" s="1"/>
  <c r="E15" i="145"/>
  <c r="E35" i="145" s="1"/>
  <c r="D15" i="145"/>
  <c r="I15" i="145" s="1"/>
  <c r="D14" i="145"/>
  <c r="F11" i="145"/>
  <c r="F57" i="145" s="1"/>
  <c r="E11" i="145"/>
  <c r="E57" i="145" s="1"/>
  <c r="D11" i="145"/>
  <c r="C11" i="145"/>
  <c r="A11" i="145"/>
  <c r="I10" i="145"/>
  <c r="I9" i="145"/>
  <c r="I8" i="145"/>
  <c r="I7" i="145"/>
  <c r="I6" i="145"/>
  <c r="I5" i="145"/>
  <c r="I11" i="145" s="1"/>
  <c r="B2" i="145"/>
  <c r="A92" i="146"/>
  <c r="B90" i="146"/>
  <c r="A90" i="146"/>
  <c r="B85" i="146"/>
  <c r="A85" i="146"/>
  <c r="K84" i="146"/>
  <c r="J84" i="146"/>
  <c r="I84" i="146"/>
  <c r="H84" i="146"/>
  <c r="G84" i="146"/>
  <c r="F84" i="146"/>
  <c r="E84" i="146"/>
  <c r="D84" i="146"/>
  <c r="C84" i="146"/>
  <c r="A83" i="146"/>
  <c r="B71" i="146"/>
  <c r="A71" i="146"/>
  <c r="K70" i="146"/>
  <c r="J70" i="146"/>
  <c r="I70" i="146"/>
  <c r="H70" i="146"/>
  <c r="G70" i="146"/>
  <c r="F70" i="146"/>
  <c r="E70" i="146"/>
  <c r="D70" i="146"/>
  <c r="C70" i="146"/>
  <c r="A69" i="146"/>
  <c r="A68" i="146"/>
  <c r="A82" i="146" s="1"/>
  <c r="B58" i="146"/>
  <c r="A58" i="146"/>
  <c r="K57" i="146"/>
  <c r="K87" i="146" s="1"/>
  <c r="J57" i="146"/>
  <c r="J87" i="146" s="1"/>
  <c r="I57" i="146"/>
  <c r="H57" i="146"/>
  <c r="G57" i="146"/>
  <c r="G87" i="146" s="1"/>
  <c r="F57" i="146"/>
  <c r="F87" i="146" s="1"/>
  <c r="E57" i="146"/>
  <c r="E87" i="146" s="1"/>
  <c r="D57" i="146"/>
  <c r="C57" i="146"/>
  <c r="C87" i="146" s="1"/>
  <c r="A56" i="146"/>
  <c r="A53" i="146"/>
  <c r="A66" i="146" s="1"/>
  <c r="A79" i="146" s="1"/>
  <c r="A51" i="146"/>
  <c r="A64" i="146" s="1"/>
  <c r="A77" i="146" s="1"/>
  <c r="A50" i="146"/>
  <c r="A63" i="146" s="1"/>
  <c r="A76" i="146" s="1"/>
  <c r="A49" i="146"/>
  <c r="A62" i="146" s="1"/>
  <c r="A75" i="146" s="1"/>
  <c r="A48" i="146"/>
  <c r="A61" i="146" s="1"/>
  <c r="B42" i="146"/>
  <c r="A42" i="146"/>
  <c r="K41" i="146"/>
  <c r="J41" i="146"/>
  <c r="I41" i="146"/>
  <c r="H41" i="146"/>
  <c r="G41" i="146"/>
  <c r="F41" i="146"/>
  <c r="E41" i="146"/>
  <c r="D41" i="146"/>
  <c r="C41" i="146"/>
  <c r="A40" i="146"/>
  <c r="A39" i="146"/>
  <c r="B28" i="146"/>
  <c r="A28" i="146"/>
  <c r="K27" i="146"/>
  <c r="J27" i="146"/>
  <c r="I27" i="146"/>
  <c r="I91" i="146" s="1"/>
  <c r="H27" i="146"/>
  <c r="G27" i="146"/>
  <c r="F27" i="146"/>
  <c r="E27" i="146"/>
  <c r="E91" i="146" s="1"/>
  <c r="C27" i="146"/>
  <c r="C91" i="146" s="1"/>
  <c r="D24" i="146"/>
  <c r="A23" i="146"/>
  <c r="A36" i="146" s="1"/>
  <c r="D21" i="146"/>
  <c r="A21" i="146"/>
  <c r="A34" i="146" s="1"/>
  <c r="A20" i="146"/>
  <c r="A19" i="146"/>
  <c r="D18" i="146"/>
  <c r="A18" i="146"/>
  <c r="K14" i="146"/>
  <c r="J14" i="146"/>
  <c r="J44" i="146" s="1"/>
  <c r="H14" i="146"/>
  <c r="G14" i="146"/>
  <c r="F14" i="146"/>
  <c r="F44" i="146" s="1"/>
  <c r="D27" i="146" l="1"/>
  <c r="F91" i="146"/>
  <c r="J91" i="146"/>
  <c r="D87" i="146"/>
  <c r="H87" i="146"/>
  <c r="K44" i="146"/>
  <c r="K91" i="146"/>
  <c r="D35" i="145"/>
  <c r="D57" i="145" s="1"/>
  <c r="G15" i="146"/>
  <c r="H15" i="146"/>
  <c r="G28" i="146"/>
  <c r="H28" i="146"/>
  <c r="D42" i="146"/>
  <c r="E42" i="146"/>
  <c r="F42" i="146"/>
  <c r="I58" i="146"/>
  <c r="I87" i="146"/>
  <c r="D71" i="146"/>
  <c r="H71" i="146"/>
  <c r="G71" i="146" s="1"/>
  <c r="F71" i="146" s="1"/>
  <c r="E71" i="146" s="1"/>
  <c r="I71" i="146"/>
  <c r="J71" i="146"/>
  <c r="K71" i="146"/>
  <c r="D85" i="146"/>
  <c r="E85" i="146"/>
  <c r="F85" i="146"/>
  <c r="G85" i="146"/>
  <c r="H85" i="146"/>
  <c r="I85" i="146"/>
  <c r="J85" i="146"/>
  <c r="K85" i="146"/>
  <c r="F89" i="146"/>
  <c r="D91" i="146"/>
  <c r="D28" i="146"/>
  <c r="K89" i="146"/>
  <c r="E28" i="146"/>
  <c r="F28" i="146"/>
  <c r="I28" i="146"/>
  <c r="G91" i="146"/>
  <c r="H91" i="146"/>
  <c r="J42" i="146"/>
  <c r="K42" i="146"/>
  <c r="E58" i="146"/>
  <c r="D58" i="146" s="1"/>
  <c r="F58" i="146"/>
  <c r="G58" i="146"/>
  <c r="H58" i="146"/>
  <c r="J58" i="146"/>
  <c r="K58" i="146"/>
  <c r="C57" i="145"/>
  <c r="I55" i="145" s="1"/>
  <c r="I14" i="145"/>
  <c r="I35" i="145" s="1"/>
  <c r="M65" i="95"/>
  <c r="L65" i="95" s="1"/>
  <c r="J28" i="146"/>
  <c r="K28" i="146"/>
  <c r="G42" i="146"/>
  <c r="H42" i="146"/>
  <c r="I42" i="146"/>
  <c r="G44" i="146"/>
  <c r="H44" i="146"/>
  <c r="J89" i="146"/>
  <c r="K45" i="146"/>
  <c r="K15" i="146"/>
  <c r="K90" i="146"/>
  <c r="I11" i="146"/>
  <c r="I10" i="146"/>
  <c r="I14" i="146" s="1"/>
  <c r="I44" i="146" s="1"/>
  <c r="I89" i="146" s="1"/>
  <c r="E9" i="146"/>
  <c r="D9" i="146"/>
  <c r="D14" i="146" s="1"/>
  <c r="C9" i="146"/>
  <c r="E6" i="146"/>
  <c r="E14" i="146" s="1"/>
  <c r="C6" i="146"/>
  <c r="C14" i="146" s="1"/>
  <c r="C44" i="146" s="1"/>
  <c r="C89" i="146" s="1"/>
  <c r="H3" i="146"/>
  <c r="G3" i="146"/>
  <c r="F3" i="146"/>
  <c r="E3" i="146"/>
  <c r="D3" i="146"/>
  <c r="C3" i="146"/>
  <c r="B2" i="146"/>
  <c r="A29" i="305"/>
  <c r="K26" i="305"/>
  <c r="J26" i="305"/>
  <c r="I26" i="305"/>
  <c r="H26" i="305"/>
  <c r="G26" i="305"/>
  <c r="F26" i="305"/>
  <c r="E26" i="305"/>
  <c r="D26" i="305"/>
  <c r="C26" i="305"/>
  <c r="A23" i="305"/>
  <c r="A17" i="305"/>
  <c r="K16" i="305"/>
  <c r="K20" i="305" s="1"/>
  <c r="J16" i="305"/>
  <c r="J20" i="305" s="1"/>
  <c r="I16" i="305"/>
  <c r="I20" i="305" s="1"/>
  <c r="H16" i="305"/>
  <c r="H20" i="305" s="1"/>
  <c r="G16" i="305"/>
  <c r="G20" i="305" s="1"/>
  <c r="F16" i="305"/>
  <c r="F20" i="305" s="1"/>
  <c r="E16" i="305"/>
  <c r="E20" i="305" s="1"/>
  <c r="D16" i="305"/>
  <c r="D20" i="305" s="1"/>
  <c r="C16" i="305"/>
  <c r="C20" i="305" s="1"/>
  <c r="K10" i="305"/>
  <c r="K14" i="305" s="1"/>
  <c r="J10" i="305"/>
  <c r="J14" i="305" s="1"/>
  <c r="I10" i="305"/>
  <c r="I14" i="305" s="1"/>
  <c r="H10" i="305"/>
  <c r="H14" i="305" s="1"/>
  <c r="G10" i="305"/>
  <c r="G14" i="305" s="1"/>
  <c r="F10" i="305"/>
  <c r="F14" i="305" s="1"/>
  <c r="E10" i="305"/>
  <c r="E14" i="305" s="1"/>
  <c r="D10" i="305"/>
  <c r="D14" i="305" s="1"/>
  <c r="C10" i="305"/>
  <c r="C14" i="305" s="1"/>
  <c r="K8" i="305"/>
  <c r="J8" i="305"/>
  <c r="I8" i="305"/>
  <c r="H8" i="305"/>
  <c r="G8" i="305"/>
  <c r="F8" i="305"/>
  <c r="F28" i="305" s="1"/>
  <c r="E8" i="305"/>
  <c r="D8" i="305"/>
  <c r="C8" i="305"/>
  <c r="H3" i="305"/>
  <c r="G3" i="305"/>
  <c r="F3" i="305"/>
  <c r="E3" i="305"/>
  <c r="D3" i="305"/>
  <c r="C3" i="305"/>
  <c r="B2" i="305"/>
  <c r="A2" i="305"/>
  <c r="A54" i="316"/>
  <c r="K50" i="316"/>
  <c r="J50" i="316"/>
  <c r="I50" i="316"/>
  <c r="H50" i="316"/>
  <c r="G50" i="316"/>
  <c r="F50" i="316"/>
  <c r="E50" i="316"/>
  <c r="D50" i="316"/>
  <c r="C50" i="316"/>
  <c r="K47" i="316"/>
  <c r="J47" i="316"/>
  <c r="I47" i="316"/>
  <c r="H47" i="316"/>
  <c r="G47" i="316"/>
  <c r="F47" i="316"/>
  <c r="E47" i="316"/>
  <c r="D47" i="316"/>
  <c r="C47" i="316"/>
  <c r="A45" i="316"/>
  <c r="K42" i="316"/>
  <c r="J42" i="316"/>
  <c r="I42" i="316"/>
  <c r="H42" i="316"/>
  <c r="G42" i="316"/>
  <c r="F42" i="316"/>
  <c r="E42" i="316"/>
  <c r="D42" i="316"/>
  <c r="C42" i="316"/>
  <c r="A40" i="316"/>
  <c r="A38" i="316"/>
  <c r="A48" i="316" s="1"/>
  <c r="K37" i="316"/>
  <c r="J37" i="316"/>
  <c r="I37" i="316"/>
  <c r="H37" i="316"/>
  <c r="G37" i="316"/>
  <c r="F37" i="316"/>
  <c r="E37" i="316"/>
  <c r="D37" i="316"/>
  <c r="C37" i="316"/>
  <c r="A37" i="316"/>
  <c r="A47" i="316" s="1"/>
  <c r="A36" i="316"/>
  <c r="A46" i="316" s="1"/>
  <c r="K32" i="316"/>
  <c r="J32" i="316"/>
  <c r="I32" i="316"/>
  <c r="I49" i="316" s="1"/>
  <c r="H32" i="316"/>
  <c r="H49" i="316" s="1"/>
  <c r="G32" i="316"/>
  <c r="F32" i="316"/>
  <c r="E32" i="316"/>
  <c r="E49" i="316" s="1"/>
  <c r="D32" i="316"/>
  <c r="D49" i="316" s="1"/>
  <c r="C32" i="316"/>
  <c r="K26" i="316"/>
  <c r="J26" i="316"/>
  <c r="J53" i="316" s="1"/>
  <c r="I26" i="316"/>
  <c r="I53" i="316" s="1"/>
  <c r="H26" i="316"/>
  <c r="G26" i="316"/>
  <c r="G53" i="316" s="1"/>
  <c r="F26" i="316"/>
  <c r="E26" i="316"/>
  <c r="E53" i="316" s="1"/>
  <c r="D26" i="316"/>
  <c r="C26" i="316"/>
  <c r="K23" i="316"/>
  <c r="J23" i="316"/>
  <c r="I23" i="316"/>
  <c r="H23" i="316"/>
  <c r="G23" i="316"/>
  <c r="F23" i="316"/>
  <c r="E23" i="316"/>
  <c r="D23" i="316"/>
  <c r="C23" i="316"/>
  <c r="A21" i="316"/>
  <c r="K18" i="316"/>
  <c r="J18" i="316"/>
  <c r="I18" i="316"/>
  <c r="H18" i="316"/>
  <c r="G18" i="316"/>
  <c r="F18" i="316"/>
  <c r="E18" i="316"/>
  <c r="D18" i="316"/>
  <c r="C18" i="316"/>
  <c r="A16" i="316"/>
  <c r="A14" i="316"/>
  <c r="A24" i="316" s="1"/>
  <c r="K13" i="316"/>
  <c r="J13" i="316"/>
  <c r="I13" i="316"/>
  <c r="H13" i="316"/>
  <c r="G13" i="316"/>
  <c r="F13" i="316"/>
  <c r="E13" i="316"/>
  <c r="D13" i="316"/>
  <c r="C13" i="316"/>
  <c r="A13" i="316"/>
  <c r="A23" i="316" s="1"/>
  <c r="A12" i="316"/>
  <c r="A22" i="316" s="1"/>
  <c r="K8" i="316"/>
  <c r="K25" i="316" s="1"/>
  <c r="J8" i="316"/>
  <c r="J25" i="316" s="1"/>
  <c r="I8" i="316"/>
  <c r="H8" i="316"/>
  <c r="G8" i="316"/>
  <c r="G25" i="316" s="1"/>
  <c r="F8" i="316"/>
  <c r="F25" i="316" s="1"/>
  <c r="E8" i="316"/>
  <c r="D8" i="316"/>
  <c r="C8" i="316"/>
  <c r="A5" i="316"/>
  <c r="A29" i="316" s="1"/>
  <c r="H3" i="316"/>
  <c r="G3" i="316"/>
  <c r="F3" i="316"/>
  <c r="E3" i="316"/>
  <c r="D3" i="316"/>
  <c r="C3" i="316"/>
  <c r="B2" i="316"/>
  <c r="A2" i="316"/>
  <c r="A48" i="249"/>
  <c r="A43" i="249"/>
  <c r="K42" i="249"/>
  <c r="J42" i="249"/>
  <c r="I42" i="249"/>
  <c r="H42" i="249"/>
  <c r="G42" i="249"/>
  <c r="F42" i="249"/>
  <c r="E42" i="249"/>
  <c r="D42" i="249"/>
  <c r="C42" i="249"/>
  <c r="K39" i="249"/>
  <c r="J39" i="249"/>
  <c r="I39" i="249"/>
  <c r="H39" i="249"/>
  <c r="G39" i="249"/>
  <c r="F39" i="249"/>
  <c r="E39" i="249"/>
  <c r="D39" i="249"/>
  <c r="C39" i="249"/>
  <c r="A38" i="249"/>
  <c r="K37" i="249"/>
  <c r="J37" i="249"/>
  <c r="I37" i="249"/>
  <c r="H37" i="249"/>
  <c r="G37" i="249"/>
  <c r="F37" i="249"/>
  <c r="E37" i="249"/>
  <c r="D37" i="249"/>
  <c r="C37" i="249"/>
  <c r="A36" i="249"/>
  <c r="A35" i="249"/>
  <c r="A34" i="249"/>
  <c r="A33" i="249"/>
  <c r="A32" i="249"/>
  <c r="A31" i="249"/>
  <c r="K30" i="249"/>
  <c r="J30" i="249"/>
  <c r="I30" i="249"/>
  <c r="H30" i="249"/>
  <c r="G30" i="249"/>
  <c r="F30" i="249"/>
  <c r="E30" i="249"/>
  <c r="E45" i="249" s="1"/>
  <c r="D30" i="249"/>
  <c r="C30" i="249"/>
  <c r="A25" i="249"/>
  <c r="K24" i="249"/>
  <c r="J24" i="249"/>
  <c r="I24" i="249"/>
  <c r="H24" i="249"/>
  <c r="G24" i="249"/>
  <c r="F24" i="249"/>
  <c r="E24" i="249"/>
  <c r="D24" i="249"/>
  <c r="C24" i="249"/>
  <c r="A24" i="249"/>
  <c r="A22" i="249"/>
  <c r="K21" i="249"/>
  <c r="J21" i="249"/>
  <c r="I21" i="249"/>
  <c r="H21" i="249"/>
  <c r="G21" i="249"/>
  <c r="F21" i="249"/>
  <c r="E21" i="249"/>
  <c r="D21" i="249"/>
  <c r="C21" i="249"/>
  <c r="A21" i="249"/>
  <c r="D20" i="249"/>
  <c r="F45" i="249" l="1"/>
  <c r="J45" i="249"/>
  <c r="H25" i="316"/>
  <c r="K53" i="316"/>
  <c r="F49" i="316"/>
  <c r="J49" i="316"/>
  <c r="G28" i="305"/>
  <c r="C45" i="249"/>
  <c r="G45" i="249"/>
  <c r="K45" i="249"/>
  <c r="E25" i="316"/>
  <c r="I25" i="316"/>
  <c r="I59" i="316" s="1"/>
  <c r="D53" i="316"/>
  <c r="H53" i="316"/>
  <c r="C49" i="316"/>
  <c r="G49" i="316"/>
  <c r="G52" i="316" s="1"/>
  <c r="K49" i="316"/>
  <c r="D28" i="305"/>
  <c r="H28" i="305"/>
  <c r="H45" i="146"/>
  <c r="I57" i="145"/>
  <c r="D45" i="249"/>
  <c r="H45" i="249"/>
  <c r="E28" i="305"/>
  <c r="C53" i="316"/>
  <c r="F53" i="316"/>
  <c r="C28" i="305"/>
  <c r="I45" i="249"/>
  <c r="D25" i="316"/>
  <c r="E59" i="316"/>
  <c r="E52" i="316"/>
  <c r="F59" i="316"/>
  <c r="F52" i="316"/>
  <c r="G59" i="316"/>
  <c r="H59" i="316"/>
  <c r="H52" i="316"/>
  <c r="J59" i="316"/>
  <c r="J52" i="316"/>
  <c r="K59" i="316"/>
  <c r="K52" i="316"/>
  <c r="E44" i="146"/>
  <c r="E15" i="146"/>
  <c r="D44" i="146"/>
  <c r="D15" i="146"/>
  <c r="A17" i="316"/>
  <c r="A18" i="316"/>
  <c r="A19" i="316"/>
  <c r="A41" i="316"/>
  <c r="A42" i="316"/>
  <c r="A43" i="316"/>
  <c r="I28" i="305"/>
  <c r="J28" i="305"/>
  <c r="K28" i="305"/>
  <c r="J15" i="146"/>
  <c r="J45" i="146"/>
  <c r="J90" i="146"/>
  <c r="I15" i="146"/>
  <c r="I45" i="146"/>
  <c r="F15" i="146"/>
  <c r="G89" i="146"/>
  <c r="G90" i="146" s="1"/>
  <c r="G45" i="146"/>
  <c r="H89" i="146"/>
  <c r="H90" i="146" s="1"/>
  <c r="H16" i="249"/>
  <c r="G16" i="249"/>
  <c r="G15" i="249" s="1"/>
  <c r="F16" i="249"/>
  <c r="F15" i="249" s="1"/>
  <c r="K15" i="249"/>
  <c r="J15" i="249"/>
  <c r="I15" i="249"/>
  <c r="H15" i="249"/>
  <c r="E15" i="249"/>
  <c r="D15" i="249"/>
  <c r="C15" i="249"/>
  <c r="A15" i="249"/>
  <c r="A13" i="249"/>
  <c r="A11" i="249"/>
  <c r="A10" i="249"/>
  <c r="A9" i="249"/>
  <c r="A8" i="249"/>
  <c r="K7" i="249"/>
  <c r="K27" i="249" s="1"/>
  <c r="J7" i="249"/>
  <c r="I7" i="249"/>
  <c r="H7" i="249"/>
  <c r="H27" i="249" s="1"/>
  <c r="H47" i="249" s="1"/>
  <c r="G7" i="249"/>
  <c r="F7" i="249"/>
  <c r="E7" i="249"/>
  <c r="D7" i="249"/>
  <c r="C7" i="249"/>
  <c r="C27" i="249" s="1"/>
  <c r="A7" i="249"/>
  <c r="H3" i="249"/>
  <c r="G3" i="249"/>
  <c r="F3" i="249"/>
  <c r="E3" i="249"/>
  <c r="D3" i="249"/>
  <c r="C3" i="249"/>
  <c r="B2" i="249"/>
  <c r="A2" i="249"/>
  <c r="A47" i="136"/>
  <c r="K42" i="136"/>
  <c r="J42" i="136"/>
  <c r="I42" i="136"/>
  <c r="H42" i="136"/>
  <c r="G42" i="136"/>
  <c r="F42" i="136"/>
  <c r="E42" i="136"/>
  <c r="D42" i="136"/>
  <c r="C42" i="136"/>
  <c r="A42" i="136"/>
  <c r="A42" i="249" s="1"/>
  <c r="A40" i="136"/>
  <c r="A40" i="249" s="1"/>
  <c r="K39" i="136"/>
  <c r="J39" i="136"/>
  <c r="I39" i="136"/>
  <c r="H39" i="136"/>
  <c r="G39" i="136"/>
  <c r="F39" i="136"/>
  <c r="E39" i="136"/>
  <c r="D39" i="136"/>
  <c r="C39" i="136"/>
  <c r="A39" i="136"/>
  <c r="A39" i="249" s="1"/>
  <c r="K37" i="136"/>
  <c r="J37" i="136"/>
  <c r="I37" i="136"/>
  <c r="H37" i="136"/>
  <c r="G37" i="136"/>
  <c r="F37" i="136"/>
  <c r="E37" i="136"/>
  <c r="D37" i="136"/>
  <c r="C37" i="136"/>
  <c r="A37" i="136"/>
  <c r="A37" i="249" s="1"/>
  <c r="K30" i="136"/>
  <c r="J30" i="136"/>
  <c r="J45" i="136" s="1"/>
  <c r="I30" i="136"/>
  <c r="I45" i="136" s="1"/>
  <c r="H30" i="136"/>
  <c r="G30" i="136"/>
  <c r="F30" i="136"/>
  <c r="F45" i="136" s="1"/>
  <c r="E30" i="136"/>
  <c r="E45" i="136" s="1"/>
  <c r="D30" i="136"/>
  <c r="C30" i="136"/>
  <c r="A30" i="136"/>
  <c r="A30" i="249" s="1"/>
  <c r="K24" i="136"/>
  <c r="J24" i="136"/>
  <c r="I24" i="136"/>
  <c r="H24" i="136"/>
  <c r="G24" i="136"/>
  <c r="F24" i="136"/>
  <c r="E24" i="136"/>
  <c r="D24" i="136"/>
  <c r="C24" i="136"/>
  <c r="K21" i="136"/>
  <c r="J21" i="136"/>
  <c r="I21" i="136"/>
  <c r="H21" i="136"/>
  <c r="G21" i="136"/>
  <c r="F21" i="136"/>
  <c r="E21" i="136"/>
  <c r="D21" i="136"/>
  <c r="C21" i="136"/>
  <c r="A20" i="136"/>
  <c r="A20" i="249" s="1"/>
  <c r="A19" i="136"/>
  <c r="A19" i="249" s="1"/>
  <c r="A18" i="136"/>
  <c r="A18" i="249" s="1"/>
  <c r="A17" i="136"/>
  <c r="A17" i="249" s="1"/>
  <c r="A16" i="136"/>
  <c r="A16" i="249" s="1"/>
  <c r="K15" i="136"/>
  <c r="J15" i="136"/>
  <c r="I15" i="136"/>
  <c r="H15" i="136"/>
  <c r="G15" i="136"/>
  <c r="F15" i="136"/>
  <c r="E15" i="136"/>
  <c r="D15" i="136"/>
  <c r="C15" i="136"/>
  <c r="B13" i="136"/>
  <c r="A12" i="136"/>
  <c r="A12" i="249" s="1"/>
  <c r="B11" i="136"/>
  <c r="B10" i="136"/>
  <c r="B9" i="136"/>
  <c r="B8" i="136"/>
  <c r="K7" i="136"/>
  <c r="J7" i="136"/>
  <c r="J27" i="136" s="1"/>
  <c r="J46" i="136" s="1"/>
  <c r="I7" i="136"/>
  <c r="H7" i="136"/>
  <c r="G7" i="136"/>
  <c r="F7" i="136"/>
  <c r="F27" i="136" s="1"/>
  <c r="F46" i="136" s="1"/>
  <c r="E7" i="136"/>
  <c r="D7" i="136"/>
  <c r="C7" i="136"/>
  <c r="H3" i="136"/>
  <c r="G3" i="136"/>
  <c r="F3" i="136"/>
  <c r="E3" i="136"/>
  <c r="D3" i="136"/>
  <c r="C3" i="136"/>
  <c r="B2" i="136"/>
  <c r="A2" i="136"/>
  <c r="A36" i="144"/>
  <c r="K32" i="144"/>
  <c r="J32" i="144"/>
  <c r="I32" i="144"/>
  <c r="H32" i="144"/>
  <c r="G32" i="144"/>
  <c r="F32" i="144"/>
  <c r="E32" i="144"/>
  <c r="D32" i="144"/>
  <c r="C32" i="144"/>
  <c r="A31" i="144"/>
  <c r="A30" i="144"/>
  <c r="A29" i="144"/>
  <c r="A28" i="144"/>
  <c r="A27" i="144"/>
  <c r="A26" i="144"/>
  <c r="A25" i="144"/>
  <c r="A24" i="144"/>
  <c r="A23" i="144"/>
  <c r="A22" i="144"/>
  <c r="A21" i="144"/>
  <c r="A20" i="144"/>
  <c r="K17" i="144"/>
  <c r="J17" i="144"/>
  <c r="I17" i="144"/>
  <c r="I34" i="144" s="1"/>
  <c r="H17" i="144"/>
  <c r="G17" i="144"/>
  <c r="F17" i="144"/>
  <c r="E17" i="144"/>
  <c r="E34" i="144" s="1"/>
  <c r="D17" i="144"/>
  <c r="C17" i="144"/>
  <c r="H3" i="144"/>
  <c r="G3" i="144"/>
  <c r="F3" i="144"/>
  <c r="E3" i="144"/>
  <c r="D3" i="144"/>
  <c r="C3" i="144"/>
  <c r="B2" i="144"/>
  <c r="A26" i="143"/>
  <c r="G22" i="143"/>
  <c r="F22" i="143"/>
  <c r="G12" i="143"/>
  <c r="F12" i="143"/>
  <c r="B2" i="143"/>
  <c r="A34" i="142"/>
  <c r="K30" i="142"/>
  <c r="J30" i="142"/>
  <c r="I30" i="142"/>
  <c r="H30" i="142"/>
  <c r="G30" i="142"/>
  <c r="F30" i="142"/>
  <c r="E30" i="142"/>
  <c r="D30" i="142"/>
  <c r="C30" i="142"/>
  <c r="A28" i="142"/>
  <c r="A27" i="142"/>
  <c r="A26" i="142"/>
  <c r="A25" i="142"/>
  <c r="A24" i="142"/>
  <c r="A23" i="142"/>
  <c r="A22" i="142"/>
  <c r="A21" i="142"/>
  <c r="A20" i="142"/>
  <c r="K17" i="142"/>
  <c r="J17" i="142"/>
  <c r="J32" i="142" s="1"/>
  <c r="I17" i="142"/>
  <c r="I32" i="142" s="1"/>
  <c r="H17" i="142"/>
  <c r="G17" i="142"/>
  <c r="F17" i="142"/>
  <c r="F32" i="142" s="1"/>
  <c r="E17" i="142"/>
  <c r="D17" i="142"/>
  <c r="C17" i="142"/>
  <c r="H3" i="142"/>
  <c r="G3" i="142"/>
  <c r="F3" i="142"/>
  <c r="E3" i="142"/>
  <c r="D3" i="142"/>
  <c r="C3" i="142"/>
  <c r="B2" i="142"/>
  <c r="A50" i="337"/>
  <c r="A48" i="337"/>
  <c r="C32" i="142" l="1"/>
  <c r="G32" i="142"/>
  <c r="K32" i="142"/>
  <c r="F34" i="144"/>
  <c r="J34" i="144"/>
  <c r="C27" i="136"/>
  <c r="G27" i="136"/>
  <c r="K27" i="136"/>
  <c r="G45" i="136"/>
  <c r="G46" i="136" s="1"/>
  <c r="K45" i="136"/>
  <c r="I27" i="249"/>
  <c r="I47" i="249" s="1"/>
  <c r="I52" i="316"/>
  <c r="D32" i="142"/>
  <c r="H32" i="142"/>
  <c r="F24" i="143"/>
  <c r="C34" i="144"/>
  <c r="G34" i="144"/>
  <c r="K34" i="144"/>
  <c r="D27" i="136"/>
  <c r="D45" i="136"/>
  <c r="H45" i="136"/>
  <c r="F27" i="249"/>
  <c r="F47" i="249" s="1"/>
  <c r="E47" i="249" s="1"/>
  <c r="D47" i="249" s="1"/>
  <c r="C47" i="249" s="1"/>
  <c r="I90" i="146"/>
  <c r="D34" i="144"/>
  <c r="H34" i="144"/>
  <c r="E27" i="136"/>
  <c r="E46" i="136" s="1"/>
  <c r="I27" i="136"/>
  <c r="G27" i="249"/>
  <c r="G47" i="249" s="1"/>
  <c r="H27" i="136"/>
  <c r="H46" i="136" s="1"/>
  <c r="C45" i="136"/>
  <c r="C46" i="136" s="1"/>
  <c r="I46" i="136"/>
  <c r="E27" i="249"/>
  <c r="D27" i="249" s="1"/>
  <c r="D89" i="146"/>
  <c r="D90" i="146" s="1"/>
  <c r="D45" i="146"/>
  <c r="E89" i="146"/>
  <c r="E45" i="146"/>
  <c r="F45" i="146"/>
  <c r="C25" i="316"/>
  <c r="D59" i="316"/>
  <c r="D52" i="316"/>
  <c r="G24" i="143"/>
  <c r="K46" i="136"/>
  <c r="J27" i="249"/>
  <c r="K47" i="249"/>
  <c r="E32" i="142"/>
  <c r="B12" i="136"/>
  <c r="B16" i="136"/>
  <c r="B17" i="136"/>
  <c r="B18" i="136"/>
  <c r="B19" i="136"/>
  <c r="I46" i="337"/>
  <c r="A46" i="337"/>
  <c r="L45" i="337"/>
  <c r="L47" i="337" s="1"/>
  <c r="K45" i="337"/>
  <c r="K47" i="337" s="1"/>
  <c r="J45" i="337"/>
  <c r="J47" i="337" s="1"/>
  <c r="H45" i="337"/>
  <c r="H47" i="337" s="1"/>
  <c r="G45" i="337"/>
  <c r="G47" i="337" s="1"/>
  <c r="E45" i="337"/>
  <c r="E47" i="337" s="1"/>
  <c r="D45" i="337"/>
  <c r="D47" i="337" s="1"/>
  <c r="C45" i="337"/>
  <c r="C47" i="337" s="1"/>
  <c r="A45" i="337"/>
  <c r="I44" i="337"/>
  <c r="A44" i="337"/>
  <c r="A43" i="337"/>
  <c r="A42" i="337"/>
  <c r="A41" i="337"/>
  <c r="A40" i="337"/>
  <c r="F39" i="337"/>
  <c r="F45" i="337" s="1"/>
  <c r="F47" i="337" s="1"/>
  <c r="A39" i="337"/>
  <c r="A38" i="337"/>
  <c r="A37" i="337"/>
  <c r="A36" i="337"/>
  <c r="A31" i="337"/>
  <c r="L30" i="337"/>
  <c r="L32" i="337" s="1"/>
  <c r="K30" i="337"/>
  <c r="K32" i="337" s="1"/>
  <c r="J30" i="337"/>
  <c r="J32" i="337" s="1"/>
  <c r="H30" i="337"/>
  <c r="H32" i="337" s="1"/>
  <c r="G30" i="337"/>
  <c r="G32" i="337" s="1"/>
  <c r="E30" i="337"/>
  <c r="E32" i="337" s="1"/>
  <c r="D30" i="337"/>
  <c r="D32" i="337" s="1"/>
  <c r="C30" i="337"/>
  <c r="C32" i="337" s="1"/>
  <c r="A30" i="337"/>
  <c r="A29" i="337"/>
  <c r="F28" i="337"/>
  <c r="A28" i="337"/>
  <c r="F27" i="337"/>
  <c r="A27" i="337"/>
  <c r="F26" i="337"/>
  <c r="A26" i="337"/>
  <c r="F25" i="337"/>
  <c r="A25" i="337"/>
  <c r="F24" i="337"/>
  <c r="A24" i="337"/>
  <c r="F23" i="337"/>
  <c r="A23" i="337"/>
  <c r="F22" i="337"/>
  <c r="A22" i="337"/>
  <c r="A21" i="337"/>
  <c r="L15" i="337"/>
  <c r="L17" i="337" s="1"/>
  <c r="K15" i="337"/>
  <c r="K17" i="337" s="1"/>
  <c r="J15" i="337"/>
  <c r="J17" i="337" s="1"/>
  <c r="E15" i="337"/>
  <c r="E17" i="337" s="1"/>
  <c r="D15" i="337"/>
  <c r="D17" i="337" s="1"/>
  <c r="C15" i="337"/>
  <c r="C17" i="337" s="1"/>
  <c r="F13" i="337"/>
  <c r="G13" i="337" s="1"/>
  <c r="H13" i="337" s="1"/>
  <c r="F12" i="337"/>
  <c r="G12" i="337" s="1"/>
  <c r="H12" i="337" s="1"/>
  <c r="F11" i="337"/>
  <c r="G11" i="337" s="1"/>
  <c r="H11" i="337" s="1"/>
  <c r="F10" i="337"/>
  <c r="G10" i="337" s="1"/>
  <c r="H10" i="337" s="1"/>
  <c r="F9" i="337"/>
  <c r="G9" i="337" s="1"/>
  <c r="H9" i="337" s="1"/>
  <c r="F8" i="337"/>
  <c r="G8" i="337" s="1"/>
  <c r="H8" i="337" s="1"/>
  <c r="F7" i="337"/>
  <c r="G7" i="337" s="1"/>
  <c r="H7" i="337" s="1"/>
  <c r="H3" i="337"/>
  <c r="G3" i="337"/>
  <c r="F3" i="337"/>
  <c r="E3" i="337"/>
  <c r="D3" i="337"/>
  <c r="C3" i="337"/>
  <c r="B2" i="337"/>
  <c r="A2" i="337"/>
  <c r="A106" i="335"/>
  <c r="A104" i="335"/>
  <c r="A103" i="335"/>
  <c r="A102" i="335"/>
  <c r="A101" i="335"/>
  <c r="A100" i="335"/>
  <c r="A99" i="335"/>
  <c r="A98" i="335"/>
  <c r="B97" i="335"/>
  <c r="A97" i="335"/>
  <c r="A96" i="335"/>
  <c r="A95" i="335"/>
  <c r="B94" i="335"/>
  <c r="A94" i="335"/>
  <c r="A93" i="335"/>
  <c r="A92" i="335"/>
  <c r="A91" i="335"/>
  <c r="A90" i="335"/>
  <c r="A89" i="335"/>
  <c r="A88" i="335"/>
  <c r="B87" i="335"/>
  <c r="A87" i="335"/>
  <c r="A86" i="335"/>
  <c r="A85" i="335"/>
  <c r="A84" i="335"/>
  <c r="A83" i="335"/>
  <c r="A82" i="335"/>
  <c r="A81" i="335"/>
  <c r="A80" i="335"/>
  <c r="A79" i="335"/>
  <c r="A78" i="335"/>
  <c r="A77" i="335"/>
  <c r="A76" i="335"/>
  <c r="A75" i="335"/>
  <c r="A74" i="335"/>
  <c r="A73" i="335"/>
  <c r="A72" i="335"/>
  <c r="A71" i="335"/>
  <c r="A70" i="335"/>
  <c r="A69" i="335"/>
  <c r="A68" i="335"/>
  <c r="A67" i="335"/>
  <c r="A66" i="335"/>
  <c r="A65" i="335"/>
  <c r="A64" i="335"/>
  <c r="A63" i="335"/>
  <c r="A62" i="335"/>
  <c r="A61" i="335"/>
  <c r="A60" i="335"/>
  <c r="R58" i="335"/>
  <c r="Q58" i="335"/>
  <c r="P58" i="335"/>
  <c r="O58" i="335"/>
  <c r="N58" i="335"/>
  <c r="M58" i="335"/>
  <c r="L58" i="335"/>
  <c r="K58" i="335"/>
  <c r="J58" i="335"/>
  <c r="I58" i="335"/>
  <c r="H58" i="335"/>
  <c r="G58" i="335"/>
  <c r="F58" i="335"/>
  <c r="E58" i="335"/>
  <c r="D58" i="335"/>
  <c r="C58" i="335"/>
  <c r="A50" i="335"/>
  <c r="S40" i="335"/>
  <c r="S39" i="335"/>
  <c r="B2" i="335"/>
  <c r="B58" i="335" s="1"/>
  <c r="A2" i="335"/>
  <c r="A58" i="335" s="1"/>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K120" i="123"/>
  <c r="M114" i="123"/>
  <c r="L114" i="123"/>
  <c r="K114" i="123"/>
  <c r="J114" i="123"/>
  <c r="I114" i="123"/>
  <c r="H114" i="123"/>
  <c r="G114" i="123"/>
  <c r="F114" i="123"/>
  <c r="E114" i="123"/>
  <c r="D114" i="123"/>
  <c r="M98" i="123"/>
  <c r="L98" i="123"/>
  <c r="K98" i="123"/>
  <c r="J98" i="123"/>
  <c r="I98" i="123"/>
  <c r="H98" i="123"/>
  <c r="G98" i="123"/>
  <c r="F98" i="123"/>
  <c r="E98" i="123"/>
  <c r="M84" i="123"/>
  <c r="L84" i="123"/>
  <c r="K84" i="123"/>
  <c r="A84" i="123"/>
  <c r="M82" i="123"/>
  <c r="L82" i="123"/>
  <c r="K82" i="123"/>
  <c r="M76" i="123"/>
  <c r="L76" i="123"/>
  <c r="K76" i="123"/>
  <c r="M68" i="123"/>
  <c r="L68" i="123"/>
  <c r="K68" i="123"/>
  <c r="M58" i="123"/>
  <c r="B57" i="123"/>
  <c r="M56" i="123"/>
  <c r="L56" i="123"/>
  <c r="L14" i="123" s="1"/>
  <c r="K56" i="123"/>
  <c r="K14" i="123" s="1"/>
  <c r="J56" i="123"/>
  <c r="I56" i="123"/>
  <c r="H56" i="123"/>
  <c r="G56" i="123"/>
  <c r="F56" i="123"/>
  <c r="E56" i="123"/>
  <c r="M53" i="123"/>
  <c r="L53" i="123"/>
  <c r="K53" i="123"/>
  <c r="J53" i="123"/>
  <c r="I53" i="123"/>
  <c r="H53" i="123"/>
  <c r="G53" i="123"/>
  <c r="F53" i="123"/>
  <c r="E53" i="123"/>
  <c r="D53" i="123"/>
  <c r="M51" i="123"/>
  <c r="L51" i="123"/>
  <c r="K51" i="123"/>
  <c r="J51" i="123"/>
  <c r="I51" i="123"/>
  <c r="H51" i="123"/>
  <c r="G51" i="123"/>
  <c r="F51" i="123"/>
  <c r="E51" i="123"/>
  <c r="D51" i="123"/>
  <c r="A51" i="123"/>
  <c r="M50" i="123"/>
  <c r="L50" i="123"/>
  <c r="K50" i="123"/>
  <c r="J50" i="123"/>
  <c r="I50" i="123"/>
  <c r="H50" i="123"/>
  <c r="K42" i="123" s="1"/>
  <c r="G50" i="123"/>
  <c r="F50" i="123"/>
  <c r="E50" i="123"/>
  <c r="D50" i="123"/>
  <c r="G42" i="123"/>
  <c r="A42" i="123"/>
  <c r="A41" i="123"/>
  <c r="A40" i="123"/>
  <c r="A39" i="123"/>
  <c r="A38" i="123"/>
  <c r="A20" i="123"/>
  <c r="B18" i="123"/>
  <c r="B58" i="123" s="1"/>
  <c r="M16" i="123"/>
  <c r="L16" i="123"/>
  <c r="K16" i="123"/>
  <c r="J16" i="123"/>
  <c r="I16" i="123"/>
  <c r="H16" i="123"/>
  <c r="G16" i="123"/>
  <c r="F16" i="123"/>
  <c r="E16" i="123"/>
  <c r="M14" i="123"/>
  <c r="A5" i="123"/>
  <c r="J3" i="123"/>
  <c r="I3" i="123"/>
  <c r="H3" i="123"/>
  <c r="G3" i="123"/>
  <c r="F3" i="123"/>
  <c r="E3" i="123"/>
  <c r="D3" i="123"/>
  <c r="C2" i="123"/>
  <c r="A2" i="123"/>
  <c r="A50" i="235"/>
  <c r="L33" i="235"/>
  <c r="K33" i="235"/>
  <c r="J33" i="235"/>
  <c r="I33" i="235"/>
  <c r="H33" i="235"/>
  <c r="G33" i="235"/>
  <c r="F33" i="235"/>
  <c r="E33" i="235"/>
  <c r="D33" i="235"/>
  <c r="C33" i="235"/>
  <c r="L29" i="235"/>
  <c r="K29" i="235"/>
  <c r="J29" i="235"/>
  <c r="I29" i="235"/>
  <c r="H29" i="235"/>
  <c r="G29" i="235"/>
  <c r="F29" i="235"/>
  <c r="E29" i="235"/>
  <c r="D29" i="235"/>
  <c r="C29" i="235"/>
  <c r="D2" i="235"/>
  <c r="C2" i="235"/>
  <c r="L44" i="88"/>
  <c r="K44" i="88"/>
  <c r="J44" i="88"/>
  <c r="I44" i="88"/>
  <c r="H44" i="88"/>
  <c r="G44" i="88"/>
  <c r="F44" i="88"/>
  <c r="E44" i="88"/>
  <c r="D44" i="88"/>
  <c r="C44" i="88"/>
  <c r="L42" i="88"/>
  <c r="K42" i="88"/>
  <c r="J42" i="88"/>
  <c r="I42" i="88"/>
  <c r="H42" i="88"/>
  <c r="G42" i="88"/>
  <c r="F42" i="88"/>
  <c r="E42" i="88"/>
  <c r="D42" i="88"/>
  <c r="A35" i="88"/>
  <c r="I3" i="88"/>
  <c r="H3" i="88"/>
  <c r="G3" i="88"/>
  <c r="F3" i="88"/>
  <c r="E3" i="88"/>
  <c r="D3" i="88"/>
  <c r="C3" i="88"/>
  <c r="A84" i="147"/>
  <c r="A80" i="147"/>
  <c r="H74" i="147"/>
  <c r="G74" i="147"/>
  <c r="F74" i="147"/>
  <c r="E74" i="147"/>
  <c r="D74" i="147"/>
  <c r="C74" i="147"/>
  <c r="A73" i="147"/>
  <c r="H3" i="147"/>
  <c r="G3" i="147"/>
  <c r="F3" i="147"/>
  <c r="E3" i="147"/>
  <c r="D3" i="147"/>
  <c r="C3" i="147"/>
  <c r="A25" i="314"/>
  <c r="M24" i="314"/>
  <c r="L24" i="314"/>
  <c r="K24" i="314"/>
  <c r="J24" i="314"/>
  <c r="I24" i="314"/>
  <c r="H24" i="314"/>
  <c r="G24" i="314"/>
  <c r="F16" i="314"/>
  <c r="F15" i="314"/>
  <c r="E15" i="314"/>
  <c r="E11" i="314"/>
  <c r="F5" i="314"/>
  <c r="F24" i="314" s="1"/>
  <c r="E5" i="314"/>
  <c r="J3" i="314"/>
  <c r="I3" i="314"/>
  <c r="H3" i="314"/>
  <c r="G3" i="314"/>
  <c r="F3" i="314"/>
  <c r="E3" i="314"/>
  <c r="D2" i="314"/>
  <c r="A24" i="315"/>
  <c r="L23" i="315"/>
  <c r="K23" i="315"/>
  <c r="J23" i="315"/>
  <c r="I23" i="315"/>
  <c r="H23" i="315"/>
  <c r="G15" i="315"/>
  <c r="F15" i="315"/>
  <c r="E15" i="315"/>
  <c r="D15" i="315"/>
  <c r="F14" i="315"/>
  <c r="E14" i="315"/>
  <c r="D14" i="315"/>
  <c r="G11" i="315"/>
  <c r="F11" i="315"/>
  <c r="F23" i="315" s="1"/>
  <c r="E11" i="315"/>
  <c r="E23" i="315" s="1"/>
  <c r="D11" i="315"/>
  <c r="D23" i="315" s="1"/>
  <c r="I3" i="315"/>
  <c r="H3" i="315"/>
  <c r="G3" i="315"/>
  <c r="F3" i="315"/>
  <c r="E3" i="315"/>
  <c r="D3" i="315"/>
  <c r="C2" i="315"/>
  <c r="A30" i="141"/>
  <c r="L29" i="141"/>
  <c r="K29" i="141"/>
  <c r="J29" i="141"/>
  <c r="I29" i="141"/>
  <c r="H29" i="141"/>
  <c r="F29" i="141"/>
  <c r="A29" i="141"/>
  <c r="G18" i="141"/>
  <c r="E18" i="141"/>
  <c r="D18" i="141"/>
  <c r="G17" i="141"/>
  <c r="E17" i="141"/>
  <c r="D17" i="141"/>
  <c r="G16" i="141"/>
  <c r="E16" i="141"/>
  <c r="D16" i="141"/>
  <c r="G12" i="141"/>
  <c r="E10" i="141"/>
  <c r="E29" i="141" s="1"/>
  <c r="D10" i="141"/>
  <c r="I3" i="141"/>
  <c r="H3" i="141"/>
  <c r="G3" i="141"/>
  <c r="F3" i="141"/>
  <c r="E3" i="141"/>
  <c r="D3" i="141"/>
  <c r="C2" i="141"/>
  <c r="I85" i="128"/>
  <c r="H85" i="128"/>
  <c r="G85" i="128"/>
  <c r="F85" i="128"/>
  <c r="E85" i="128"/>
  <c r="D85" i="128" s="1"/>
  <c r="C85" i="128" s="1"/>
  <c r="A79" i="128"/>
  <c r="A73" i="128"/>
  <c r="L72" i="128"/>
  <c r="K72" i="128"/>
  <c r="J72" i="128"/>
  <c r="J46" i="129" s="1"/>
  <c r="J48" i="129" s="1"/>
  <c r="I72" i="128"/>
  <c r="H72" i="128"/>
  <c r="G72" i="128"/>
  <c r="F72" i="128"/>
  <c r="F46" i="129" s="1"/>
  <c r="F48" i="129" s="1"/>
  <c r="E72" i="128"/>
  <c r="D72" i="128"/>
  <c r="C72" i="128"/>
  <c r="A57" i="128"/>
  <c r="L56" i="128"/>
  <c r="K56" i="128"/>
  <c r="J56" i="128"/>
  <c r="I56" i="128"/>
  <c r="H56" i="128"/>
  <c r="G56" i="128"/>
  <c r="F56" i="128"/>
  <c r="E56" i="128"/>
  <c r="D56" i="128"/>
  <c r="C56" i="128"/>
  <c r="A53" i="128"/>
  <c r="A54" i="128" s="1"/>
  <c r="L50" i="128"/>
  <c r="L38" i="129" s="1"/>
  <c r="K50" i="128"/>
  <c r="J50" i="128"/>
  <c r="I50" i="128"/>
  <c r="H50" i="128"/>
  <c r="H38" i="129" s="1"/>
  <c r="G50" i="128"/>
  <c r="F50" i="128"/>
  <c r="E50" i="128"/>
  <c r="D50" i="128"/>
  <c r="D38" i="129" s="1"/>
  <c r="C50" i="128"/>
  <c r="A45" i="128"/>
  <c r="A50" i="128" s="1"/>
  <c r="L43" i="128"/>
  <c r="K43" i="128"/>
  <c r="K37" i="129" s="1"/>
  <c r="J43" i="128"/>
  <c r="I43" i="128"/>
  <c r="H43" i="128"/>
  <c r="G43" i="128"/>
  <c r="G37" i="129" s="1"/>
  <c r="F43" i="128"/>
  <c r="E43" i="128"/>
  <c r="D43" i="128"/>
  <c r="C43" i="128"/>
  <c r="C37" i="129" s="1"/>
  <c r="A40" i="128"/>
  <c r="A43" i="128" s="1"/>
  <c r="L38" i="128"/>
  <c r="K38" i="128"/>
  <c r="J38" i="128"/>
  <c r="J32" i="129" s="1"/>
  <c r="J31" i="237" s="1"/>
  <c r="I38" i="128"/>
  <c r="H38" i="128"/>
  <c r="G38" i="128"/>
  <c r="F38" i="128"/>
  <c r="F32" i="129" s="1"/>
  <c r="F31" i="237" s="1"/>
  <c r="E38" i="128"/>
  <c r="D38" i="128"/>
  <c r="C38" i="128"/>
  <c r="A34" i="128"/>
  <c r="A38" i="128" s="1"/>
  <c r="L32" i="128"/>
  <c r="K32" i="128"/>
  <c r="J32" i="128"/>
  <c r="I32" i="128"/>
  <c r="I30" i="129" s="1"/>
  <c r="I34" i="129" s="1"/>
  <c r="H32" i="128"/>
  <c r="G32" i="128"/>
  <c r="F32" i="128"/>
  <c r="E32" i="128"/>
  <c r="E30" i="129" s="1"/>
  <c r="E34" i="129" s="1"/>
  <c r="D32" i="128"/>
  <c r="C32" i="128"/>
  <c r="A29" i="128"/>
  <c r="A32" i="128" s="1"/>
  <c r="L26" i="128"/>
  <c r="L19" i="129" s="1"/>
  <c r="M17" i="123" s="1"/>
  <c r="K26" i="128"/>
  <c r="J26" i="128"/>
  <c r="I26" i="128"/>
  <c r="H26" i="128"/>
  <c r="H19" i="129" s="1"/>
  <c r="H24" i="129" s="1"/>
  <c r="G26" i="128"/>
  <c r="F26" i="128"/>
  <c r="E26" i="128"/>
  <c r="D26" i="128"/>
  <c r="D19" i="129" s="1"/>
  <c r="D24" i="129" s="1"/>
  <c r="C26" i="128"/>
  <c r="A22" i="128"/>
  <c r="A26" i="128" s="1"/>
  <c r="L20" i="128"/>
  <c r="K20" i="128"/>
  <c r="J20" i="128"/>
  <c r="I20" i="128"/>
  <c r="H20" i="128"/>
  <c r="G20" i="128"/>
  <c r="F20" i="128"/>
  <c r="E20" i="128"/>
  <c r="D20" i="128"/>
  <c r="C20" i="128"/>
  <c r="L14" i="128"/>
  <c r="K14" i="128"/>
  <c r="J14" i="128"/>
  <c r="I14" i="128"/>
  <c r="I8" i="129" s="1"/>
  <c r="H14" i="128"/>
  <c r="G14" i="128"/>
  <c r="F14" i="128"/>
  <c r="E14" i="128"/>
  <c r="E8" i="129" s="1"/>
  <c r="D14" i="128"/>
  <c r="C14" i="128"/>
  <c r="A11" i="128"/>
  <c r="A14" i="128" s="1"/>
  <c r="L9" i="128"/>
  <c r="L7" i="129" s="1"/>
  <c r="K9" i="128"/>
  <c r="J9" i="128"/>
  <c r="I9" i="128"/>
  <c r="H9" i="128"/>
  <c r="H7" i="129" s="1"/>
  <c r="G9" i="128"/>
  <c r="F9" i="128"/>
  <c r="E9" i="128"/>
  <c r="D9" i="128"/>
  <c r="D7" i="129" s="1"/>
  <c r="C9" i="128"/>
  <c r="A6" i="128"/>
  <c r="A9" i="128" s="1"/>
  <c r="I3" i="128"/>
  <c r="H3" i="128"/>
  <c r="G3" i="128"/>
  <c r="F3" i="128"/>
  <c r="E3" i="128"/>
  <c r="D3" i="128"/>
  <c r="C3" i="128"/>
  <c r="B2" i="128"/>
  <c r="A2" i="128"/>
  <c r="A43" i="246"/>
  <c r="A42" i="246"/>
  <c r="R41" i="246"/>
  <c r="A41" i="246"/>
  <c r="R40" i="246"/>
  <c r="A40" i="246"/>
  <c r="R39" i="246"/>
  <c r="A39" i="246"/>
  <c r="A38" i="246"/>
  <c r="Q36" i="246"/>
  <c r="P36" i="246"/>
  <c r="O36" i="246"/>
  <c r="N36" i="246"/>
  <c r="M36" i="246"/>
  <c r="L36" i="246"/>
  <c r="K36" i="246"/>
  <c r="J36" i="246"/>
  <c r="I36" i="246"/>
  <c r="H36" i="246"/>
  <c r="G36" i="246"/>
  <c r="F36" i="246"/>
  <c r="E36" i="246"/>
  <c r="D36" i="246"/>
  <c r="C36" i="246"/>
  <c r="R35" i="246"/>
  <c r="A35" i="246"/>
  <c r="R34" i="246"/>
  <c r="A34" i="246"/>
  <c r="R33" i="246"/>
  <c r="A33" i="246"/>
  <c r="R32" i="246"/>
  <c r="A32" i="246"/>
  <c r="R31" i="246"/>
  <c r="A31" i="246"/>
  <c r="R30" i="246"/>
  <c r="A30" i="246"/>
  <c r="R29" i="246"/>
  <c r="A29" i="246"/>
  <c r="R28" i="246"/>
  <c r="A28" i="246"/>
  <c r="R27" i="246"/>
  <c r="A27" i="246"/>
  <c r="R26" i="246"/>
  <c r="A26" i="246"/>
  <c r="R25" i="246"/>
  <c r="A25" i="246"/>
  <c r="A24" i="246"/>
  <c r="Q22" i="246"/>
  <c r="P22" i="246"/>
  <c r="P38" i="246" s="1"/>
  <c r="P42" i="246" s="1"/>
  <c r="O22" i="246"/>
  <c r="O38" i="246" s="1"/>
  <c r="O42" i="246" s="1"/>
  <c r="N22" i="246"/>
  <c r="M22" i="246"/>
  <c r="L22" i="246"/>
  <c r="L38" i="246" s="1"/>
  <c r="L42" i="246" s="1"/>
  <c r="K22" i="246"/>
  <c r="K38" i="246" s="1"/>
  <c r="K42" i="246" s="1"/>
  <c r="J22" i="246"/>
  <c r="I22" i="246"/>
  <c r="H22" i="246"/>
  <c r="H38" i="246" s="1"/>
  <c r="H42" i="246" s="1"/>
  <c r="G22" i="246"/>
  <c r="G38" i="246" s="1"/>
  <c r="G42" i="246" s="1"/>
  <c r="F22" i="246"/>
  <c r="E22" i="246"/>
  <c r="D22" i="246"/>
  <c r="D38" i="246" s="1"/>
  <c r="D42" i="246" s="1"/>
  <c r="C22" i="246"/>
  <c r="C38" i="246" s="1"/>
  <c r="C42" i="246" s="1"/>
  <c r="A22" i="246"/>
  <c r="R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146" i="255"/>
  <c r="L143" i="255"/>
  <c r="K143" i="255"/>
  <c r="J143" i="255"/>
  <c r="H143" i="255"/>
  <c r="G143" i="255"/>
  <c r="F143" i="255" s="1"/>
  <c r="E143" i="255"/>
  <c r="D143" i="255" s="1"/>
  <c r="C143" i="255"/>
  <c r="L141" i="255"/>
  <c r="K141" i="255"/>
  <c r="J141" i="255"/>
  <c r="I141" i="255"/>
  <c r="H141" i="255"/>
  <c r="G141" i="255"/>
  <c r="F141" i="255"/>
  <c r="E141" i="255"/>
  <c r="D141" i="255"/>
  <c r="C141" i="255"/>
  <c r="L134" i="255"/>
  <c r="K134" i="255"/>
  <c r="J134" i="255"/>
  <c r="I134" i="255"/>
  <c r="H134" i="255"/>
  <c r="G134" i="255"/>
  <c r="F134" i="255"/>
  <c r="E134" i="255"/>
  <c r="D134" i="255"/>
  <c r="C134" i="255"/>
  <c r="L98" i="255"/>
  <c r="L104" i="255" s="1"/>
  <c r="L32" i="127" s="1"/>
  <c r="K98" i="255"/>
  <c r="K104" i="255" s="1"/>
  <c r="K32" i="127" s="1"/>
  <c r="J98" i="255"/>
  <c r="J104" i="255" s="1"/>
  <c r="J32" i="127" s="1"/>
  <c r="I98" i="255"/>
  <c r="I104" i="255" s="1"/>
  <c r="I32" i="127" s="1"/>
  <c r="J40" i="338" s="1"/>
  <c r="H98" i="255"/>
  <c r="H104" i="255" s="1"/>
  <c r="H32" i="127" s="1"/>
  <c r="I40" i="338" s="1"/>
  <c r="G98" i="255"/>
  <c r="G104" i="255" s="1"/>
  <c r="G32" i="127" s="1"/>
  <c r="H40" i="338" s="1"/>
  <c r="F98" i="255"/>
  <c r="F104" i="255" s="1"/>
  <c r="F32" i="127" s="1"/>
  <c r="G40" i="338" s="1"/>
  <c r="E98" i="255"/>
  <c r="E104" i="255" s="1"/>
  <c r="E32" i="127" s="1"/>
  <c r="F40" i="338" s="1"/>
  <c r="D98" i="255"/>
  <c r="D104" i="255" s="1"/>
  <c r="D32" i="127" s="1"/>
  <c r="E40" i="338" s="1"/>
  <c r="C98" i="255"/>
  <c r="C104" i="255" s="1"/>
  <c r="C32" i="127" s="1"/>
  <c r="D40" i="338" s="1"/>
  <c r="A72" i="255"/>
  <c r="L70" i="255"/>
  <c r="K70" i="255"/>
  <c r="K30" i="127" s="1"/>
  <c r="J70" i="255"/>
  <c r="I70" i="255"/>
  <c r="H70" i="255"/>
  <c r="G70" i="255"/>
  <c r="G30" i="127" s="1"/>
  <c r="H38" i="338" s="1"/>
  <c r="F70" i="255"/>
  <c r="E70" i="255"/>
  <c r="D70" i="255"/>
  <c r="C70" i="255"/>
  <c r="C30" i="127" s="1"/>
  <c r="D38" i="338" s="1"/>
  <c r="A67" i="255"/>
  <c r="L65" i="255"/>
  <c r="K65" i="255"/>
  <c r="J65" i="255"/>
  <c r="I65" i="255"/>
  <c r="H65" i="255"/>
  <c r="G65" i="255"/>
  <c r="F65" i="255"/>
  <c r="E65" i="255"/>
  <c r="D65" i="255"/>
  <c r="C65" i="255"/>
  <c r="A61" i="255"/>
  <c r="A65" i="255" s="1"/>
  <c r="L59" i="255"/>
  <c r="K59" i="255"/>
  <c r="J59" i="255"/>
  <c r="I59" i="255"/>
  <c r="I40" i="127" s="1"/>
  <c r="H59" i="255"/>
  <c r="G59" i="255"/>
  <c r="F59" i="255"/>
  <c r="E59" i="255"/>
  <c r="E40" i="127" s="1"/>
  <c r="D59" i="255"/>
  <c r="C59" i="255"/>
  <c r="A59" i="255"/>
  <c r="L48" i="255"/>
  <c r="L50" i="255" s="1"/>
  <c r="K48" i="255"/>
  <c r="K50" i="255" s="1"/>
  <c r="J48" i="255"/>
  <c r="J50" i="255" s="1"/>
  <c r="I48" i="255"/>
  <c r="I50" i="255" s="1"/>
  <c r="H48" i="255"/>
  <c r="H50" i="255" s="1"/>
  <c r="G48" i="255"/>
  <c r="G50" i="255" s="1"/>
  <c r="F48" i="255"/>
  <c r="F50" i="255" s="1"/>
  <c r="E48" i="255"/>
  <c r="E50" i="255" s="1"/>
  <c r="D48" i="255"/>
  <c r="D50" i="255" s="1"/>
  <c r="C48" i="255"/>
  <c r="C50" i="255" s="1"/>
  <c r="A38" i="255"/>
  <c r="A50" i="255" s="1"/>
  <c r="L35" i="255"/>
  <c r="K35" i="255"/>
  <c r="K20" i="127" s="1"/>
  <c r="J35" i="255"/>
  <c r="I35" i="255"/>
  <c r="H35" i="255"/>
  <c r="G35" i="255"/>
  <c r="G20" i="127" s="1"/>
  <c r="F35" i="255"/>
  <c r="E35" i="255"/>
  <c r="D35" i="255"/>
  <c r="C35" i="255"/>
  <c r="C20" i="127" s="1"/>
  <c r="L30" i="255"/>
  <c r="K30" i="255"/>
  <c r="J30" i="255"/>
  <c r="I30" i="255"/>
  <c r="H30" i="255"/>
  <c r="G30" i="255"/>
  <c r="F30" i="255"/>
  <c r="E30" i="255"/>
  <c r="D30" i="255"/>
  <c r="C30" i="255"/>
  <c r="A29" i="255"/>
  <c r="A26" i="255"/>
  <c r="A30" i="255" s="1"/>
  <c r="L24" i="255"/>
  <c r="K24" i="255"/>
  <c r="J24" i="255"/>
  <c r="I24" i="255"/>
  <c r="I9" i="127" s="1"/>
  <c r="J48" i="123" s="1"/>
  <c r="H24" i="255"/>
  <c r="G24" i="255"/>
  <c r="F24" i="255"/>
  <c r="E24" i="255"/>
  <c r="E9" i="127" s="1"/>
  <c r="F48" i="123" s="1"/>
  <c r="D24" i="255"/>
  <c r="C24" i="255"/>
  <c r="A23" i="255"/>
  <c r="A21" i="255"/>
  <c r="A24" i="255" s="1"/>
  <c r="L19" i="255"/>
  <c r="K19" i="255"/>
  <c r="J19" i="255"/>
  <c r="I19" i="255"/>
  <c r="H19" i="255"/>
  <c r="G19" i="255"/>
  <c r="F19" i="255"/>
  <c r="E19" i="255"/>
  <c r="D19" i="255"/>
  <c r="C19" i="255"/>
  <c r="A18" i="255"/>
  <c r="A16" i="255"/>
  <c r="A19" i="255" s="1"/>
  <c r="L14" i="255"/>
  <c r="K14" i="255"/>
  <c r="J14" i="255"/>
  <c r="I14" i="255"/>
  <c r="I7" i="127" s="1"/>
  <c r="H14" i="255"/>
  <c r="G14" i="255"/>
  <c r="F14" i="255"/>
  <c r="E14" i="255"/>
  <c r="E7" i="127" s="1"/>
  <c r="D14" i="255"/>
  <c r="C14" i="255"/>
  <c r="A13" i="255"/>
  <c r="A11" i="255"/>
  <c r="A14" i="255" s="1"/>
  <c r="L9" i="255"/>
  <c r="K9" i="255"/>
  <c r="J9" i="255"/>
  <c r="I9" i="255"/>
  <c r="H9" i="255"/>
  <c r="G9" i="255"/>
  <c r="F9" i="255"/>
  <c r="E9" i="255"/>
  <c r="D9" i="255"/>
  <c r="C9" i="255"/>
  <c r="A6" i="255"/>
  <c r="I3" i="255"/>
  <c r="H3" i="255"/>
  <c r="G3" i="255"/>
  <c r="F3" i="255"/>
  <c r="E3" i="255"/>
  <c r="D3" i="255"/>
  <c r="C3" i="255"/>
  <c r="B2" i="255"/>
  <c r="A2" i="255"/>
  <c r="A79" i="253"/>
  <c r="K78" i="253"/>
  <c r="M52" i="338" s="1"/>
  <c r="M49" i="338" s="1"/>
  <c r="J78" i="253"/>
  <c r="L52" i="338" s="1"/>
  <c r="L49" i="338" s="1"/>
  <c r="I78" i="253"/>
  <c r="H78" i="253"/>
  <c r="I52" i="338" s="1"/>
  <c r="I49" i="338" s="1"/>
  <c r="G78" i="253"/>
  <c r="H52" i="338" s="1"/>
  <c r="H49" i="338" s="1"/>
  <c r="F78" i="253"/>
  <c r="G52" i="338" s="1"/>
  <c r="G49" i="338" s="1"/>
  <c r="E78" i="253"/>
  <c r="F52" i="338" s="1"/>
  <c r="F49" i="338" s="1"/>
  <c r="D78" i="253"/>
  <c r="E52" i="338" s="1"/>
  <c r="E49" i="338" s="1"/>
  <c r="C78" i="253"/>
  <c r="D52" i="338" s="1"/>
  <c r="D49" i="338" s="1"/>
  <c r="K59" i="253"/>
  <c r="J59" i="253"/>
  <c r="I59" i="253"/>
  <c r="K126" i="123" s="1"/>
  <c r="H59" i="253"/>
  <c r="G59" i="253"/>
  <c r="F59" i="253"/>
  <c r="G126" i="123" s="1"/>
  <c r="E59" i="253"/>
  <c r="F126" i="123" s="1"/>
  <c r="D59" i="253"/>
  <c r="E126" i="123" s="1"/>
  <c r="C59" i="253"/>
  <c r="D126" i="123" s="1"/>
  <c r="B46" i="253"/>
  <c r="A46" i="253"/>
  <c r="K45" i="253"/>
  <c r="J45" i="253"/>
  <c r="I45" i="253"/>
  <c r="H45" i="253"/>
  <c r="G45" i="253"/>
  <c r="F45" i="253"/>
  <c r="E45" i="253"/>
  <c r="D45" i="253"/>
  <c r="C45" i="253"/>
  <c r="A45" i="253"/>
  <c r="K39" i="253"/>
  <c r="K46" i="253" s="1"/>
  <c r="J39" i="253"/>
  <c r="J46" i="253" s="1"/>
  <c r="I39" i="253"/>
  <c r="H39" i="253"/>
  <c r="G39" i="253"/>
  <c r="F39" i="253"/>
  <c r="E39" i="253"/>
  <c r="D39" i="253"/>
  <c r="C39" i="253"/>
  <c r="C46" i="253" s="1"/>
  <c r="A39" i="253"/>
  <c r="B36" i="253"/>
  <c r="A36" i="253"/>
  <c r="K35" i="253"/>
  <c r="J35" i="253"/>
  <c r="I35" i="253"/>
  <c r="H35" i="253"/>
  <c r="G35" i="253"/>
  <c r="F35" i="253"/>
  <c r="E35" i="253"/>
  <c r="D35" i="253"/>
  <c r="C35" i="253"/>
  <c r="A35" i="253"/>
  <c r="K31" i="253"/>
  <c r="J31" i="253"/>
  <c r="I31" i="253"/>
  <c r="I36" i="253" s="1"/>
  <c r="H31" i="253"/>
  <c r="H36" i="253" s="1"/>
  <c r="G31" i="253"/>
  <c r="F31" i="253"/>
  <c r="E31" i="253"/>
  <c r="E36" i="253" s="1"/>
  <c r="D31" i="253"/>
  <c r="D36" i="253" s="1"/>
  <c r="C31" i="253"/>
  <c r="A31" i="253"/>
  <c r="B27" i="253"/>
  <c r="A27" i="253"/>
  <c r="K26" i="253"/>
  <c r="J26" i="253"/>
  <c r="I26" i="253"/>
  <c r="H26" i="253"/>
  <c r="G26" i="253"/>
  <c r="F26" i="253"/>
  <c r="E26" i="253"/>
  <c r="D26" i="253"/>
  <c r="C26" i="253"/>
  <c r="A26" i="253"/>
  <c r="K22" i="253"/>
  <c r="K27" i="253" s="1"/>
  <c r="J22" i="253"/>
  <c r="J27" i="253" s="1"/>
  <c r="I22" i="253"/>
  <c r="H22" i="253"/>
  <c r="G22" i="253"/>
  <c r="G27" i="253" s="1"/>
  <c r="F22" i="253"/>
  <c r="F27" i="253" s="1"/>
  <c r="E22" i="253"/>
  <c r="D22" i="253"/>
  <c r="C22" i="253"/>
  <c r="C27" i="253" s="1"/>
  <c r="A22" i="253"/>
  <c r="K14" i="253"/>
  <c r="J14" i="253"/>
  <c r="I14" i="253"/>
  <c r="H14" i="253"/>
  <c r="G14" i="253"/>
  <c r="F14" i="253"/>
  <c r="E14" i="253"/>
  <c r="D14" i="253"/>
  <c r="C14" i="253"/>
  <c r="B12" i="253"/>
  <c r="K10" i="253"/>
  <c r="K15" i="253" s="1"/>
  <c r="J10" i="253"/>
  <c r="J15" i="253" s="1"/>
  <c r="I10" i="253"/>
  <c r="H10" i="253"/>
  <c r="G10" i="253"/>
  <c r="F10" i="253"/>
  <c r="F15" i="253" s="1"/>
  <c r="E10" i="253"/>
  <c r="D10" i="253"/>
  <c r="C10" i="253"/>
  <c r="C15" i="253" s="1"/>
  <c r="H3" i="253"/>
  <c r="G3" i="253"/>
  <c r="F3" i="253"/>
  <c r="E3" i="253"/>
  <c r="D3" i="253"/>
  <c r="C3" i="253"/>
  <c r="B2" i="253"/>
  <c r="A2" i="253"/>
  <c r="A87" i="248"/>
  <c r="K79" i="248"/>
  <c r="J79" i="248"/>
  <c r="I79" i="248"/>
  <c r="H79" i="248"/>
  <c r="G79" i="248"/>
  <c r="F79" i="248"/>
  <c r="E79" i="248"/>
  <c r="D79" i="248"/>
  <c r="C79"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A75" i="248"/>
  <c r="K74" i="248"/>
  <c r="J74" i="248"/>
  <c r="I74" i="248"/>
  <c r="H74" i="248"/>
  <c r="G74" i="248"/>
  <c r="F74" i="248"/>
  <c r="E74" i="248"/>
  <c r="D74" i="248"/>
  <c r="C74" i="248"/>
  <c r="K73" i="248"/>
  <c r="J73" i="248"/>
  <c r="I73" i="248"/>
  <c r="H73" i="248"/>
  <c r="G73" i="248"/>
  <c r="F73" i="248"/>
  <c r="E73" i="248"/>
  <c r="D73" i="248"/>
  <c r="C73" i="248"/>
  <c r="K72" i="248"/>
  <c r="J72" i="248"/>
  <c r="I72" i="248"/>
  <c r="H72" i="248"/>
  <c r="G72" i="248"/>
  <c r="F72" i="248"/>
  <c r="E72" i="248"/>
  <c r="D72" i="248"/>
  <c r="C72" i="248"/>
  <c r="K71" i="248"/>
  <c r="J71" i="248"/>
  <c r="I71" i="248"/>
  <c r="H71" i="248"/>
  <c r="G71" i="248"/>
  <c r="F71" i="248"/>
  <c r="E71" i="248"/>
  <c r="D71" i="248"/>
  <c r="C71" i="248"/>
  <c r="K70" i="248"/>
  <c r="J70" i="248"/>
  <c r="I70" i="248"/>
  <c r="H70" i="248"/>
  <c r="G70" i="248"/>
  <c r="F70" i="248"/>
  <c r="E70" i="248"/>
  <c r="D70" i="248"/>
  <c r="C70" i="248"/>
  <c r="A68" i="248"/>
  <c r="K64" i="248"/>
  <c r="J64" i="248"/>
  <c r="I64" i="248"/>
  <c r="H64" i="248"/>
  <c r="G64" i="248"/>
  <c r="F64" i="248"/>
  <c r="E64" i="248"/>
  <c r="D64" i="248"/>
  <c r="C64" i="248"/>
  <c r="K63" i="248"/>
  <c r="J63" i="248"/>
  <c r="I63" i="248"/>
  <c r="H63" i="248"/>
  <c r="G63" i="248"/>
  <c r="F63" i="248"/>
  <c r="E63" i="248"/>
  <c r="D63" i="248"/>
  <c r="C63" i="248"/>
  <c r="K62" i="248"/>
  <c r="J62" i="248"/>
  <c r="I62" i="248"/>
  <c r="H62" i="248"/>
  <c r="G62" i="248"/>
  <c r="F62" i="248"/>
  <c r="E62" i="248"/>
  <c r="D62" i="248"/>
  <c r="C62" i="248"/>
  <c r="K60" i="248"/>
  <c r="J60" i="248"/>
  <c r="I60" i="248"/>
  <c r="H60" i="248"/>
  <c r="G60" i="248"/>
  <c r="F60" i="248"/>
  <c r="E60" i="248"/>
  <c r="D60" i="248"/>
  <c r="C60" i="248"/>
  <c r="K57" i="248"/>
  <c r="J57" i="248"/>
  <c r="I57" i="248"/>
  <c r="H57" i="248"/>
  <c r="G57" i="248"/>
  <c r="F57" i="248"/>
  <c r="E57" i="248"/>
  <c r="D57" i="248"/>
  <c r="C57" i="248"/>
  <c r="A45" i="248"/>
  <c r="A44" i="248"/>
  <c r="A43" i="248"/>
  <c r="A13" i="248" s="1"/>
  <c r="H6" i="339" s="1"/>
  <c r="A42" i="248"/>
  <c r="A12" i="248" s="1"/>
  <c r="H5" i="339" s="1"/>
  <c r="A41" i="248"/>
  <c r="A57" i="248" s="1"/>
  <c r="K33" i="248"/>
  <c r="J33" i="248"/>
  <c r="I33" i="248"/>
  <c r="H33" i="248"/>
  <c r="G33" i="248"/>
  <c r="F33" i="248"/>
  <c r="E33" i="248"/>
  <c r="D33" i="248"/>
  <c r="C33" i="248"/>
  <c r="K32" i="248"/>
  <c r="J32" i="248"/>
  <c r="I32" i="248"/>
  <c r="H32" i="248"/>
  <c r="G32" i="248"/>
  <c r="F32" i="248"/>
  <c r="E32" i="248"/>
  <c r="D32" i="248"/>
  <c r="C32" i="248"/>
  <c r="K31" i="248"/>
  <c r="J31" i="248"/>
  <c r="I31" i="248"/>
  <c r="H31" i="248"/>
  <c r="G31" i="248"/>
  <c r="F31" i="248"/>
  <c r="E31" i="248"/>
  <c r="D31" i="248"/>
  <c r="C31" i="248"/>
  <c r="K30" i="248"/>
  <c r="J30" i="248"/>
  <c r="I30" i="248"/>
  <c r="H30" i="248"/>
  <c r="G30" i="248"/>
  <c r="F30" i="248"/>
  <c r="E30" i="248"/>
  <c r="D30" i="248"/>
  <c r="C30" i="248"/>
  <c r="K29" i="248"/>
  <c r="J29" i="248"/>
  <c r="I29" i="248"/>
  <c r="H29" i="248"/>
  <c r="G29" i="248"/>
  <c r="F29" i="248"/>
  <c r="E29" i="248"/>
  <c r="D29" i="248"/>
  <c r="C29" i="248"/>
  <c r="K28" i="248"/>
  <c r="J28" i="248"/>
  <c r="I28" i="248"/>
  <c r="H28" i="248"/>
  <c r="G28" i="248"/>
  <c r="F28" i="248"/>
  <c r="E28" i="248"/>
  <c r="D28" i="248"/>
  <c r="C28" i="248"/>
  <c r="K27" i="248"/>
  <c r="J27" i="248"/>
  <c r="I27" i="248"/>
  <c r="H27" i="248"/>
  <c r="G27" i="248"/>
  <c r="F27" i="248"/>
  <c r="E27" i="248"/>
  <c r="D27" i="248"/>
  <c r="C27" i="248"/>
  <c r="A26" i="248"/>
  <c r="K25" i="248"/>
  <c r="J25" i="248"/>
  <c r="I25" i="248"/>
  <c r="H25" i="248"/>
  <c r="G25" i="248"/>
  <c r="F25" i="248"/>
  <c r="E25" i="248"/>
  <c r="D25" i="248"/>
  <c r="C25" i="248"/>
  <c r="K24" i="248"/>
  <c r="J24" i="248"/>
  <c r="I24" i="248"/>
  <c r="H24" i="248"/>
  <c r="G24" i="248"/>
  <c r="F24" i="248"/>
  <c r="E24" i="248"/>
  <c r="D24" i="248"/>
  <c r="C24" i="248"/>
  <c r="K23" i="248"/>
  <c r="J23" i="248"/>
  <c r="I23" i="248"/>
  <c r="H23" i="248"/>
  <c r="G23" i="248"/>
  <c r="F23" i="248"/>
  <c r="E23" i="248"/>
  <c r="D23" i="248"/>
  <c r="C23" i="248"/>
  <c r="K22" i="248"/>
  <c r="J22" i="248"/>
  <c r="I22" i="248"/>
  <c r="H22" i="248"/>
  <c r="G22" i="248"/>
  <c r="F22" i="248"/>
  <c r="E22" i="248"/>
  <c r="D22" i="248"/>
  <c r="C22" i="248"/>
  <c r="K21" i="248"/>
  <c r="J21" i="248"/>
  <c r="I21" i="248"/>
  <c r="H21" i="248"/>
  <c r="G21" i="248"/>
  <c r="F21" i="248"/>
  <c r="E21" i="248"/>
  <c r="D21" i="248"/>
  <c r="C21" i="248"/>
  <c r="K18" i="248"/>
  <c r="J18" i="248"/>
  <c r="I18" i="248"/>
  <c r="H18" i="248"/>
  <c r="H48" i="248" s="1"/>
  <c r="I56" i="338" s="1"/>
  <c r="I54" i="338" s="1"/>
  <c r="G18" i="248"/>
  <c r="F18" i="248"/>
  <c r="E18" i="248"/>
  <c r="D18" i="248"/>
  <c r="D48" i="248" s="1"/>
  <c r="E56" i="338" s="1"/>
  <c r="E54" i="338" s="1"/>
  <c r="E53" i="338" s="1"/>
  <c r="C18" i="248"/>
  <c r="A18" i="248"/>
  <c r="H9" i="339" s="1"/>
  <c r="K17" i="248"/>
  <c r="J17" i="248"/>
  <c r="I17" i="248"/>
  <c r="I47" i="248" s="1"/>
  <c r="H17" i="248"/>
  <c r="H47" i="248" s="1"/>
  <c r="G17" i="248"/>
  <c r="F17" i="248"/>
  <c r="E17" i="248"/>
  <c r="E47" i="248" s="1"/>
  <c r="D17" i="248"/>
  <c r="D47" i="248" s="1"/>
  <c r="C17" i="248"/>
  <c r="A17" i="248"/>
  <c r="H10" i="339" s="1"/>
  <c r="K16" i="248"/>
  <c r="J16" i="248"/>
  <c r="J46" i="248" s="1"/>
  <c r="I16" i="248"/>
  <c r="H16" i="248"/>
  <c r="G16" i="248"/>
  <c r="F16" i="248"/>
  <c r="F46" i="248" s="1"/>
  <c r="E16" i="248"/>
  <c r="D16" i="248"/>
  <c r="C16" i="248"/>
  <c r="K15" i="248"/>
  <c r="K45" i="248" s="1"/>
  <c r="J15" i="248"/>
  <c r="I15" i="248"/>
  <c r="H15" i="248"/>
  <c r="G15" i="248"/>
  <c r="G45" i="248" s="1"/>
  <c r="F15" i="248"/>
  <c r="E15" i="248"/>
  <c r="D15" i="248"/>
  <c r="C15" i="248" s="1"/>
  <c r="C45" i="248" s="1"/>
  <c r="A15" i="248"/>
  <c r="H8" i="339" s="1"/>
  <c r="K14" i="248"/>
  <c r="J14" i="248"/>
  <c r="I14" i="248"/>
  <c r="H14" i="248"/>
  <c r="H44" i="248" s="1"/>
  <c r="G14" i="248"/>
  <c r="F14" i="248"/>
  <c r="E14" i="248"/>
  <c r="D14" i="248"/>
  <c r="D44" i="248" s="1"/>
  <c r="C14" i="248"/>
  <c r="A14" i="248"/>
  <c r="H7" i="339" s="1"/>
  <c r="K13" i="248"/>
  <c r="K43" i="248" s="1"/>
  <c r="J13" i="248"/>
  <c r="J43" i="248" s="1"/>
  <c r="I13" i="248"/>
  <c r="I43" i="248" s="1"/>
  <c r="H13" i="248"/>
  <c r="H43" i="248" s="1"/>
  <c r="G13" i="248"/>
  <c r="G43" i="248" s="1"/>
  <c r="F13" i="248"/>
  <c r="F43" i="248" s="1"/>
  <c r="E13" i="248"/>
  <c r="E43" i="248" s="1"/>
  <c r="D13" i="248"/>
  <c r="D43" i="248" s="1"/>
  <c r="C13" i="248"/>
  <c r="C43" i="248" s="1"/>
  <c r="K12" i="248"/>
  <c r="J12" i="248"/>
  <c r="J42" i="248" s="1"/>
  <c r="I12" i="248"/>
  <c r="H12" i="248"/>
  <c r="G12" i="248"/>
  <c r="F12" i="248"/>
  <c r="F42" i="248" s="1"/>
  <c r="E12" i="248"/>
  <c r="D12" i="248"/>
  <c r="C12" i="248"/>
  <c r="K10" i="248"/>
  <c r="J10" i="248"/>
  <c r="I10" i="248"/>
  <c r="H10" i="248"/>
  <c r="H40" i="248" s="1"/>
  <c r="G10" i="248"/>
  <c r="F10" i="248"/>
  <c r="E10" i="248"/>
  <c r="D10" i="248"/>
  <c r="D40" i="248" s="1"/>
  <c r="C10" i="248"/>
  <c r="K9" i="248"/>
  <c r="J9" i="248"/>
  <c r="I9" i="248"/>
  <c r="I39" i="248" s="1"/>
  <c r="H9" i="248"/>
  <c r="G9" i="248"/>
  <c r="F9" i="248"/>
  <c r="E9" i="248"/>
  <c r="E39" i="248" s="1"/>
  <c r="D9" i="248"/>
  <c r="C9" i="248" s="1"/>
  <c r="K8" i="248"/>
  <c r="K38" i="248" s="1"/>
  <c r="J8" i="248"/>
  <c r="J38" i="248" s="1"/>
  <c r="I8" i="248"/>
  <c r="I38" i="248" s="1"/>
  <c r="H8" i="248"/>
  <c r="G8" i="248"/>
  <c r="G38" i="248" s="1"/>
  <c r="F8" i="248"/>
  <c r="F38" i="248" s="1"/>
  <c r="E8" i="248"/>
  <c r="E38" i="248" s="1"/>
  <c r="D8" i="248"/>
  <c r="C8" i="248" s="1"/>
  <c r="K7" i="248"/>
  <c r="K37" i="248" s="1"/>
  <c r="J7" i="248"/>
  <c r="I7" i="248"/>
  <c r="H7" i="248"/>
  <c r="G7" i="248"/>
  <c r="G37" i="248" s="1"/>
  <c r="F7" i="248"/>
  <c r="E7" i="248"/>
  <c r="D7" i="248"/>
  <c r="C7" i="248" s="1"/>
  <c r="C37" i="248" s="1"/>
  <c r="K6" i="248"/>
  <c r="K36" i="248" s="1"/>
  <c r="J6" i="248"/>
  <c r="I6" i="248"/>
  <c r="H6" i="248"/>
  <c r="H36" i="248" s="1"/>
  <c r="G6" i="248"/>
  <c r="G36" i="248" s="1"/>
  <c r="F6" i="248"/>
  <c r="E6" i="248"/>
  <c r="D6" i="248"/>
  <c r="D36" i="248" s="1"/>
  <c r="C6" i="248"/>
  <c r="C36" i="248" s="1"/>
  <c r="H3" i="248"/>
  <c r="G3" i="248"/>
  <c r="F3" i="248"/>
  <c r="E3" i="248"/>
  <c r="D3" i="248"/>
  <c r="C3" i="248"/>
  <c r="B2" i="248"/>
  <c r="A2" i="248"/>
  <c r="A56" i="237"/>
  <c r="A55" i="237"/>
  <c r="L54" i="237"/>
  <c r="L67" i="237" s="1"/>
  <c r="K54" i="237"/>
  <c r="K67" i="237" s="1"/>
  <c r="J54" i="237"/>
  <c r="J67" i="237" s="1"/>
  <c r="I54" i="237"/>
  <c r="I67" i="237" s="1"/>
  <c r="H54" i="237"/>
  <c r="H67" i="237" s="1"/>
  <c r="G54" i="237"/>
  <c r="G67" i="237" s="1"/>
  <c r="F54" i="237"/>
  <c r="F67" i="237" s="1"/>
  <c r="E54" i="237"/>
  <c r="E67" i="237" s="1"/>
  <c r="D54" i="237"/>
  <c r="D67" i="237" s="1"/>
  <c r="C54" i="237"/>
  <c r="C67" i="237" s="1"/>
  <c r="A54" i="237"/>
  <c r="A53" i="237"/>
  <c r="L52" i="237"/>
  <c r="L16" i="237" s="1"/>
  <c r="K52" i="237"/>
  <c r="K16" i="237" s="1"/>
  <c r="J52" i="237"/>
  <c r="I52" i="237"/>
  <c r="H52" i="237"/>
  <c r="H16" i="237" s="1"/>
  <c r="G52" i="237"/>
  <c r="G16" i="237" s="1"/>
  <c r="F52" i="237"/>
  <c r="E52" i="237"/>
  <c r="D52" i="237"/>
  <c r="D16" i="237" s="1"/>
  <c r="C52" i="237"/>
  <c r="C16" i="237" s="1"/>
  <c r="A40" i="237"/>
  <c r="L38" i="237"/>
  <c r="K38" i="237"/>
  <c r="J38" i="237"/>
  <c r="I38" i="237"/>
  <c r="H38" i="237"/>
  <c r="G38" i="237"/>
  <c r="F38" i="237"/>
  <c r="E38" i="237"/>
  <c r="D38" i="237"/>
  <c r="L37" i="237"/>
  <c r="L30" i="237" s="1"/>
  <c r="K37" i="237"/>
  <c r="K30" i="237" s="1"/>
  <c r="J37" i="237"/>
  <c r="I37" i="237"/>
  <c r="H37" i="237"/>
  <c r="H30" i="237" s="1"/>
  <c r="G37" i="237"/>
  <c r="G30" i="237" s="1"/>
  <c r="F37" i="237"/>
  <c r="E37" i="237"/>
  <c r="D37" i="237"/>
  <c r="D30" i="237" s="1"/>
  <c r="C37" i="237"/>
  <c r="C30" i="237" s="1"/>
  <c r="J30" i="237"/>
  <c r="I30" i="237"/>
  <c r="F30" i="237"/>
  <c r="E30" i="237"/>
  <c r="A20" i="237"/>
  <c r="A18" i="237"/>
  <c r="J16" i="237"/>
  <c r="I16" i="237"/>
  <c r="F16" i="237"/>
  <c r="E16" i="237"/>
  <c r="E12" i="237"/>
  <c r="D12" i="237"/>
  <c r="C12" i="237"/>
  <c r="L11" i="237"/>
  <c r="K11" i="237"/>
  <c r="J11" i="237"/>
  <c r="I11" i="237"/>
  <c r="H11" i="237"/>
  <c r="G11" i="237"/>
  <c r="F11" i="237"/>
  <c r="E11" i="237"/>
  <c r="D11" i="237"/>
  <c r="C11" i="237"/>
  <c r="A11" i="237"/>
  <c r="L7" i="237"/>
  <c r="K7" i="237"/>
  <c r="J7" i="237"/>
  <c r="I7" i="237"/>
  <c r="H7" i="237"/>
  <c r="G7" i="237"/>
  <c r="F7" i="237"/>
  <c r="E7" i="237"/>
  <c r="D7" i="237"/>
  <c r="C7" i="237"/>
  <c r="A7" i="237"/>
  <c r="A5" i="237"/>
  <c r="I3" i="237"/>
  <c r="H3" i="237"/>
  <c r="G3" i="237"/>
  <c r="F3" i="237"/>
  <c r="E3" i="237"/>
  <c r="D3" i="237"/>
  <c r="C3" i="237"/>
  <c r="B2" i="237"/>
  <c r="A2" i="237"/>
  <c r="L47" i="131"/>
  <c r="K47" i="131"/>
  <c r="J47" i="131"/>
  <c r="I47" i="131"/>
  <c r="H47" i="131"/>
  <c r="G47" i="131"/>
  <c r="F47" i="131"/>
  <c r="E47" i="131"/>
  <c r="D47" i="131"/>
  <c r="C47" i="131"/>
  <c r="A47" i="131"/>
  <c r="L46" i="131"/>
  <c r="K46" i="131"/>
  <c r="J46" i="131"/>
  <c r="I46" i="131"/>
  <c r="H46" i="131"/>
  <c r="G46" i="131"/>
  <c r="F46" i="131"/>
  <c r="E46" i="131"/>
  <c r="D46" i="131"/>
  <c r="C46" i="131"/>
  <c r="L44" i="131"/>
  <c r="K44" i="131"/>
  <c r="J44" i="131"/>
  <c r="I44" i="131"/>
  <c r="H44" i="131"/>
  <c r="G44" i="131"/>
  <c r="F44" i="131"/>
  <c r="E44" i="131"/>
  <c r="D44" i="131"/>
  <c r="C44" i="131"/>
  <c r="L43" i="131"/>
  <c r="K43" i="131"/>
  <c r="J43" i="131"/>
  <c r="J45" i="131" s="1"/>
  <c r="I43" i="131"/>
  <c r="I45" i="131" s="1"/>
  <c r="I48" i="131" s="1"/>
  <c r="H43" i="131"/>
  <c r="G43" i="131"/>
  <c r="F43" i="131"/>
  <c r="F45" i="131" s="1"/>
  <c r="F48" i="131" s="1"/>
  <c r="E43" i="131"/>
  <c r="E45" i="131" s="1"/>
  <c r="E48" i="131" s="1"/>
  <c r="D43" i="131"/>
  <c r="C43" i="131"/>
  <c r="A39" i="131"/>
  <c r="I37" i="131"/>
  <c r="L34" i="131"/>
  <c r="K34" i="131"/>
  <c r="J34" i="131"/>
  <c r="I34" i="131"/>
  <c r="H34" i="131"/>
  <c r="G34" i="131"/>
  <c r="F34" i="131"/>
  <c r="E34" i="131"/>
  <c r="D34" i="131"/>
  <c r="C34" i="131"/>
  <c r="L25" i="131"/>
  <c r="K25" i="131"/>
  <c r="J25" i="131"/>
  <c r="I25" i="131"/>
  <c r="H25" i="131"/>
  <c r="G25" i="131"/>
  <c r="F25" i="131"/>
  <c r="E25" i="131"/>
  <c r="D25" i="131"/>
  <c r="C25" i="131"/>
  <c r="L15" i="131"/>
  <c r="K15" i="131"/>
  <c r="J15" i="131"/>
  <c r="J36" i="131" s="1"/>
  <c r="I15" i="131"/>
  <c r="I36" i="131" s="1"/>
  <c r="H15" i="131"/>
  <c r="G15" i="131"/>
  <c r="F15" i="131"/>
  <c r="F36" i="131" s="1"/>
  <c r="E15" i="131"/>
  <c r="E36" i="131" s="1"/>
  <c r="D15" i="131"/>
  <c r="C15" i="131"/>
  <c r="I3" i="131"/>
  <c r="H3" i="131"/>
  <c r="G3" i="131"/>
  <c r="F3" i="131"/>
  <c r="E3" i="131"/>
  <c r="D3" i="131"/>
  <c r="C3" i="131"/>
  <c r="B2" i="131"/>
  <c r="A2" i="131"/>
  <c r="A49" i="129"/>
  <c r="L46" i="129"/>
  <c r="L48" i="129" s="1"/>
  <c r="K46" i="129"/>
  <c r="K48" i="129" s="1"/>
  <c r="I46" i="129"/>
  <c r="I48" i="129" s="1"/>
  <c r="H46" i="129"/>
  <c r="H48" i="129" s="1"/>
  <c r="G46" i="129"/>
  <c r="G48" i="129" s="1"/>
  <c r="E46" i="129"/>
  <c r="E48" i="129" s="1"/>
  <c r="D46" i="129"/>
  <c r="D48" i="129" s="1"/>
  <c r="C46" i="129"/>
  <c r="C48" i="129" s="1"/>
  <c r="K38" i="129"/>
  <c r="J38" i="129"/>
  <c r="I38" i="129"/>
  <c r="G38" i="129"/>
  <c r="F38" i="129"/>
  <c r="E38" i="129"/>
  <c r="C38" i="129"/>
  <c r="L37" i="129"/>
  <c r="J37" i="129"/>
  <c r="I37" i="129"/>
  <c r="H37" i="129"/>
  <c r="F37" i="129"/>
  <c r="E37" i="129"/>
  <c r="D37" i="129"/>
  <c r="L32" i="129"/>
  <c r="L31" i="237" s="1"/>
  <c r="K32" i="129"/>
  <c r="K31" i="237" s="1"/>
  <c r="I32" i="129"/>
  <c r="I31" i="237" s="1"/>
  <c r="H32" i="129"/>
  <c r="H31" i="237" s="1"/>
  <c r="G32" i="129"/>
  <c r="G31" i="237" s="1"/>
  <c r="E32" i="129"/>
  <c r="E31" i="237" s="1"/>
  <c r="D32" i="129"/>
  <c r="D31" i="237" s="1"/>
  <c r="C32" i="129"/>
  <c r="C31" i="237" s="1"/>
  <c r="L30" i="129"/>
  <c r="K30" i="129"/>
  <c r="J30" i="129"/>
  <c r="H30" i="129"/>
  <c r="G30" i="129"/>
  <c r="F30" i="129"/>
  <c r="D30" i="129"/>
  <c r="C30" i="129"/>
  <c r="K19" i="129"/>
  <c r="K24" i="129" s="1"/>
  <c r="J19" i="129"/>
  <c r="J24" i="129" s="1"/>
  <c r="I19" i="129"/>
  <c r="I24" i="129" s="1"/>
  <c r="G19" i="129"/>
  <c r="G24" i="129" s="1"/>
  <c r="F19" i="129"/>
  <c r="F24" i="129" s="1"/>
  <c r="E19" i="129"/>
  <c r="E24" i="129" s="1"/>
  <c r="C19" i="129"/>
  <c r="C24" i="129" s="1"/>
  <c r="L8" i="129"/>
  <c r="K8" i="129"/>
  <c r="J8" i="129"/>
  <c r="H8" i="129"/>
  <c r="G8" i="129"/>
  <c r="F8" i="129"/>
  <c r="D8" i="129"/>
  <c r="C8" i="129"/>
  <c r="K7" i="129"/>
  <c r="J7" i="129"/>
  <c r="I7" i="129"/>
  <c r="G7" i="129"/>
  <c r="F7" i="129"/>
  <c r="E7" i="129"/>
  <c r="C7" i="129"/>
  <c r="C6" i="129"/>
  <c r="I3" i="129"/>
  <c r="H3" i="129"/>
  <c r="G3" i="129"/>
  <c r="F3" i="129"/>
  <c r="E3" i="129"/>
  <c r="D3" i="129"/>
  <c r="C3" i="129"/>
  <c r="B2" i="129"/>
  <c r="A2" i="129"/>
  <c r="A339" i="343"/>
  <c r="A338" i="343"/>
  <c r="A337" i="343"/>
  <c r="A336" i="343"/>
  <c r="A335" i="343"/>
  <c r="A334" i="343"/>
  <c r="A333" i="343"/>
  <c r="A332" i="343"/>
  <c r="A331" i="343"/>
  <c r="A330" i="343"/>
  <c r="L329" i="343"/>
  <c r="K329" i="343"/>
  <c r="J329" i="343"/>
  <c r="I329" i="343"/>
  <c r="I38" i="126" s="1"/>
  <c r="H329" i="343"/>
  <c r="G329" i="343"/>
  <c r="F329" i="343"/>
  <c r="E329" i="343"/>
  <c r="E38" i="126" s="1"/>
  <c r="D329" i="343"/>
  <c r="C329" i="343"/>
  <c r="A329" i="343"/>
  <c r="A328" i="343"/>
  <c r="A327" i="343"/>
  <c r="A326" i="343"/>
  <c r="A325" i="343"/>
  <c r="A324" i="343"/>
  <c r="A323" i="343"/>
  <c r="A322" i="343"/>
  <c r="A321" i="343"/>
  <c r="A320" i="343"/>
  <c r="A319" i="343"/>
  <c r="L318" i="343"/>
  <c r="K318" i="343"/>
  <c r="K37" i="126" s="1"/>
  <c r="P36" i="140" s="1"/>
  <c r="J318" i="343"/>
  <c r="J37" i="126" s="1"/>
  <c r="O36" i="140" s="1"/>
  <c r="N36" i="140" s="1"/>
  <c r="I318" i="343"/>
  <c r="H318" i="343"/>
  <c r="G318" i="343"/>
  <c r="G37" i="126" s="1"/>
  <c r="F318" i="343"/>
  <c r="F37" i="126" s="1"/>
  <c r="E318" i="343"/>
  <c r="D318" i="343"/>
  <c r="C318" i="343"/>
  <c r="C37" i="126" s="1"/>
  <c r="A318" i="343"/>
  <c r="A317" i="343"/>
  <c r="A316" i="343"/>
  <c r="A315" i="343"/>
  <c r="A314" i="343"/>
  <c r="A313" i="343"/>
  <c r="A312" i="343"/>
  <c r="A311" i="343"/>
  <c r="A310" i="343"/>
  <c r="A309" i="343"/>
  <c r="A308" i="343"/>
  <c r="L307" i="343"/>
  <c r="L36" i="126" s="1"/>
  <c r="Q35" i="140" s="1"/>
  <c r="K307" i="343"/>
  <c r="J307" i="343"/>
  <c r="I307" i="343"/>
  <c r="H307" i="343"/>
  <c r="H36" i="126" s="1"/>
  <c r="G307" i="343"/>
  <c r="F307" i="343"/>
  <c r="E307" i="343"/>
  <c r="D307" i="343"/>
  <c r="D36" i="126" s="1"/>
  <c r="C307" i="343"/>
  <c r="A307" i="343"/>
  <c r="A306" i="343"/>
  <c r="A305" i="343"/>
  <c r="A304" i="343"/>
  <c r="A303" i="343"/>
  <c r="A302" i="343"/>
  <c r="A301" i="343"/>
  <c r="A300" i="343"/>
  <c r="A299" i="343"/>
  <c r="A298" i="343"/>
  <c r="A297" i="343"/>
  <c r="L296" i="343"/>
  <c r="K296" i="343"/>
  <c r="J296" i="343"/>
  <c r="I296" i="343"/>
  <c r="H296" i="343"/>
  <c r="G296" i="343"/>
  <c r="F296" i="343"/>
  <c r="E296" i="343"/>
  <c r="D296" i="343"/>
  <c r="C296" i="343"/>
  <c r="A296" i="343"/>
  <c r="A295" i="343"/>
  <c r="A294" i="343"/>
  <c r="A293" i="343"/>
  <c r="A292" i="343"/>
  <c r="A291" i="343"/>
  <c r="A290" i="343"/>
  <c r="A289" i="343"/>
  <c r="A288" i="343"/>
  <c r="A287" i="343"/>
  <c r="A286" i="343"/>
  <c r="L285" i="343"/>
  <c r="K285" i="343"/>
  <c r="J285" i="343"/>
  <c r="I285" i="343"/>
  <c r="I34" i="126" s="1"/>
  <c r="H285" i="343"/>
  <c r="G285" i="343"/>
  <c r="F285" i="343"/>
  <c r="E285" i="343"/>
  <c r="E34" i="126" s="1"/>
  <c r="D285" i="343"/>
  <c r="C285" i="343"/>
  <c r="A285" i="343"/>
  <c r="A284" i="343"/>
  <c r="A283" i="343"/>
  <c r="A282" i="343"/>
  <c r="A281" i="343"/>
  <c r="A280" i="343"/>
  <c r="A279" i="343"/>
  <c r="A278" i="343"/>
  <c r="A277" i="343"/>
  <c r="A276" i="343"/>
  <c r="A275" i="343"/>
  <c r="L274" i="343"/>
  <c r="K274" i="343"/>
  <c r="K33" i="126" s="1"/>
  <c r="P32" i="140" s="1"/>
  <c r="J274" i="343"/>
  <c r="J33" i="126" s="1"/>
  <c r="O32" i="140" s="1"/>
  <c r="N32" i="140" s="1"/>
  <c r="I274" i="343"/>
  <c r="H274" i="343"/>
  <c r="G274" i="343"/>
  <c r="G33" i="126" s="1"/>
  <c r="F274" i="343"/>
  <c r="F33" i="126" s="1"/>
  <c r="E274" i="343"/>
  <c r="D274" i="343"/>
  <c r="C274" i="343"/>
  <c r="C33" i="126" s="1"/>
  <c r="A274" i="343"/>
  <c r="A273" i="343"/>
  <c r="A272" i="343"/>
  <c r="A271" i="343"/>
  <c r="A270" i="343"/>
  <c r="A269" i="343"/>
  <c r="A268" i="343"/>
  <c r="A267" i="343"/>
  <c r="A266" i="343"/>
  <c r="A265" i="343"/>
  <c r="A264" i="343"/>
  <c r="L263" i="343"/>
  <c r="L32" i="126" s="1"/>
  <c r="Q31" i="140" s="1"/>
  <c r="K263" i="343"/>
  <c r="J263" i="343"/>
  <c r="I263" i="343"/>
  <c r="H263" i="343"/>
  <c r="H32" i="126" s="1"/>
  <c r="G263" i="343"/>
  <c r="F263" i="343"/>
  <c r="E263" i="343"/>
  <c r="D263" i="343"/>
  <c r="D32" i="126" s="1"/>
  <c r="C263" i="343"/>
  <c r="A263" i="343"/>
  <c r="A262" i="343"/>
  <c r="A261" i="343"/>
  <c r="A260" i="343"/>
  <c r="A259" i="343"/>
  <c r="A258" i="343"/>
  <c r="A257" i="343"/>
  <c r="A256" i="343"/>
  <c r="A255" i="343"/>
  <c r="A254" i="343"/>
  <c r="A253" i="343"/>
  <c r="L252" i="343"/>
  <c r="K252" i="343"/>
  <c r="J252" i="343"/>
  <c r="I252" i="343"/>
  <c r="H252" i="343"/>
  <c r="G252" i="343"/>
  <c r="F252" i="343"/>
  <c r="E252" i="343"/>
  <c r="D252" i="343"/>
  <c r="C252" i="343"/>
  <c r="A252" i="343"/>
  <c r="A251" i="343"/>
  <c r="A250" i="343"/>
  <c r="A249" i="343"/>
  <c r="A248" i="343"/>
  <c r="A247" i="343"/>
  <c r="A246" i="343"/>
  <c r="A245" i="343"/>
  <c r="A244" i="343"/>
  <c r="A243" i="343"/>
  <c r="A242" i="343"/>
  <c r="L241" i="343"/>
  <c r="K241" i="343"/>
  <c r="J241" i="343"/>
  <c r="I241" i="343"/>
  <c r="I30" i="126" s="1"/>
  <c r="H241" i="343"/>
  <c r="G241" i="343"/>
  <c r="F241" i="343"/>
  <c r="E241" i="343"/>
  <c r="E30" i="126" s="1"/>
  <c r="D241" i="343"/>
  <c r="C241" i="343"/>
  <c r="A241" i="343"/>
  <c r="A240" i="343"/>
  <c r="A239" i="343"/>
  <c r="A238" i="343"/>
  <c r="A237" i="343"/>
  <c r="A236" i="343"/>
  <c r="A235" i="343"/>
  <c r="A234" i="343"/>
  <c r="A233" i="343"/>
  <c r="A232" i="343"/>
  <c r="A231" i="343"/>
  <c r="L230" i="343"/>
  <c r="K230" i="343"/>
  <c r="K29" i="126" s="1"/>
  <c r="P28" i="140" s="1"/>
  <c r="J230" i="343"/>
  <c r="J29" i="126" s="1"/>
  <c r="O28" i="140" s="1"/>
  <c r="N28" i="140" s="1"/>
  <c r="I230" i="343"/>
  <c r="H230" i="343"/>
  <c r="G230" i="343"/>
  <c r="G29" i="126" s="1"/>
  <c r="F230" i="343"/>
  <c r="F29" i="126" s="1"/>
  <c r="E230" i="343"/>
  <c r="D230" i="343"/>
  <c r="C230" i="343"/>
  <c r="C29" i="126" s="1"/>
  <c r="A230" i="343"/>
  <c r="A229" i="343"/>
  <c r="A228" i="343"/>
  <c r="A227" i="343"/>
  <c r="A226" i="343"/>
  <c r="A225" i="343"/>
  <c r="A224" i="343"/>
  <c r="A223" i="343"/>
  <c r="A222" i="343"/>
  <c r="A221" i="343"/>
  <c r="A220" i="343"/>
  <c r="L219" i="343"/>
  <c r="L28" i="126" s="1"/>
  <c r="Q27" i="140" s="1"/>
  <c r="K219" i="343"/>
  <c r="J219" i="343"/>
  <c r="I219" i="343"/>
  <c r="H219" i="343"/>
  <c r="H28" i="126" s="1"/>
  <c r="G219" i="343"/>
  <c r="F219" i="343"/>
  <c r="E219" i="343"/>
  <c r="D219" i="343"/>
  <c r="D28" i="126" s="1"/>
  <c r="C219" i="343"/>
  <c r="A219" i="343"/>
  <c r="A218" i="343"/>
  <c r="A217" i="343"/>
  <c r="A216" i="343"/>
  <c r="A215" i="343"/>
  <c r="A214" i="343"/>
  <c r="A213" i="343"/>
  <c r="A212" i="343"/>
  <c r="A211" i="343"/>
  <c r="A210" i="343"/>
  <c r="A209" i="343"/>
  <c r="L208" i="343"/>
  <c r="K208" i="343"/>
  <c r="J208" i="343"/>
  <c r="I208" i="343"/>
  <c r="H208" i="343"/>
  <c r="G208" i="343"/>
  <c r="F208" i="343"/>
  <c r="E208" i="343"/>
  <c r="D208" i="343"/>
  <c r="C208" i="343"/>
  <c r="A208" i="343"/>
  <c r="A207" i="343"/>
  <c r="A206" i="343"/>
  <c r="A205" i="343"/>
  <c r="A204" i="343"/>
  <c r="A203" i="343"/>
  <c r="A202" i="343"/>
  <c r="A201" i="343"/>
  <c r="A200" i="343"/>
  <c r="A199" i="343"/>
  <c r="A198" i="343"/>
  <c r="L197" i="343"/>
  <c r="K197" i="343"/>
  <c r="J197" i="343"/>
  <c r="I197" i="343"/>
  <c r="I26" i="126" s="1"/>
  <c r="H197" i="343"/>
  <c r="G197" i="343"/>
  <c r="F197" i="343"/>
  <c r="E197" i="343"/>
  <c r="E26" i="126" s="1"/>
  <c r="D197" i="343"/>
  <c r="C197" i="343"/>
  <c r="A197" i="343"/>
  <c r="A196" i="343"/>
  <c r="A195" i="343"/>
  <c r="A194" i="343"/>
  <c r="A193" i="343"/>
  <c r="A192" i="343"/>
  <c r="A191" i="343"/>
  <c r="A190" i="343"/>
  <c r="A189" i="343"/>
  <c r="A188" i="343"/>
  <c r="A187" i="343"/>
  <c r="L186" i="343"/>
  <c r="K186" i="343"/>
  <c r="K25" i="126" s="1"/>
  <c r="P24" i="140" s="1"/>
  <c r="J186" i="343"/>
  <c r="J25" i="126" s="1"/>
  <c r="O24" i="140" s="1"/>
  <c r="N24" i="140" s="1"/>
  <c r="I186" i="343"/>
  <c r="H186" i="343"/>
  <c r="G186" i="343"/>
  <c r="G25" i="126" s="1"/>
  <c r="F186" i="343"/>
  <c r="F25" i="126" s="1"/>
  <c r="E186" i="343"/>
  <c r="D186" i="343"/>
  <c r="C186" i="343"/>
  <c r="C25" i="126" s="1"/>
  <c r="A186" i="343"/>
  <c r="A185" i="343"/>
  <c r="A184" i="343"/>
  <c r="A183" i="343"/>
  <c r="A182" i="343"/>
  <c r="A181" i="343"/>
  <c r="A180" i="343"/>
  <c r="A179" i="343"/>
  <c r="A178" i="343"/>
  <c r="A177" i="343"/>
  <c r="A176" i="343"/>
  <c r="L175" i="343"/>
  <c r="K175" i="343"/>
  <c r="K340" i="343" s="1"/>
  <c r="J175" i="343"/>
  <c r="I175" i="343"/>
  <c r="H175" i="343"/>
  <c r="G175" i="343"/>
  <c r="G340" i="343" s="1"/>
  <c r="F175" i="343"/>
  <c r="E175" i="343"/>
  <c r="D175" i="343"/>
  <c r="C175" i="343"/>
  <c r="C340" i="343" s="1"/>
  <c r="A175" i="343"/>
  <c r="A170" i="343"/>
  <c r="A169" i="343"/>
  <c r="A168" i="343"/>
  <c r="A167" i="343"/>
  <c r="A166" i="343"/>
  <c r="A165" i="343"/>
  <c r="A164" i="343"/>
  <c r="A163" i="343"/>
  <c r="A162" i="343"/>
  <c r="A161" i="343"/>
  <c r="L160" i="343"/>
  <c r="K160" i="343"/>
  <c r="J160" i="343"/>
  <c r="I160" i="343"/>
  <c r="H160" i="343"/>
  <c r="G160" i="343"/>
  <c r="F160" i="343"/>
  <c r="E160" i="343"/>
  <c r="D160" i="343"/>
  <c r="C160" i="343"/>
  <c r="A160" i="343"/>
  <c r="A159" i="343"/>
  <c r="A158" i="343"/>
  <c r="A157" i="343"/>
  <c r="A156" i="343"/>
  <c r="A155" i="343"/>
  <c r="A154" i="343"/>
  <c r="A153" i="343"/>
  <c r="A152" i="343"/>
  <c r="A151" i="343"/>
  <c r="A150" i="343"/>
  <c r="L149" i="343"/>
  <c r="K149" i="343"/>
  <c r="J149" i="343"/>
  <c r="J19" i="126" s="1"/>
  <c r="I149" i="343"/>
  <c r="I19" i="126" s="1"/>
  <c r="H149" i="343"/>
  <c r="G149" i="343"/>
  <c r="F149" i="343"/>
  <c r="F19" i="126" s="1"/>
  <c r="E149" i="343"/>
  <c r="E19" i="126" s="1"/>
  <c r="D149" i="343"/>
  <c r="C149" i="343"/>
  <c r="A149" i="343"/>
  <c r="A19" i="126" s="1"/>
  <c r="A148" i="343"/>
  <c r="A147" i="343"/>
  <c r="A146" i="343"/>
  <c r="A145" i="343"/>
  <c r="A144" i="343"/>
  <c r="A143" i="343"/>
  <c r="A142" i="343"/>
  <c r="A141" i="343"/>
  <c r="A140" i="343"/>
  <c r="A139" i="343"/>
  <c r="L138" i="343"/>
  <c r="K138" i="343"/>
  <c r="J138" i="343"/>
  <c r="J18" i="126" s="1"/>
  <c r="I138" i="343"/>
  <c r="H138" i="343"/>
  <c r="G138" i="343"/>
  <c r="F138" i="343"/>
  <c r="F18" i="126" s="1"/>
  <c r="E138" i="343"/>
  <c r="D138" i="343"/>
  <c r="C138" i="343"/>
  <c r="A138" i="343"/>
  <c r="A18" i="126" s="1"/>
  <c r="A137" i="343"/>
  <c r="A136" i="343"/>
  <c r="A135" i="343"/>
  <c r="A134" i="343"/>
  <c r="A133" i="343"/>
  <c r="A132" i="343"/>
  <c r="A131" i="343"/>
  <c r="A130" i="343"/>
  <c r="A129" i="343"/>
  <c r="A128" i="343"/>
  <c r="L127" i="343"/>
  <c r="L17" i="126" s="1"/>
  <c r="K127" i="343"/>
  <c r="K17" i="126" s="1"/>
  <c r="J127" i="343"/>
  <c r="I127" i="343"/>
  <c r="H127" i="343"/>
  <c r="H17" i="126" s="1"/>
  <c r="G127" i="343"/>
  <c r="G17" i="126" s="1"/>
  <c r="F127" i="343"/>
  <c r="E127" i="343"/>
  <c r="D127" i="343"/>
  <c r="D17" i="126" s="1"/>
  <c r="C127" i="343"/>
  <c r="C17" i="126" s="1"/>
  <c r="A127" i="343"/>
  <c r="A126" i="343"/>
  <c r="A125" i="343"/>
  <c r="A124" i="343"/>
  <c r="A123" i="343"/>
  <c r="A122" i="343"/>
  <c r="A121" i="343"/>
  <c r="A120" i="343"/>
  <c r="A119" i="343"/>
  <c r="A118" i="343"/>
  <c r="A117" i="343"/>
  <c r="L116" i="343"/>
  <c r="L16" i="126" s="1"/>
  <c r="K116" i="343"/>
  <c r="J116" i="343"/>
  <c r="I116" i="343"/>
  <c r="H116" i="343"/>
  <c r="H16" i="126" s="1"/>
  <c r="G116" i="343"/>
  <c r="F116" i="343"/>
  <c r="E116" i="343"/>
  <c r="D116" i="343"/>
  <c r="D16" i="126" s="1"/>
  <c r="C116" i="343"/>
  <c r="A116" i="343"/>
  <c r="A115" i="343"/>
  <c r="A114" i="343"/>
  <c r="A113" i="343"/>
  <c r="A112" i="343"/>
  <c r="A111" i="343"/>
  <c r="A110" i="343"/>
  <c r="A109" i="343"/>
  <c r="A108" i="343"/>
  <c r="A107" i="343"/>
  <c r="A106" i="343"/>
  <c r="L105" i="343"/>
  <c r="K105" i="343"/>
  <c r="J105" i="343"/>
  <c r="J15" i="126" s="1"/>
  <c r="I105" i="343"/>
  <c r="I15" i="126" s="1"/>
  <c r="H105" i="343"/>
  <c r="G105" i="343"/>
  <c r="F105" i="343"/>
  <c r="F15" i="126" s="1"/>
  <c r="E105" i="343"/>
  <c r="E15" i="126" s="1"/>
  <c r="D105" i="343"/>
  <c r="C105" i="343"/>
  <c r="A105" i="343"/>
  <c r="A15" i="126" s="1"/>
  <c r="A104" i="343"/>
  <c r="A103" i="343"/>
  <c r="A102" i="343"/>
  <c r="A101" i="343"/>
  <c r="A100" i="343"/>
  <c r="A99" i="343"/>
  <c r="A98" i="343"/>
  <c r="A97" i="343"/>
  <c r="A96" i="343"/>
  <c r="A95" i="343"/>
  <c r="L94" i="343"/>
  <c r="K94" i="343"/>
  <c r="J94" i="343"/>
  <c r="I94" i="343"/>
  <c r="H94" i="343"/>
  <c r="G94" i="343"/>
  <c r="F94" i="343"/>
  <c r="E94" i="343"/>
  <c r="D94" i="343"/>
  <c r="C94" i="343"/>
  <c r="A94" i="343"/>
  <c r="A93" i="343"/>
  <c r="A92" i="343"/>
  <c r="A91" i="343"/>
  <c r="A90" i="343"/>
  <c r="A89" i="343"/>
  <c r="A88" i="343"/>
  <c r="A87" i="343"/>
  <c r="A86" i="343"/>
  <c r="A85" i="343"/>
  <c r="A84" i="343"/>
  <c r="L83" i="343"/>
  <c r="L13" i="126" s="1"/>
  <c r="K83" i="343"/>
  <c r="K13" i="126" s="1"/>
  <c r="J83" i="343"/>
  <c r="I83" i="343"/>
  <c r="H83" i="343"/>
  <c r="H13" i="126" s="1"/>
  <c r="G83" i="343"/>
  <c r="G13" i="126" s="1"/>
  <c r="F83" i="343"/>
  <c r="E83" i="343"/>
  <c r="D83" i="343"/>
  <c r="D13" i="126" s="1"/>
  <c r="C83" i="343"/>
  <c r="C13" i="126" s="1"/>
  <c r="A83" i="343"/>
  <c r="A82" i="343"/>
  <c r="A81" i="343"/>
  <c r="A80" i="343"/>
  <c r="A79" i="343"/>
  <c r="A78" i="343"/>
  <c r="A77" i="343"/>
  <c r="A76" i="343"/>
  <c r="A75" i="343"/>
  <c r="A74" i="343"/>
  <c r="A73" i="343"/>
  <c r="L72" i="343"/>
  <c r="K72" i="343"/>
  <c r="J72" i="343"/>
  <c r="I72" i="343"/>
  <c r="H72" i="343"/>
  <c r="G72" i="343"/>
  <c r="F72" i="343"/>
  <c r="E72" i="343"/>
  <c r="D72" i="343"/>
  <c r="C72" i="343"/>
  <c r="A72" i="343"/>
  <c r="A71" i="343"/>
  <c r="A70" i="343"/>
  <c r="A69" i="343"/>
  <c r="A68" i="343"/>
  <c r="A67" i="343"/>
  <c r="A66" i="343"/>
  <c r="A65" i="343"/>
  <c r="A64" i="343"/>
  <c r="A63" i="343"/>
  <c r="A62" i="343"/>
  <c r="L61" i="343"/>
  <c r="K61" i="343"/>
  <c r="J61" i="343"/>
  <c r="I61" i="343"/>
  <c r="I11" i="126" s="1"/>
  <c r="H61" i="343"/>
  <c r="G61" i="343"/>
  <c r="F61" i="343"/>
  <c r="E61" i="343"/>
  <c r="E11" i="126" s="1"/>
  <c r="D61" i="343"/>
  <c r="C61" i="343"/>
  <c r="A61" i="343"/>
  <c r="A60" i="343"/>
  <c r="A59" i="343"/>
  <c r="A58" i="343"/>
  <c r="A57" i="343"/>
  <c r="A56" i="343"/>
  <c r="A55" i="343"/>
  <c r="A54" i="343"/>
  <c r="A53" i="343"/>
  <c r="A52" i="343"/>
  <c r="A51" i="343"/>
  <c r="L50" i="343"/>
  <c r="K50" i="343"/>
  <c r="J50" i="343"/>
  <c r="I50" i="343"/>
  <c r="H50" i="343"/>
  <c r="G50" i="343"/>
  <c r="F50" i="343"/>
  <c r="E50" i="343"/>
  <c r="D50" i="343"/>
  <c r="C50" i="343"/>
  <c r="A50" i="343"/>
  <c r="A49" i="343"/>
  <c r="A48" i="343"/>
  <c r="A47" i="343"/>
  <c r="A46" i="343"/>
  <c r="A45" i="343"/>
  <c r="A44" i="343"/>
  <c r="A43" i="343"/>
  <c r="A42" i="343"/>
  <c r="A41" i="343"/>
  <c r="A40" i="343"/>
  <c r="L39" i="343"/>
  <c r="K39" i="343"/>
  <c r="J39" i="343"/>
  <c r="I39" i="343"/>
  <c r="H39" i="343"/>
  <c r="G39" i="343"/>
  <c r="F39" i="343"/>
  <c r="E39" i="343"/>
  <c r="D39" i="343"/>
  <c r="C39" i="343"/>
  <c r="A39" i="343"/>
  <c r="A38" i="343"/>
  <c r="A37" i="343"/>
  <c r="A36" i="343"/>
  <c r="A35" i="343"/>
  <c r="A34" i="343"/>
  <c r="F33" i="343"/>
  <c r="A33" i="343"/>
  <c r="A32" i="343"/>
  <c r="A31" i="343"/>
  <c r="A30" i="343"/>
  <c r="A29" i="343"/>
  <c r="L28" i="343"/>
  <c r="K28" i="343"/>
  <c r="J28" i="343"/>
  <c r="I28" i="343"/>
  <c r="I8" i="126" s="1"/>
  <c r="H28" i="343"/>
  <c r="G28" i="343"/>
  <c r="E28" i="343"/>
  <c r="D28" i="343"/>
  <c r="D8" i="126" s="1"/>
  <c r="C28" i="343"/>
  <c r="A28" i="343"/>
  <c r="A8" i="126" s="1"/>
  <c r="A27" i="343"/>
  <c r="A26" i="343"/>
  <c r="A25" i="343"/>
  <c r="A24" i="343"/>
  <c r="A23" i="343"/>
  <c r="A22" i="343"/>
  <c r="A21" i="343"/>
  <c r="A20" i="343"/>
  <c r="A19" i="343"/>
  <c r="A18" i="343"/>
  <c r="L17" i="343"/>
  <c r="K17" i="343"/>
  <c r="J17" i="343"/>
  <c r="I17" i="343"/>
  <c r="H17" i="343"/>
  <c r="G17" i="343"/>
  <c r="F17" i="343"/>
  <c r="E17" i="343"/>
  <c r="D17" i="343"/>
  <c r="C17" i="343"/>
  <c r="A17" i="343"/>
  <c r="A16" i="343"/>
  <c r="A15" i="343"/>
  <c r="A14" i="343"/>
  <c r="A13" i="343"/>
  <c r="A12" i="343"/>
  <c r="A11" i="343"/>
  <c r="A10" i="343"/>
  <c r="A9" i="343"/>
  <c r="A8" i="343"/>
  <c r="E7" i="343"/>
  <c r="A7" i="343"/>
  <c r="L6" i="343"/>
  <c r="K6" i="343"/>
  <c r="K171" i="343" s="1"/>
  <c r="J6" i="343"/>
  <c r="I6" i="343"/>
  <c r="H6" i="343"/>
  <c r="G6" i="343"/>
  <c r="G171" i="343" s="1"/>
  <c r="G341" i="343" s="1"/>
  <c r="F6" i="343"/>
  <c r="E6" i="343"/>
  <c r="D6" i="343"/>
  <c r="C6" i="343"/>
  <c r="C171" i="343" s="1"/>
  <c r="C341" i="343" s="1"/>
  <c r="A6" i="343"/>
  <c r="I3" i="343"/>
  <c r="H3" i="343"/>
  <c r="G3" i="343"/>
  <c r="F3" i="343"/>
  <c r="E3" i="343"/>
  <c r="D3" i="343"/>
  <c r="C3" i="343"/>
  <c r="B2" i="343"/>
  <c r="A2" i="343"/>
  <c r="A75" i="126"/>
  <c r="L70" i="126"/>
  <c r="K60" i="316" s="1"/>
  <c r="K70" i="126"/>
  <c r="J60" i="316" s="1"/>
  <c r="J70" i="126"/>
  <c r="I60" i="316" s="1"/>
  <c r="I70" i="126"/>
  <c r="I74" i="126" s="1"/>
  <c r="H70" i="126"/>
  <c r="H60" i="316" s="1"/>
  <c r="G70" i="126"/>
  <c r="G60" i="316" s="1"/>
  <c r="F70" i="126"/>
  <c r="F60" i="316" s="1"/>
  <c r="E70" i="126"/>
  <c r="E60" i="316" s="1"/>
  <c r="D70" i="126"/>
  <c r="D60" i="316" s="1"/>
  <c r="C66" i="126"/>
  <c r="C70" i="126" s="1"/>
  <c r="L57" i="126"/>
  <c r="Q19" i="300" s="1"/>
  <c r="K57" i="126"/>
  <c r="P19" i="300" s="1"/>
  <c r="J57" i="126"/>
  <c r="O19" i="300" s="1"/>
  <c r="I57" i="126"/>
  <c r="H57" i="126"/>
  <c r="G57" i="126"/>
  <c r="F57" i="126"/>
  <c r="E57" i="126"/>
  <c r="D57" i="126"/>
  <c r="C57" i="126"/>
  <c r="L53" i="126"/>
  <c r="Q15" i="300" s="1"/>
  <c r="K53" i="126"/>
  <c r="P15" i="300" s="1"/>
  <c r="J53" i="126"/>
  <c r="O15" i="300" s="1"/>
  <c r="N15" i="300" s="1"/>
  <c r="I53" i="126"/>
  <c r="H53" i="126"/>
  <c r="G53" i="126"/>
  <c r="F53" i="126"/>
  <c r="E53" i="126"/>
  <c r="D53" i="126"/>
  <c r="C53" i="126"/>
  <c r="L47" i="126"/>
  <c r="Q9" i="300" s="1"/>
  <c r="K47" i="126"/>
  <c r="P9" i="300" s="1"/>
  <c r="J47" i="126"/>
  <c r="O9" i="300" s="1"/>
  <c r="N9" i="300" s="1"/>
  <c r="I47" i="126"/>
  <c r="H47" i="126"/>
  <c r="G47" i="126"/>
  <c r="F47" i="126"/>
  <c r="E47" i="126"/>
  <c r="D47" i="126"/>
  <c r="C47" i="126"/>
  <c r="L43" i="126"/>
  <c r="Q5" i="300" s="1"/>
  <c r="K43" i="126"/>
  <c r="P5" i="300" s="1"/>
  <c r="J43" i="126"/>
  <c r="O5" i="300" s="1"/>
  <c r="N5" i="300" s="1"/>
  <c r="I43" i="126"/>
  <c r="I63" i="126" s="1"/>
  <c r="H43" i="126"/>
  <c r="H63" i="126" s="1"/>
  <c r="G43" i="126"/>
  <c r="F43" i="126"/>
  <c r="E43" i="126"/>
  <c r="E63" i="126" s="1"/>
  <c r="D43" i="126"/>
  <c r="D63" i="126" s="1"/>
  <c r="C43" i="126"/>
  <c r="L38" i="126"/>
  <c r="Q37" i="140" s="1"/>
  <c r="K38" i="126"/>
  <c r="P37" i="140" s="1"/>
  <c r="J38" i="126"/>
  <c r="O37" i="140" s="1"/>
  <c r="N37" i="140" s="1"/>
  <c r="H38" i="126"/>
  <c r="G38" i="126"/>
  <c r="F38" i="126"/>
  <c r="D38" i="126"/>
  <c r="C38" i="126"/>
  <c r="L37" i="126"/>
  <c r="Q36" i="140" s="1"/>
  <c r="I37" i="126"/>
  <c r="H37" i="126"/>
  <c r="E37" i="126"/>
  <c r="D37" i="126"/>
  <c r="K36" i="126"/>
  <c r="P35" i="140" s="1"/>
  <c r="J36" i="126"/>
  <c r="O35" i="140" s="1"/>
  <c r="N35" i="140" s="1"/>
  <c r="I36" i="126"/>
  <c r="G36" i="126"/>
  <c r="F36" i="126"/>
  <c r="E36" i="126"/>
  <c r="C36" i="126"/>
  <c r="L35" i="126"/>
  <c r="Q34" i="140" s="1"/>
  <c r="K35" i="126"/>
  <c r="P34" i="140" s="1"/>
  <c r="J35" i="126"/>
  <c r="O34" i="140" s="1"/>
  <c r="N34" i="140" s="1"/>
  <c r="I35" i="126"/>
  <c r="H35" i="126"/>
  <c r="G35" i="126"/>
  <c r="F35" i="126"/>
  <c r="E35" i="126"/>
  <c r="D35" i="126"/>
  <c r="C35" i="126"/>
  <c r="L34" i="126"/>
  <c r="Q33" i="140" s="1"/>
  <c r="K34" i="126"/>
  <c r="P33" i="140" s="1"/>
  <c r="J34" i="126"/>
  <c r="O33" i="140" s="1"/>
  <c r="N33" i="140" s="1"/>
  <c r="H34" i="126"/>
  <c r="G34" i="126"/>
  <c r="F34" i="126"/>
  <c r="D34" i="126"/>
  <c r="C34" i="126"/>
  <c r="L33" i="126"/>
  <c r="Q32" i="140" s="1"/>
  <c r="I33" i="126"/>
  <c r="H33" i="126"/>
  <c r="E33" i="126"/>
  <c r="D33" i="126"/>
  <c r="K32" i="126"/>
  <c r="P31" i="140" s="1"/>
  <c r="J32" i="126"/>
  <c r="O31" i="140" s="1"/>
  <c r="N31" i="140" s="1"/>
  <c r="I32" i="126"/>
  <c r="G32" i="126"/>
  <c r="F32" i="126"/>
  <c r="E32" i="126"/>
  <c r="C32" i="126"/>
  <c r="L31" i="126"/>
  <c r="Q30" i="140" s="1"/>
  <c r="K31" i="126"/>
  <c r="P30" i="140" s="1"/>
  <c r="J31" i="126"/>
  <c r="O30" i="140" s="1"/>
  <c r="N30" i="140" s="1"/>
  <c r="I31" i="126"/>
  <c r="H31" i="126"/>
  <c r="G31" i="126"/>
  <c r="F31" i="126"/>
  <c r="E31" i="126"/>
  <c r="D31" i="126"/>
  <c r="C31" i="126"/>
  <c r="L30" i="126"/>
  <c r="Q29" i="140" s="1"/>
  <c r="K30" i="126"/>
  <c r="P29" i="140" s="1"/>
  <c r="J30" i="126"/>
  <c r="O29" i="140" s="1"/>
  <c r="N29" i="140" s="1"/>
  <c r="H30" i="126"/>
  <c r="G30" i="126"/>
  <c r="F30" i="126"/>
  <c r="D30" i="126"/>
  <c r="C30" i="126"/>
  <c r="L29" i="126"/>
  <c r="Q28" i="140" s="1"/>
  <c r="I29" i="126"/>
  <c r="H29" i="126"/>
  <c r="E29" i="126"/>
  <c r="D29" i="126"/>
  <c r="K28" i="126"/>
  <c r="P27" i="140" s="1"/>
  <c r="J28" i="126"/>
  <c r="O27" i="140" s="1"/>
  <c r="N27" i="140" s="1"/>
  <c r="I28" i="126"/>
  <c r="G28" i="126"/>
  <c r="F28" i="126"/>
  <c r="E28" i="126"/>
  <c r="C28" i="126"/>
  <c r="L27" i="126"/>
  <c r="Q26" i="140" s="1"/>
  <c r="K27" i="126"/>
  <c r="P26" i="140" s="1"/>
  <c r="J27" i="126"/>
  <c r="O26" i="140" s="1"/>
  <c r="N26" i="140" s="1"/>
  <c r="I27" i="126"/>
  <c r="H27" i="126"/>
  <c r="G27" i="126"/>
  <c r="F27" i="126"/>
  <c r="E27" i="126"/>
  <c r="D27" i="126"/>
  <c r="C27" i="126"/>
  <c r="L26" i="126"/>
  <c r="Q25" i="140" s="1"/>
  <c r="K26" i="126"/>
  <c r="P25" i="140" s="1"/>
  <c r="J26" i="126"/>
  <c r="O25" i="140" s="1"/>
  <c r="N25" i="140" s="1"/>
  <c r="H26" i="126"/>
  <c r="G26" i="126"/>
  <c r="F26" i="126"/>
  <c r="D26" i="126"/>
  <c r="C26" i="126"/>
  <c r="L25" i="126"/>
  <c r="Q24" i="140" s="1"/>
  <c r="I25" i="126"/>
  <c r="H25" i="126"/>
  <c r="E25" i="126"/>
  <c r="D25" i="126"/>
  <c r="J24" i="126"/>
  <c r="O23" i="140" s="1"/>
  <c r="I24" i="126"/>
  <c r="G24" i="126"/>
  <c r="F24" i="126"/>
  <c r="E24" i="126"/>
  <c r="C24" i="126"/>
  <c r="C39" i="126" s="1"/>
  <c r="L20" i="126"/>
  <c r="K20" i="126"/>
  <c r="J20" i="126"/>
  <c r="I20" i="126"/>
  <c r="H20" i="126"/>
  <c r="G20" i="126"/>
  <c r="F20" i="126"/>
  <c r="E20" i="126"/>
  <c r="D20" i="126"/>
  <c r="C20" i="126"/>
  <c r="A20" i="126"/>
  <c r="L19" i="126"/>
  <c r="K19" i="126"/>
  <c r="H19" i="126"/>
  <c r="G19" i="126"/>
  <c r="D19" i="126"/>
  <c r="C19" i="126"/>
  <c r="L18" i="126"/>
  <c r="K18" i="126"/>
  <c r="I18" i="126"/>
  <c r="H18" i="126"/>
  <c r="G18" i="126"/>
  <c r="E18" i="126"/>
  <c r="D18" i="126"/>
  <c r="C18" i="126"/>
  <c r="J17" i="126"/>
  <c r="I17" i="126"/>
  <c r="F17" i="126"/>
  <c r="E17" i="126"/>
  <c r="A17" i="126"/>
  <c r="K16" i="126"/>
  <c r="J16" i="126"/>
  <c r="I16" i="126"/>
  <c r="G16" i="126"/>
  <c r="F16" i="126"/>
  <c r="E16" i="126"/>
  <c r="C16" i="126"/>
  <c r="A16" i="126"/>
  <c r="L15" i="126"/>
  <c r="K15" i="126"/>
  <c r="H15" i="126"/>
  <c r="G15" i="126"/>
  <c r="D15" i="126"/>
  <c r="C15" i="126"/>
  <c r="L14" i="126"/>
  <c r="K14" i="126"/>
  <c r="J14" i="126"/>
  <c r="I14" i="126"/>
  <c r="H14" i="126"/>
  <c r="G14" i="126"/>
  <c r="F14" i="126"/>
  <c r="E14" i="126"/>
  <c r="D14" i="126"/>
  <c r="C14" i="126"/>
  <c r="A14" i="126"/>
  <c r="J13" i="126"/>
  <c r="I13" i="126"/>
  <c r="F13" i="126"/>
  <c r="E13" i="126"/>
  <c r="A13" i="126"/>
  <c r="L12" i="126"/>
  <c r="K12" i="126"/>
  <c r="J12" i="126"/>
  <c r="I12" i="126"/>
  <c r="H12" i="126"/>
  <c r="G12" i="126"/>
  <c r="F12" i="126"/>
  <c r="E12" i="126"/>
  <c r="D12" i="126"/>
  <c r="C12" i="126"/>
  <c r="A12" i="126"/>
  <c r="L11" i="126"/>
  <c r="K11" i="126"/>
  <c r="J11" i="126"/>
  <c r="H11" i="126"/>
  <c r="G11" i="126"/>
  <c r="F11" i="126"/>
  <c r="D11" i="126"/>
  <c r="C11" i="126"/>
  <c r="A11" i="126"/>
  <c r="L10" i="126"/>
  <c r="K10" i="126"/>
  <c r="J10" i="126"/>
  <c r="I10" i="126"/>
  <c r="H10" i="126"/>
  <c r="G10" i="126"/>
  <c r="F10" i="126"/>
  <c r="E10" i="126"/>
  <c r="D10" i="126"/>
  <c r="C10" i="126"/>
  <c r="A10" i="126"/>
  <c r="L9" i="126"/>
  <c r="K9" i="126"/>
  <c r="J9" i="126"/>
  <c r="I9" i="126"/>
  <c r="H9" i="126"/>
  <c r="G9" i="126"/>
  <c r="F9" i="126"/>
  <c r="E9" i="126"/>
  <c r="D9" i="126"/>
  <c r="C9" i="126"/>
  <c r="A9" i="126"/>
  <c r="L8" i="126"/>
  <c r="K8" i="126"/>
  <c r="J8" i="126"/>
  <c r="H8" i="126"/>
  <c r="G8" i="126"/>
  <c r="E8" i="126"/>
  <c r="C8" i="126"/>
  <c r="L7" i="126"/>
  <c r="K7" i="126"/>
  <c r="J7" i="126"/>
  <c r="I7" i="126"/>
  <c r="H7" i="126"/>
  <c r="G7" i="126"/>
  <c r="F7" i="126"/>
  <c r="E7" i="126"/>
  <c r="D7" i="126"/>
  <c r="C7" i="126"/>
  <c r="A7" i="126"/>
  <c r="L6" i="126"/>
  <c r="J6" i="126"/>
  <c r="I6" i="126"/>
  <c r="H6" i="126"/>
  <c r="F6" i="126"/>
  <c r="E6" i="126"/>
  <c r="D6" i="126"/>
  <c r="A6" i="126"/>
  <c r="I3" i="126"/>
  <c r="H3" i="126"/>
  <c r="G3" i="126"/>
  <c r="F3" i="126"/>
  <c r="E3" i="126"/>
  <c r="D3" i="126"/>
  <c r="C3" i="126"/>
  <c r="B2" i="126"/>
  <c r="A2" i="126"/>
  <c r="A49" i="127"/>
  <c r="X48" i="127"/>
  <c r="W48" i="127"/>
  <c r="V48" i="127"/>
  <c r="U48" i="127"/>
  <c r="T48" i="127"/>
  <c r="S48" i="127"/>
  <c r="R48" i="127"/>
  <c r="Q48" i="127"/>
  <c r="P48" i="127"/>
  <c r="O48" i="127"/>
  <c r="N48" i="127"/>
  <c r="M48" i="127"/>
  <c r="A48" i="127"/>
  <c r="L40" i="127"/>
  <c r="Q40" i="137" s="1"/>
  <c r="K40" i="127"/>
  <c r="P40" i="137" s="1"/>
  <c r="J40" i="127"/>
  <c r="O40" i="137" s="1"/>
  <c r="N40" i="137" s="1"/>
  <c r="H40" i="127"/>
  <c r="G40" i="127"/>
  <c r="F40" i="127"/>
  <c r="D40" i="127"/>
  <c r="C40" i="127"/>
  <c r="X36" i="127"/>
  <c r="W36" i="127"/>
  <c r="V36" i="127"/>
  <c r="U36" i="127"/>
  <c r="T36" i="127"/>
  <c r="S36" i="127"/>
  <c r="R36" i="127"/>
  <c r="Q36" i="127"/>
  <c r="P36" i="127"/>
  <c r="O36" i="127"/>
  <c r="N36" i="127"/>
  <c r="M36" i="127"/>
  <c r="L34" i="127"/>
  <c r="Q34" i="137" s="1"/>
  <c r="K34" i="127"/>
  <c r="P34" i="137" s="1"/>
  <c r="J34" i="127"/>
  <c r="O34" i="137" s="1"/>
  <c r="I34" i="127"/>
  <c r="H34" i="127"/>
  <c r="G34" i="127"/>
  <c r="F34" i="127"/>
  <c r="E34" i="127"/>
  <c r="D34" i="127"/>
  <c r="C34" i="127"/>
  <c r="L30" i="127"/>
  <c r="J30" i="127"/>
  <c r="I30" i="127"/>
  <c r="J38" i="338" s="1"/>
  <c r="H30" i="127"/>
  <c r="I38" i="338" s="1"/>
  <c r="F30" i="127"/>
  <c r="G38" i="338" s="1"/>
  <c r="E30" i="127"/>
  <c r="F38" i="338" s="1"/>
  <c r="D30" i="127"/>
  <c r="E38" i="338" s="1"/>
  <c r="L28" i="127"/>
  <c r="K28" i="127"/>
  <c r="J28" i="127"/>
  <c r="I28" i="127"/>
  <c r="H28" i="127"/>
  <c r="G28" i="127"/>
  <c r="F28" i="127"/>
  <c r="E28" i="127"/>
  <c r="D28" i="127"/>
  <c r="C28" i="127"/>
  <c r="X22" i="127"/>
  <c r="X38" i="127" s="1"/>
  <c r="W22" i="127"/>
  <c r="W38" i="127" s="1"/>
  <c r="V22" i="127"/>
  <c r="U22" i="127"/>
  <c r="T22" i="127"/>
  <c r="T38" i="127" s="1"/>
  <c r="S22" i="127"/>
  <c r="S38" i="127" s="1"/>
  <c r="R22" i="127"/>
  <c r="Q22" i="127"/>
  <c r="P22" i="127"/>
  <c r="P38" i="127" s="1"/>
  <c r="O22" i="127"/>
  <c r="O38" i="127" s="1"/>
  <c r="N22" i="127"/>
  <c r="M22" i="127"/>
  <c r="L20" i="127"/>
  <c r="J20" i="127"/>
  <c r="I20" i="127"/>
  <c r="H20" i="127"/>
  <c r="F20" i="127"/>
  <c r="E20" i="127"/>
  <c r="D20" i="127"/>
  <c r="C19" i="127"/>
  <c r="D56" i="123" s="1"/>
  <c r="F17" i="127"/>
  <c r="G12" i="338" s="1"/>
  <c r="F16" i="127"/>
  <c r="G22" i="338" s="1"/>
  <c r="L10" i="127"/>
  <c r="K10" i="127"/>
  <c r="J10" i="127"/>
  <c r="I10" i="127"/>
  <c r="J49" i="123" s="1"/>
  <c r="H10" i="127"/>
  <c r="I49" i="123" s="1"/>
  <c r="G10" i="127"/>
  <c r="H49" i="123" s="1"/>
  <c r="F10" i="127"/>
  <c r="G49" i="123" s="1"/>
  <c r="E10" i="127"/>
  <c r="F49" i="123" s="1"/>
  <c r="D10" i="127"/>
  <c r="E49" i="123" s="1"/>
  <c r="C10" i="127"/>
  <c r="D49" i="123" s="1"/>
  <c r="L9" i="127"/>
  <c r="K9" i="127"/>
  <c r="J9" i="127"/>
  <c r="H9" i="127"/>
  <c r="I48" i="123" s="1"/>
  <c r="G9" i="127"/>
  <c r="H48" i="123" s="1"/>
  <c r="F9" i="127"/>
  <c r="G48" i="123" s="1"/>
  <c r="D9" i="127"/>
  <c r="E48" i="123" s="1"/>
  <c r="C9" i="127"/>
  <c r="D48" i="123" s="1"/>
  <c r="L8" i="127"/>
  <c r="K8" i="127"/>
  <c r="J8" i="127"/>
  <c r="I8" i="127"/>
  <c r="J47" i="123" s="1"/>
  <c r="H8" i="127"/>
  <c r="I47" i="123" s="1"/>
  <c r="G8" i="127"/>
  <c r="H47" i="123" s="1"/>
  <c r="F8" i="127"/>
  <c r="G47" i="123" s="1"/>
  <c r="E8" i="127"/>
  <c r="F47" i="123" s="1"/>
  <c r="D8" i="127"/>
  <c r="E47" i="123" s="1"/>
  <c r="C8" i="127"/>
  <c r="D47" i="123" s="1"/>
  <c r="L7" i="127"/>
  <c r="K7" i="127"/>
  <c r="J7" i="127"/>
  <c r="H7" i="127"/>
  <c r="G7" i="127"/>
  <c r="F7" i="127"/>
  <c r="D7" i="127"/>
  <c r="C7" i="127"/>
  <c r="D46" i="123" s="1"/>
  <c r="L5" i="127"/>
  <c r="K5" i="127"/>
  <c r="J5" i="127"/>
  <c r="I5" i="127"/>
  <c r="H5" i="127"/>
  <c r="G5" i="127"/>
  <c r="F5" i="127"/>
  <c r="E5" i="127"/>
  <c r="D5" i="127"/>
  <c r="C5" i="127"/>
  <c r="I3" i="127"/>
  <c r="H3" i="127"/>
  <c r="G3" i="127"/>
  <c r="F3" i="127"/>
  <c r="E3" i="127"/>
  <c r="D3" i="127"/>
  <c r="C3" i="127"/>
  <c r="M2" i="127"/>
  <c r="B2" i="127"/>
  <c r="A2" i="127"/>
  <c r="A341" i="342"/>
  <c r="A340" i="342"/>
  <c r="W338" i="342"/>
  <c r="V338" i="342"/>
  <c r="U338" i="342"/>
  <c r="T338" i="342"/>
  <c r="S338" i="342"/>
  <c r="R338" i="342"/>
  <c r="Q338" i="342"/>
  <c r="P338" i="342"/>
  <c r="O338" i="342"/>
  <c r="N338" i="342"/>
  <c r="M338" i="342"/>
  <c r="L338" i="342"/>
  <c r="A337" i="342"/>
  <c r="A336" i="342"/>
  <c r="A335" i="342"/>
  <c r="A334" i="342"/>
  <c r="A333" i="342"/>
  <c r="A332" i="342"/>
  <c r="A331" i="342"/>
  <c r="A330" i="342"/>
  <c r="A329" i="342"/>
  <c r="A328" i="342"/>
  <c r="K327" i="342"/>
  <c r="J327" i="342"/>
  <c r="I327" i="342"/>
  <c r="H327" i="342"/>
  <c r="G327" i="342"/>
  <c r="F327" i="342"/>
  <c r="E327" i="342"/>
  <c r="D327" i="342"/>
  <c r="C327" i="342"/>
  <c r="A327" i="342"/>
  <c r="A326" i="342"/>
  <c r="A325" i="342"/>
  <c r="A324" i="342"/>
  <c r="A323" i="342"/>
  <c r="A322" i="342"/>
  <c r="A321" i="342"/>
  <c r="A320" i="342"/>
  <c r="A319" i="342"/>
  <c r="A318" i="342"/>
  <c r="A317" i="342"/>
  <c r="K316" i="342"/>
  <c r="J316" i="342"/>
  <c r="I316" i="342"/>
  <c r="H316" i="342"/>
  <c r="G316" i="342"/>
  <c r="F316" i="342"/>
  <c r="E316" i="342"/>
  <c r="D316" i="342"/>
  <c r="C316" i="342"/>
  <c r="A316" i="342"/>
  <c r="A315" i="342"/>
  <c r="A314" i="342"/>
  <c r="A313" i="342"/>
  <c r="A312" i="342"/>
  <c r="A311" i="342"/>
  <c r="A310" i="342"/>
  <c r="A309" i="342"/>
  <c r="A308" i="342"/>
  <c r="A307" i="342"/>
  <c r="A306" i="342"/>
  <c r="K305" i="342"/>
  <c r="J305" i="342"/>
  <c r="I305" i="342"/>
  <c r="H305" i="342"/>
  <c r="G305" i="342"/>
  <c r="F305" i="342"/>
  <c r="E305" i="342"/>
  <c r="D305" i="342"/>
  <c r="C305" i="342"/>
  <c r="A305" i="342"/>
  <c r="A304" i="342"/>
  <c r="A303" i="342"/>
  <c r="A302" i="342"/>
  <c r="A301" i="342"/>
  <c r="A300" i="342"/>
  <c r="A299" i="342"/>
  <c r="A298" i="342"/>
  <c r="A297" i="342"/>
  <c r="A296" i="342"/>
  <c r="A295" i="342"/>
  <c r="K294" i="342"/>
  <c r="J294" i="342"/>
  <c r="I294" i="342"/>
  <c r="H294" i="342"/>
  <c r="G294" i="342"/>
  <c r="F294" i="342"/>
  <c r="E294" i="342"/>
  <c r="D294" i="342"/>
  <c r="C294" i="342"/>
  <c r="A294" i="342"/>
  <c r="A293" i="342"/>
  <c r="A292" i="342"/>
  <c r="A291" i="342"/>
  <c r="A290" i="342"/>
  <c r="A289" i="342"/>
  <c r="A288" i="342"/>
  <c r="A287" i="342"/>
  <c r="A286" i="342"/>
  <c r="A285" i="342"/>
  <c r="A284" i="342"/>
  <c r="K283" i="342"/>
  <c r="J283" i="342"/>
  <c r="I283" i="342"/>
  <c r="H283" i="342"/>
  <c r="G283" i="342"/>
  <c r="F283" i="342"/>
  <c r="E283" i="342"/>
  <c r="D283" i="342"/>
  <c r="C283" i="342"/>
  <c r="A283" i="342"/>
  <c r="A282" i="342"/>
  <c r="A281" i="342"/>
  <c r="A280" i="342"/>
  <c r="A279" i="342"/>
  <c r="A278" i="342"/>
  <c r="A277" i="342"/>
  <c r="A276" i="342"/>
  <c r="A275" i="342"/>
  <c r="A274" i="342"/>
  <c r="A273" i="342"/>
  <c r="K272" i="342"/>
  <c r="J272" i="342"/>
  <c r="I272" i="342"/>
  <c r="H272" i="342"/>
  <c r="G272" i="342"/>
  <c r="F272" i="342"/>
  <c r="E272" i="342"/>
  <c r="D272" i="342"/>
  <c r="C272" i="342"/>
  <c r="A272" i="342"/>
  <c r="A271" i="342"/>
  <c r="A270" i="342"/>
  <c r="A269" i="342"/>
  <c r="A268" i="342"/>
  <c r="A267" i="342"/>
  <c r="A266" i="342"/>
  <c r="A265" i="342"/>
  <c r="A264" i="342"/>
  <c r="A263" i="342"/>
  <c r="A262" i="342"/>
  <c r="K261" i="342"/>
  <c r="J261" i="342"/>
  <c r="I261" i="342"/>
  <c r="H261" i="342"/>
  <c r="G261" i="342"/>
  <c r="F261" i="342"/>
  <c r="E261" i="342"/>
  <c r="D261" i="342"/>
  <c r="C261" i="342"/>
  <c r="A261" i="342"/>
  <c r="A260" i="342"/>
  <c r="A259" i="342"/>
  <c r="A258" i="342"/>
  <c r="A257" i="342"/>
  <c r="A256" i="342"/>
  <c r="A255" i="342"/>
  <c r="A254" i="342"/>
  <c r="A253" i="342"/>
  <c r="A252" i="342"/>
  <c r="A251" i="342"/>
  <c r="K250" i="342"/>
  <c r="J250" i="342"/>
  <c r="I250" i="342"/>
  <c r="H250" i="342"/>
  <c r="G250" i="342"/>
  <c r="F250" i="342"/>
  <c r="E250" i="342"/>
  <c r="D250" i="342"/>
  <c r="C250" i="342"/>
  <c r="A250" i="342"/>
  <c r="A249" i="342"/>
  <c r="A248" i="342"/>
  <c r="A247" i="342"/>
  <c r="A246" i="342"/>
  <c r="A245" i="342"/>
  <c r="A244" i="342"/>
  <c r="A243" i="342"/>
  <c r="A242" i="342"/>
  <c r="A241" i="342"/>
  <c r="A240" i="342"/>
  <c r="K239" i="342"/>
  <c r="J239" i="342"/>
  <c r="I239" i="342"/>
  <c r="H239" i="342"/>
  <c r="G239" i="342"/>
  <c r="F239" i="342"/>
  <c r="E239" i="342"/>
  <c r="D239" i="342"/>
  <c r="C239" i="342"/>
  <c r="A239" i="342"/>
  <c r="A238" i="342"/>
  <c r="A237" i="342"/>
  <c r="A236" i="342"/>
  <c r="A235" i="342"/>
  <c r="A234" i="342"/>
  <c r="A233" i="342"/>
  <c r="A232" i="342"/>
  <c r="A231" i="342"/>
  <c r="A230" i="342"/>
  <c r="A229" i="342"/>
  <c r="K228" i="342"/>
  <c r="J228" i="342"/>
  <c r="I228" i="342"/>
  <c r="H228" i="342"/>
  <c r="G228" i="342"/>
  <c r="F228" i="342"/>
  <c r="E228" i="342"/>
  <c r="D228" i="342"/>
  <c r="C228" i="342"/>
  <c r="A228" i="342"/>
  <c r="A227" i="342"/>
  <c r="A226" i="342"/>
  <c r="A225" i="342"/>
  <c r="A224" i="342"/>
  <c r="A223" i="342"/>
  <c r="A222" i="342"/>
  <c r="A221" i="342"/>
  <c r="A220" i="342"/>
  <c r="A219" i="342"/>
  <c r="A218" i="342"/>
  <c r="K217" i="342"/>
  <c r="J217" i="342"/>
  <c r="I217" i="342"/>
  <c r="H217" i="342"/>
  <c r="G217" i="342"/>
  <c r="F217" i="342"/>
  <c r="E217" i="342"/>
  <c r="D217" i="342"/>
  <c r="C217" i="342"/>
  <c r="A217" i="342"/>
  <c r="A216" i="342"/>
  <c r="A215" i="342"/>
  <c r="A214" i="342"/>
  <c r="A213" i="342"/>
  <c r="A212" i="342"/>
  <c r="A211" i="342"/>
  <c r="A210" i="342"/>
  <c r="A209" i="342"/>
  <c r="A208" i="342"/>
  <c r="A207" i="342"/>
  <c r="K206" i="342"/>
  <c r="J206" i="342"/>
  <c r="I206" i="342"/>
  <c r="H206" i="342"/>
  <c r="G206" i="342"/>
  <c r="F206" i="342"/>
  <c r="E206" i="342"/>
  <c r="D206" i="342"/>
  <c r="C206" i="342"/>
  <c r="A206" i="342"/>
  <c r="A205" i="342"/>
  <c r="A204" i="342"/>
  <c r="A203" i="342"/>
  <c r="A202" i="342"/>
  <c r="A201" i="342"/>
  <c r="A200" i="342"/>
  <c r="A199" i="342"/>
  <c r="A198" i="342"/>
  <c r="A197" i="342"/>
  <c r="A196" i="342"/>
  <c r="K195" i="342"/>
  <c r="J195" i="342"/>
  <c r="I195" i="342"/>
  <c r="H195" i="342"/>
  <c r="G195" i="342"/>
  <c r="F195" i="342"/>
  <c r="E195" i="342"/>
  <c r="D195" i="342"/>
  <c r="C195" i="342"/>
  <c r="A195" i="342"/>
  <c r="A194" i="342"/>
  <c r="A193" i="342"/>
  <c r="A192" i="342"/>
  <c r="A191" i="342"/>
  <c r="A190" i="342"/>
  <c r="A189" i="342"/>
  <c r="A188" i="342"/>
  <c r="A187" i="342"/>
  <c r="A186" i="342"/>
  <c r="A185" i="342"/>
  <c r="K184" i="342"/>
  <c r="J184" i="342"/>
  <c r="I184" i="342"/>
  <c r="H184" i="342"/>
  <c r="G184" i="342"/>
  <c r="F184" i="342"/>
  <c r="E184" i="342"/>
  <c r="D184" i="342"/>
  <c r="C184" i="342"/>
  <c r="A184" i="342"/>
  <c r="A183" i="342"/>
  <c r="A182" i="342"/>
  <c r="A181" i="342"/>
  <c r="A180" i="342"/>
  <c r="A179" i="342"/>
  <c r="A178" i="342"/>
  <c r="A177" i="342"/>
  <c r="A176" i="342"/>
  <c r="A175" i="342"/>
  <c r="A174" i="342"/>
  <c r="K173" i="342"/>
  <c r="J173" i="342"/>
  <c r="I173" i="342"/>
  <c r="H173" i="342"/>
  <c r="H338" i="342" s="1"/>
  <c r="G173" i="342"/>
  <c r="G338" i="342" s="1"/>
  <c r="F173" i="342"/>
  <c r="E173" i="342"/>
  <c r="E338" i="342" s="1"/>
  <c r="D173" i="342"/>
  <c r="C173" i="342"/>
  <c r="A173" i="342"/>
  <c r="W170" i="342"/>
  <c r="W340" i="342" s="1"/>
  <c r="V170" i="342"/>
  <c r="V340" i="342" s="1"/>
  <c r="U170" i="342"/>
  <c r="U340" i="342" s="1"/>
  <c r="T170" i="342"/>
  <c r="T340" i="342" s="1"/>
  <c r="S170" i="342"/>
  <c r="S340" i="342" s="1"/>
  <c r="R170" i="342"/>
  <c r="R340" i="342" s="1"/>
  <c r="Q170" i="342"/>
  <c r="Q340" i="342" s="1"/>
  <c r="P170" i="342"/>
  <c r="P340" i="342" s="1"/>
  <c r="O170" i="342"/>
  <c r="O340" i="342" s="1"/>
  <c r="N170" i="342"/>
  <c r="N340" i="342" s="1"/>
  <c r="M170" i="342"/>
  <c r="M340" i="342" s="1"/>
  <c r="L170" i="342"/>
  <c r="L340" i="342" s="1"/>
  <c r="K159" i="342"/>
  <c r="J159" i="342"/>
  <c r="I159" i="342"/>
  <c r="H159" i="342"/>
  <c r="G159" i="342"/>
  <c r="F159" i="342"/>
  <c r="E159" i="342"/>
  <c r="D159" i="342"/>
  <c r="C159" i="342"/>
  <c r="K148" i="342"/>
  <c r="J148" i="342"/>
  <c r="I148" i="342"/>
  <c r="H148" i="342"/>
  <c r="G148" i="342"/>
  <c r="F148" i="342"/>
  <c r="E148" i="342"/>
  <c r="D148" i="342"/>
  <c r="C148" i="342"/>
  <c r="K137" i="342"/>
  <c r="J137" i="342"/>
  <c r="I137" i="342"/>
  <c r="H137" i="342"/>
  <c r="G137" i="342"/>
  <c r="F137" i="342"/>
  <c r="E137" i="342"/>
  <c r="D137" i="342"/>
  <c r="C137" i="342"/>
  <c r="K126" i="342"/>
  <c r="J126" i="342"/>
  <c r="I126" i="342"/>
  <c r="H126" i="342"/>
  <c r="G126" i="342"/>
  <c r="F126" i="342"/>
  <c r="E126" i="342"/>
  <c r="D126" i="342"/>
  <c r="C126" i="342"/>
  <c r="K115" i="342"/>
  <c r="J115" i="342"/>
  <c r="I115" i="342"/>
  <c r="H115" i="342"/>
  <c r="G115" i="342"/>
  <c r="F115" i="342"/>
  <c r="E115" i="342"/>
  <c r="D115" i="342"/>
  <c r="C115" i="342"/>
  <c r="K104" i="342"/>
  <c r="J104" i="342"/>
  <c r="I104" i="342"/>
  <c r="H104" i="342"/>
  <c r="G104" i="342"/>
  <c r="F104" i="342"/>
  <c r="E104" i="342"/>
  <c r="D104" i="342"/>
  <c r="C104" i="342"/>
  <c r="K93" i="342"/>
  <c r="J93" i="342"/>
  <c r="I93" i="342"/>
  <c r="H93" i="342"/>
  <c r="G93" i="342"/>
  <c r="F93" i="342"/>
  <c r="E93" i="342"/>
  <c r="D93" i="342"/>
  <c r="C93" i="342"/>
  <c r="K82" i="342"/>
  <c r="J82" i="342"/>
  <c r="I82" i="342"/>
  <c r="H82" i="342"/>
  <c r="G82" i="342"/>
  <c r="F82" i="342"/>
  <c r="E82" i="342"/>
  <c r="D82" i="342"/>
  <c r="C82" i="342"/>
  <c r="K71" i="342"/>
  <c r="J71" i="342"/>
  <c r="I71" i="342"/>
  <c r="H71" i="342"/>
  <c r="G71" i="342"/>
  <c r="F71" i="342"/>
  <c r="E71" i="342"/>
  <c r="D71" i="342"/>
  <c r="C71" i="342"/>
  <c r="K60" i="342"/>
  <c r="J60" i="342"/>
  <c r="I60" i="342"/>
  <c r="H60" i="342"/>
  <c r="G60" i="342"/>
  <c r="F60" i="342"/>
  <c r="E60" i="342"/>
  <c r="D60" i="342"/>
  <c r="C60" i="342"/>
  <c r="K38" i="342"/>
  <c r="J38" i="342"/>
  <c r="I38" i="342"/>
  <c r="H38" i="342"/>
  <c r="G38" i="342"/>
  <c r="F38" i="342"/>
  <c r="E38" i="342"/>
  <c r="D38" i="342"/>
  <c r="C38" i="342"/>
  <c r="K27" i="342"/>
  <c r="J27" i="342"/>
  <c r="I27" i="342"/>
  <c r="H27" i="342"/>
  <c r="G27" i="342"/>
  <c r="F27" i="342"/>
  <c r="E27" i="342"/>
  <c r="D27" i="342"/>
  <c r="C27" i="342"/>
  <c r="K16" i="342"/>
  <c r="J16" i="342"/>
  <c r="I16" i="342"/>
  <c r="H16" i="342"/>
  <c r="G16" i="342"/>
  <c r="F16" i="342"/>
  <c r="E16" i="342"/>
  <c r="D16" i="342"/>
  <c r="C16" i="342"/>
  <c r="K5" i="342"/>
  <c r="J5" i="342"/>
  <c r="I5" i="342"/>
  <c r="H5" i="342"/>
  <c r="G5" i="342"/>
  <c r="F5" i="342"/>
  <c r="E5" i="342"/>
  <c r="D5" i="342"/>
  <c r="C5" i="342"/>
  <c r="C170" i="342" s="1"/>
  <c r="H3" i="342"/>
  <c r="G3" i="342"/>
  <c r="F3" i="342"/>
  <c r="E3" i="342"/>
  <c r="D3" i="342"/>
  <c r="C3" i="342"/>
  <c r="L2" i="342"/>
  <c r="B2" i="342"/>
  <c r="A2" i="342"/>
  <c r="D338" i="342" l="1"/>
  <c r="N38" i="127"/>
  <c r="R38" i="127"/>
  <c r="V38" i="127"/>
  <c r="G39" i="126"/>
  <c r="H38" i="248"/>
  <c r="C39" i="248"/>
  <c r="E170" i="342"/>
  <c r="E340" i="342" s="1"/>
  <c r="E21" i="126"/>
  <c r="I21" i="126"/>
  <c r="D171" i="343"/>
  <c r="H171" i="343"/>
  <c r="L171" i="343"/>
  <c r="D340" i="343"/>
  <c r="D24" i="126"/>
  <c r="H340" i="343"/>
  <c r="H24" i="126"/>
  <c r="H39" i="126" s="1"/>
  <c r="L340" i="343"/>
  <c r="L24" i="126"/>
  <c r="Q23" i="140" s="1"/>
  <c r="Q38" i="140" s="1"/>
  <c r="F34" i="129"/>
  <c r="J34" i="129"/>
  <c r="D170" i="342"/>
  <c r="D340" i="342" s="1"/>
  <c r="H170" i="342"/>
  <c r="M38" i="127"/>
  <c r="Q38" i="127"/>
  <c r="U38" i="127"/>
  <c r="C6" i="126"/>
  <c r="C21" i="126" s="1"/>
  <c r="G6" i="126"/>
  <c r="G21" i="126" s="1"/>
  <c r="K6" i="126"/>
  <c r="F8" i="126"/>
  <c r="F39" i="126"/>
  <c r="K24" i="126"/>
  <c r="P23" i="140" s="1"/>
  <c r="F63" i="126"/>
  <c r="E171" i="343"/>
  <c r="E341" i="343" s="1"/>
  <c r="I171" i="343"/>
  <c r="F28" i="343"/>
  <c r="E340" i="343"/>
  <c r="I340" i="343"/>
  <c r="C34" i="129"/>
  <c r="G34" i="129"/>
  <c r="K34" i="129"/>
  <c r="C36" i="131"/>
  <c r="G36" i="131"/>
  <c r="K36" i="131"/>
  <c r="L67" i="338" s="1"/>
  <c r="C45" i="131"/>
  <c r="C48" i="131" s="1"/>
  <c r="G45" i="131"/>
  <c r="K45" i="131"/>
  <c r="E36" i="248"/>
  <c r="I36" i="248"/>
  <c r="E37" i="248"/>
  <c r="F44" i="248"/>
  <c r="J44" i="248"/>
  <c r="E45" i="248"/>
  <c r="I45" i="248"/>
  <c r="D46" i="248"/>
  <c r="H46" i="248"/>
  <c r="F47" i="248"/>
  <c r="J47" i="248"/>
  <c r="C26" i="248"/>
  <c r="C20" i="248" s="1"/>
  <c r="G26" i="248"/>
  <c r="G20" i="248" s="1"/>
  <c r="K26" i="248"/>
  <c r="K20" i="248" s="1"/>
  <c r="D15" i="253"/>
  <c r="D27" i="253"/>
  <c r="H27" i="253"/>
  <c r="F36" i="253"/>
  <c r="J36" i="253"/>
  <c r="D46" i="253"/>
  <c r="E38" i="246"/>
  <c r="E42" i="246" s="1"/>
  <c r="I38" i="246"/>
  <c r="I42" i="246" s="1"/>
  <c r="M38" i="246"/>
  <c r="M42" i="246" s="1"/>
  <c r="Q38" i="246"/>
  <c r="Q42" i="246" s="1"/>
  <c r="G29" i="141"/>
  <c r="G23" i="315"/>
  <c r="E39" i="126"/>
  <c r="I39" i="126"/>
  <c r="C63" i="126"/>
  <c r="G63" i="126"/>
  <c r="F171" i="343"/>
  <c r="F340" i="343"/>
  <c r="J340" i="343"/>
  <c r="D34" i="129"/>
  <c r="H34" i="129"/>
  <c r="L34" i="129"/>
  <c r="D36" i="131"/>
  <c r="H36" i="131"/>
  <c r="L36" i="131"/>
  <c r="M67" i="338" s="1"/>
  <c r="D45" i="131"/>
  <c r="D48" i="131" s="1"/>
  <c r="H45" i="131"/>
  <c r="L45" i="131"/>
  <c r="F36" i="248"/>
  <c r="J36" i="248"/>
  <c r="C47" i="248"/>
  <c r="G47" i="248"/>
  <c r="K47" i="248"/>
  <c r="E15" i="253"/>
  <c r="I15" i="253"/>
  <c r="E27" i="253"/>
  <c r="I27" i="253"/>
  <c r="C36" i="253"/>
  <c r="G36" i="253"/>
  <c r="K36" i="253"/>
  <c r="E46" i="253"/>
  <c r="I46" i="253"/>
  <c r="F38" i="246"/>
  <c r="F42" i="246" s="1"/>
  <c r="J38" i="246"/>
  <c r="J42" i="246" s="1"/>
  <c r="N38" i="246"/>
  <c r="N42" i="246" s="1"/>
  <c r="E24" i="314"/>
  <c r="F30" i="337"/>
  <c r="J47" i="249"/>
  <c r="D46" i="136"/>
  <c r="G39" i="248"/>
  <c r="K39" i="248"/>
  <c r="F40" i="248"/>
  <c r="J40" i="248"/>
  <c r="D42" i="248"/>
  <c r="H42" i="248"/>
  <c r="F48" i="248"/>
  <c r="G56" i="338" s="1"/>
  <c r="J48" i="248"/>
  <c r="L56" i="338" s="1"/>
  <c r="L54" i="338" s="1"/>
  <c r="E26" i="248"/>
  <c r="E20" i="248" s="1"/>
  <c r="D29" i="141"/>
  <c r="E42" i="123"/>
  <c r="I42" i="123"/>
  <c r="M42" i="123"/>
  <c r="H15" i="337"/>
  <c r="H17" i="337" s="1"/>
  <c r="K48" i="337"/>
  <c r="I26" i="248"/>
  <c r="I20" i="248" s="1"/>
  <c r="M34" i="137"/>
  <c r="L34" i="137"/>
  <c r="K34" i="137"/>
  <c r="J34" i="137"/>
  <c r="I34" i="137"/>
  <c r="H34" i="137"/>
  <c r="G34" i="137"/>
  <c r="F34" i="137"/>
  <c r="E34" i="137"/>
  <c r="D34" i="137"/>
  <c r="C34" i="137"/>
  <c r="N34" i="137" s="1"/>
  <c r="C338" i="342"/>
  <c r="F338" i="342"/>
  <c r="F37" i="248"/>
  <c r="H37" i="248"/>
  <c r="H41" i="248" s="1"/>
  <c r="J37" i="248"/>
  <c r="C38" i="248"/>
  <c r="F39" i="248"/>
  <c r="H39" i="248"/>
  <c r="J39" i="248"/>
  <c r="C40" i="248"/>
  <c r="E40" i="248"/>
  <c r="E41" i="248" s="1"/>
  <c r="G40" i="248"/>
  <c r="G41" i="248" s="1"/>
  <c r="I40" i="248"/>
  <c r="K40" i="248"/>
  <c r="K41" i="248" s="1"/>
  <c r="C42" i="248"/>
  <c r="E42" i="248"/>
  <c r="G42" i="248"/>
  <c r="I42" i="248"/>
  <c r="K42" i="248"/>
  <c r="C44" i="248"/>
  <c r="E44" i="248"/>
  <c r="G44" i="248"/>
  <c r="I44" i="248"/>
  <c r="K44" i="248"/>
  <c r="F45" i="248"/>
  <c r="J45" i="248"/>
  <c r="C46" i="248"/>
  <c r="E46" i="248"/>
  <c r="G46" i="248"/>
  <c r="I46" i="248"/>
  <c r="K46" i="248"/>
  <c r="C48" i="248"/>
  <c r="D56" i="338" s="1"/>
  <c r="D54" i="338" s="1"/>
  <c r="E48" i="248"/>
  <c r="F56" i="338" s="1"/>
  <c r="G48" i="248"/>
  <c r="H56" i="338" s="1"/>
  <c r="H54" i="338" s="1"/>
  <c r="I48" i="248"/>
  <c r="K48" i="248"/>
  <c r="M56" i="338" s="1"/>
  <c r="M54" i="338" s="1"/>
  <c r="D75" i="248"/>
  <c r="F75" i="248"/>
  <c r="H75" i="248"/>
  <c r="H69" i="248" s="1"/>
  <c r="J75" i="248"/>
  <c r="J69" i="248" s="1"/>
  <c r="F42" i="123"/>
  <c r="H42" i="123"/>
  <c r="J42" i="123"/>
  <c r="L42" i="123"/>
  <c r="G170" i="342"/>
  <c r="H340" i="342"/>
  <c r="C60" i="316"/>
  <c r="C74" i="126"/>
  <c r="D67" i="338"/>
  <c r="C49" i="131"/>
  <c r="C38" i="131"/>
  <c r="E67" i="338"/>
  <c r="D49" i="131"/>
  <c r="F67" i="338"/>
  <c r="E49" i="131"/>
  <c r="G67" i="338"/>
  <c r="F49" i="131"/>
  <c r="F38" i="131"/>
  <c r="D35" i="338"/>
  <c r="D34" i="338" s="1"/>
  <c r="C25" i="127"/>
  <c r="E35" i="338"/>
  <c r="E34" i="338" s="1"/>
  <c r="D25" i="127"/>
  <c r="F35" i="338"/>
  <c r="F34" i="338" s="1"/>
  <c r="E25" i="127"/>
  <c r="G35" i="338"/>
  <c r="G34" i="338" s="1"/>
  <c r="F25" i="127"/>
  <c r="H35" i="338"/>
  <c r="H34" i="338" s="1"/>
  <c r="G25" i="127"/>
  <c r="I35" i="338"/>
  <c r="I34" i="338" s="1"/>
  <c r="H25" i="127"/>
  <c r="F32" i="337"/>
  <c r="F33" i="337" s="1"/>
  <c r="I30" i="337"/>
  <c r="C340" i="342"/>
  <c r="F341" i="343"/>
  <c r="D18" i="337"/>
  <c r="E18" i="337"/>
  <c r="D33" i="337"/>
  <c r="E33" i="337"/>
  <c r="D48" i="337"/>
  <c r="E48" i="337"/>
  <c r="C59" i="316"/>
  <c r="C52" i="316"/>
  <c r="E90" i="146"/>
  <c r="F90" i="146"/>
  <c r="P25" i="300"/>
  <c r="Q25" i="300"/>
  <c r="D74" i="126"/>
  <c r="E74" i="126"/>
  <c r="F74" i="126"/>
  <c r="G74" i="126"/>
  <c r="H74" i="126"/>
  <c r="I341" i="343"/>
  <c r="K341" i="343"/>
  <c r="L341" i="343"/>
  <c r="C65" i="248"/>
  <c r="G15" i="253"/>
  <c r="H15" i="253"/>
  <c r="F46" i="253"/>
  <c r="R22" i="246"/>
  <c r="R36" i="246"/>
  <c r="F15" i="337"/>
  <c r="G15" i="337"/>
  <c r="G17" i="337" s="1"/>
  <c r="L48" i="337"/>
  <c r="F21" i="126"/>
  <c r="F43" i="88" s="1"/>
  <c r="F8" i="88" s="1"/>
  <c r="H21" i="126"/>
  <c r="I57" i="123" s="1"/>
  <c r="F41" i="248"/>
  <c r="J41" i="248"/>
  <c r="J49" i="248" s="1"/>
  <c r="D26" i="248"/>
  <c r="D20" i="248" s="1"/>
  <c r="F26" i="248"/>
  <c r="F20" i="248" s="1"/>
  <c r="H26" i="248"/>
  <c r="H20" i="248" s="1"/>
  <c r="J26" i="248"/>
  <c r="J20" i="248" s="1"/>
  <c r="K58" i="123" s="1"/>
  <c r="C75" i="248"/>
  <c r="E75" i="248"/>
  <c r="G75" i="248"/>
  <c r="I75" i="248"/>
  <c r="K75" i="248"/>
  <c r="K69" i="248" s="1"/>
  <c r="I67" i="338"/>
  <c r="H38" i="131"/>
  <c r="H48" i="131"/>
  <c r="H67" i="338"/>
  <c r="G38" i="131"/>
  <c r="G48" i="131"/>
  <c r="L33" i="337"/>
  <c r="L18" i="337"/>
  <c r="J48" i="337"/>
  <c r="H48" i="337"/>
  <c r="H33" i="337"/>
  <c r="G33" i="337"/>
  <c r="G34" i="337" s="1"/>
  <c r="K18" i="337"/>
  <c r="J18" i="337"/>
  <c r="H18" i="337" s="1"/>
  <c r="K33" i="337"/>
  <c r="J33" i="337"/>
  <c r="I32" i="337"/>
  <c r="G48" i="337"/>
  <c r="F48" i="337"/>
  <c r="I47" i="337"/>
  <c r="I45" i="337"/>
  <c r="L48" i="131"/>
  <c r="K48" i="131" s="1"/>
  <c r="J67" i="338"/>
  <c r="I49" i="131"/>
  <c r="H49" i="131" s="1"/>
  <c r="I38" i="131"/>
  <c r="K67" i="338"/>
  <c r="J38" i="131"/>
  <c r="J48" i="131"/>
  <c r="L63" i="126"/>
  <c r="K63" i="126"/>
  <c r="N19" i="300"/>
  <c r="N25" i="300" s="1"/>
  <c r="O25" i="300"/>
  <c r="J63" i="126"/>
  <c r="J171" i="343"/>
  <c r="J341" i="343" s="1"/>
  <c r="J74" i="126"/>
  <c r="K74" i="126"/>
  <c r="L74" i="126"/>
  <c r="J35" i="338"/>
  <c r="J34" i="338" s="1"/>
  <c r="I25" i="127"/>
  <c r="G46" i="253"/>
  <c r="H46" i="253"/>
  <c r="I126" i="123"/>
  <c r="H126" i="123"/>
  <c r="D65" i="248"/>
  <c r="D95" i="248" s="1"/>
  <c r="E65" i="248"/>
  <c r="F65" i="248"/>
  <c r="G65" i="248"/>
  <c r="H65" i="248"/>
  <c r="H95" i="248" s="1"/>
  <c r="I65" i="248"/>
  <c r="J65" i="248"/>
  <c r="K65" i="248"/>
  <c r="K52" i="338"/>
  <c r="K49" i="338" s="1"/>
  <c r="J52" i="338"/>
  <c r="J49" i="338" s="1"/>
  <c r="M35" i="338"/>
  <c r="M34" i="338" s="1"/>
  <c r="L25" i="127"/>
  <c r="L35" i="338"/>
  <c r="L34" i="338" s="1"/>
  <c r="K25" i="127"/>
  <c r="K35" i="338"/>
  <c r="K34" i="338" s="1"/>
  <c r="J25" i="127"/>
  <c r="K338" i="342"/>
  <c r="J338" i="342"/>
  <c r="I338" i="342"/>
  <c r="K170" i="342"/>
  <c r="J170" i="342"/>
  <c r="J340" i="342" s="1"/>
  <c r="I170" i="342"/>
  <c r="I340" i="342" s="1"/>
  <c r="I37" i="248"/>
  <c r="I41" i="248" s="1"/>
  <c r="H45" i="248"/>
  <c r="C95" i="248"/>
  <c r="E95" i="248"/>
  <c r="F95" i="248"/>
  <c r="G95" i="248"/>
  <c r="I95" i="248"/>
  <c r="J95" i="248"/>
  <c r="K95" i="248"/>
  <c r="D57" i="123"/>
  <c r="C43" i="88"/>
  <c r="C8" i="88" s="1"/>
  <c r="C85" i="126"/>
  <c r="D21" i="126"/>
  <c r="F57" i="123"/>
  <c r="E43" i="88"/>
  <c r="E8" i="88" s="1"/>
  <c r="E85" i="126"/>
  <c r="G57" i="123"/>
  <c r="H57" i="123"/>
  <c r="G43" i="88"/>
  <c r="G8" i="88" s="1"/>
  <c r="G85" i="126"/>
  <c r="H43" i="88"/>
  <c r="H8" i="88" s="1"/>
  <c r="H85" i="126"/>
  <c r="J57" i="123"/>
  <c r="I43" i="88"/>
  <c r="I8" i="88" s="1"/>
  <c r="I85" i="126"/>
  <c r="D39" i="126"/>
  <c r="D40" i="126" s="1"/>
  <c r="E40" i="126"/>
  <c r="M53" i="338"/>
  <c r="L53" i="338" s="1"/>
  <c r="D53" i="338"/>
  <c r="K56" i="338"/>
  <c r="K54" i="338" s="1"/>
  <c r="K53" i="338" s="1"/>
  <c r="J56" i="338"/>
  <c r="J54" i="338" s="1"/>
  <c r="J53" i="338" s="1"/>
  <c r="I53" i="338" s="1"/>
  <c r="H53" i="338" s="1"/>
  <c r="D58" i="123"/>
  <c r="D18" i="123" s="1"/>
  <c r="E58" i="123"/>
  <c r="F58" i="123"/>
  <c r="F18" i="123" s="1"/>
  <c r="G58" i="123"/>
  <c r="H58" i="123"/>
  <c r="I58" i="123"/>
  <c r="H85" i="248"/>
  <c r="J58" i="123"/>
  <c r="J18" i="123" s="1"/>
  <c r="L58" i="123"/>
  <c r="K85" i="248"/>
  <c r="G69" i="248"/>
  <c r="I17" i="123"/>
  <c r="H84" i="248"/>
  <c r="I69" i="248"/>
  <c r="K17" i="123"/>
  <c r="J84" i="248"/>
  <c r="L101" i="123" s="1"/>
  <c r="L17" i="123"/>
  <c r="K84" i="248"/>
  <c r="C40" i="126"/>
  <c r="F40" i="126"/>
  <c r="G40" i="126"/>
  <c r="H40" i="126"/>
  <c r="I40" i="126"/>
  <c r="G54" i="338"/>
  <c r="F54" i="338" s="1"/>
  <c r="D76" i="338"/>
  <c r="D71" i="338" s="1"/>
  <c r="D9" i="338" s="1"/>
  <c r="D8" i="338" s="1"/>
  <c r="D45" i="123"/>
  <c r="E76" i="338"/>
  <c r="E71" i="338" s="1"/>
  <c r="E9" i="338" s="1"/>
  <c r="E8" i="338" s="1"/>
  <c r="E92" i="123"/>
  <c r="E45" i="123"/>
  <c r="F76" i="338"/>
  <c r="F71" i="338" s="1"/>
  <c r="F9" i="338" s="1"/>
  <c r="F8" i="338" s="1"/>
  <c r="F92" i="123"/>
  <c r="F45" i="123"/>
  <c r="G76" i="338"/>
  <c r="G71" i="338" s="1"/>
  <c r="G9" i="338" s="1"/>
  <c r="G8" i="338" s="1"/>
  <c r="G92" i="123"/>
  <c r="G45" i="123"/>
  <c r="H76" i="338"/>
  <c r="H71" i="338" s="1"/>
  <c r="H9" i="338" s="1"/>
  <c r="H8" i="338" s="1"/>
  <c r="H92" i="123"/>
  <c r="H45" i="123"/>
  <c r="I76" i="338"/>
  <c r="I71" i="338" s="1"/>
  <c r="I9" i="338" s="1"/>
  <c r="I8" i="338" s="1"/>
  <c r="I92" i="123"/>
  <c r="I45" i="123"/>
  <c r="J76" i="338"/>
  <c r="J71" i="338" s="1"/>
  <c r="J9" i="338" s="1"/>
  <c r="J8" i="338" s="1"/>
  <c r="J92" i="123"/>
  <c r="J45" i="123"/>
  <c r="K76" i="338"/>
  <c r="K71" i="338" s="1"/>
  <c r="K9" i="338" s="1"/>
  <c r="K8" i="338" s="1"/>
  <c r="K92" i="123"/>
  <c r="K45" i="123"/>
  <c r="L76" i="338"/>
  <c r="L71" i="338" s="1"/>
  <c r="L9" i="338" s="1"/>
  <c r="L8" i="338" s="1"/>
  <c r="P5" i="137"/>
  <c r="L92" i="123"/>
  <c r="L45" i="123"/>
  <c r="M76" i="338"/>
  <c r="M71" i="338" s="1"/>
  <c r="M9" i="338" s="1"/>
  <c r="M8" i="338" s="1"/>
  <c r="Q5" i="137"/>
  <c r="M92" i="123"/>
  <c r="M45" i="123"/>
  <c r="E93" i="123"/>
  <c r="E46" i="123"/>
  <c r="E38" i="123" s="1"/>
  <c r="F93" i="123"/>
  <c r="F46" i="123"/>
  <c r="F38" i="123" s="1"/>
  <c r="G93" i="123"/>
  <c r="G46" i="123"/>
  <c r="H93" i="123"/>
  <c r="H46" i="123"/>
  <c r="H38" i="123" s="1"/>
  <c r="I93" i="123"/>
  <c r="I46" i="123"/>
  <c r="J93" i="123"/>
  <c r="J46" i="123"/>
  <c r="J38" i="123" s="1"/>
  <c r="O7" i="137"/>
  <c r="K93" i="123"/>
  <c r="K46" i="123"/>
  <c r="P7" i="137"/>
  <c r="L93" i="123"/>
  <c r="L46" i="123"/>
  <c r="Q7" i="137"/>
  <c r="M93" i="123"/>
  <c r="M46" i="123"/>
  <c r="O8" i="137"/>
  <c r="K47" i="123"/>
  <c r="K39" i="123" s="1"/>
  <c r="P8" i="137"/>
  <c r="L47" i="123"/>
  <c r="Q8" i="137"/>
  <c r="M47" i="123"/>
  <c r="M39" i="123" s="1"/>
  <c r="O9" i="137"/>
  <c r="K48" i="123"/>
  <c r="K40" i="123" s="1"/>
  <c r="P9" i="137"/>
  <c r="L48" i="123"/>
  <c r="L40" i="123" s="1"/>
  <c r="Q9" i="137"/>
  <c r="M48" i="123"/>
  <c r="O10" i="137"/>
  <c r="K49" i="123"/>
  <c r="K41" i="123" s="1"/>
  <c r="P10" i="137"/>
  <c r="L49" i="123"/>
  <c r="Q10" i="137"/>
  <c r="M49" i="123"/>
  <c r="M41" i="123" s="1"/>
  <c r="D54" i="123"/>
  <c r="D17" i="88"/>
  <c r="E54" i="123"/>
  <c r="E17" i="88"/>
  <c r="F54" i="123"/>
  <c r="F17" i="88"/>
  <c r="I54" i="123"/>
  <c r="J17" i="88"/>
  <c r="O20" i="137"/>
  <c r="K54" i="123"/>
  <c r="K17" i="88"/>
  <c r="P20" i="137"/>
  <c r="L54" i="123"/>
  <c r="L17" i="88"/>
  <c r="Q20" i="137"/>
  <c r="M54" i="123"/>
  <c r="C41" i="88"/>
  <c r="C34" i="88" s="1"/>
  <c r="D7" i="123" s="1"/>
  <c r="D117" i="123" s="1"/>
  <c r="D41" i="88"/>
  <c r="E41" i="88"/>
  <c r="F41" i="88"/>
  <c r="F34" i="88" s="1"/>
  <c r="G7" i="123" s="1"/>
  <c r="G117" i="123" s="1"/>
  <c r="G41" i="88"/>
  <c r="G34" i="88" s="1"/>
  <c r="H7" i="123" s="1"/>
  <c r="H117" i="123" s="1"/>
  <c r="H41" i="88"/>
  <c r="I41" i="88"/>
  <c r="I34" i="88" s="1"/>
  <c r="J7" i="123" s="1"/>
  <c r="J117" i="123" s="1"/>
  <c r="O25" i="137"/>
  <c r="J41" i="88"/>
  <c r="J34" i="88" s="1"/>
  <c r="K7" i="123" s="1"/>
  <c r="K117" i="123" s="1"/>
  <c r="P25" i="137"/>
  <c r="K41" i="88"/>
  <c r="Q25" i="137"/>
  <c r="L41" i="88"/>
  <c r="O28" i="137"/>
  <c r="P28" i="137"/>
  <c r="Q28" i="137"/>
  <c r="D37" i="338"/>
  <c r="D58" i="338" s="1"/>
  <c r="D80" i="338" s="1"/>
  <c r="D42" i="338"/>
  <c r="E37" i="338"/>
  <c r="E58" i="338" s="1"/>
  <c r="E80" i="338" s="1"/>
  <c r="E42" i="338"/>
  <c r="F37" i="338"/>
  <c r="F58" i="338" s="1"/>
  <c r="F80" i="338" s="1"/>
  <c r="F42" i="338"/>
  <c r="G37" i="338"/>
  <c r="G58" i="338" s="1"/>
  <c r="G80" i="338" s="1"/>
  <c r="G42" i="338"/>
  <c r="H37" i="338"/>
  <c r="H58" i="338" s="1"/>
  <c r="H80" i="338" s="1"/>
  <c r="H42" i="338"/>
  <c r="I37" i="338"/>
  <c r="I58" i="338" s="1"/>
  <c r="I80" i="338" s="1"/>
  <c r="I42" i="338"/>
  <c r="J37" i="338"/>
  <c r="J58" i="338" s="1"/>
  <c r="J80" i="338" s="1"/>
  <c r="J42" i="338"/>
  <c r="K38" i="338"/>
  <c r="O30" i="137"/>
  <c r="L38" i="338"/>
  <c r="P30" i="137"/>
  <c r="M38" i="338"/>
  <c r="Q30" i="137"/>
  <c r="K40" i="338"/>
  <c r="O32" i="137"/>
  <c r="L40" i="338"/>
  <c r="P32" i="137"/>
  <c r="M40" i="338"/>
  <c r="Q32" i="137"/>
  <c r="A5" i="294"/>
  <c r="A24" i="294" s="1"/>
  <c r="A5" i="140"/>
  <c r="C5" i="294"/>
  <c r="O5" i="140"/>
  <c r="D5" i="294"/>
  <c r="P5" i="140"/>
  <c r="E5" i="294"/>
  <c r="Q5" i="140"/>
  <c r="A6" i="294"/>
  <c r="A25" i="294" s="1"/>
  <c r="A6" i="140"/>
  <c r="C6" i="294"/>
  <c r="O6" i="140"/>
  <c r="D6" i="294"/>
  <c r="P6" i="140"/>
  <c r="E6" i="294"/>
  <c r="Q6" i="140"/>
  <c r="A7" i="294"/>
  <c r="A26" i="294" s="1"/>
  <c r="A7" i="140"/>
  <c r="C7" i="294"/>
  <c r="O7" i="140"/>
  <c r="D7" i="294"/>
  <c r="P7" i="140"/>
  <c r="E7" i="294"/>
  <c r="Q7" i="140"/>
  <c r="A8" i="294"/>
  <c r="A27" i="294" s="1"/>
  <c r="A8" i="140"/>
  <c r="C8" i="294"/>
  <c r="O8" i="140"/>
  <c r="D8" i="294"/>
  <c r="P8" i="140"/>
  <c r="E8" i="294"/>
  <c r="Q8" i="140"/>
  <c r="A9" i="294"/>
  <c r="A28" i="294" s="1"/>
  <c r="A9" i="140"/>
  <c r="C9" i="294"/>
  <c r="O9" i="140"/>
  <c r="N9" i="140" s="1"/>
  <c r="D9" i="294"/>
  <c r="P9" i="140"/>
  <c r="E9" i="294"/>
  <c r="Q9" i="140"/>
  <c r="A10" i="294"/>
  <c r="A29" i="294" s="1"/>
  <c r="A10" i="140"/>
  <c r="C10" i="294"/>
  <c r="O10" i="140"/>
  <c r="N10" i="140" s="1"/>
  <c r="D10" i="294"/>
  <c r="P10" i="140"/>
  <c r="E10" i="294"/>
  <c r="Q10" i="140"/>
  <c r="A11" i="294"/>
  <c r="A30" i="294" s="1"/>
  <c r="A11" i="140"/>
  <c r="C11" i="294"/>
  <c r="O11" i="140"/>
  <c r="N11" i="140" s="1"/>
  <c r="D11" i="294"/>
  <c r="P11" i="140"/>
  <c r="E11" i="294"/>
  <c r="Q11" i="140"/>
  <c r="A12" i="294"/>
  <c r="A31" i="294" s="1"/>
  <c r="A12" i="140"/>
  <c r="C12" i="294"/>
  <c r="O12" i="140"/>
  <c r="N12" i="140" s="1"/>
  <c r="D12" i="294"/>
  <c r="P12" i="140"/>
  <c r="E12" i="294"/>
  <c r="Q12" i="140"/>
  <c r="A13" i="294"/>
  <c r="A32" i="294" s="1"/>
  <c r="A13" i="140"/>
  <c r="C13" i="294"/>
  <c r="O13" i="140"/>
  <c r="N13" i="140" s="1"/>
  <c r="D13" i="294"/>
  <c r="P13" i="140"/>
  <c r="E13" i="294"/>
  <c r="Q13" i="140"/>
  <c r="A14" i="294"/>
  <c r="A33" i="294" s="1"/>
  <c r="A14" i="140"/>
  <c r="C14" i="294"/>
  <c r="O14" i="140"/>
  <c r="N14" i="140" s="1"/>
  <c r="D14" i="294"/>
  <c r="P14" i="140"/>
  <c r="E14" i="294"/>
  <c r="Q14" i="140"/>
  <c r="A15" i="294"/>
  <c r="A34" i="294" s="1"/>
  <c r="A15" i="140"/>
  <c r="C15" i="294"/>
  <c r="O15" i="140"/>
  <c r="N15" i="140" s="1"/>
  <c r="D15" i="294"/>
  <c r="P15" i="140"/>
  <c r="E15" i="294"/>
  <c r="Q15" i="140"/>
  <c r="A16" i="294"/>
  <c r="A35" i="294" s="1"/>
  <c r="A16" i="140"/>
  <c r="C16" i="294"/>
  <c r="O16" i="140"/>
  <c r="N16" i="140" s="1"/>
  <c r="D16" i="294"/>
  <c r="P16" i="140"/>
  <c r="E16" i="294"/>
  <c r="Q16" i="140"/>
  <c r="A17" i="294"/>
  <c r="A36" i="294" s="1"/>
  <c r="A17" i="140"/>
  <c r="C17" i="294"/>
  <c r="O17" i="140"/>
  <c r="N17" i="140" s="1"/>
  <c r="D17" i="294"/>
  <c r="P17" i="140"/>
  <c r="E17" i="294"/>
  <c r="Q17" i="140"/>
  <c r="A18" i="294"/>
  <c r="A37" i="294" s="1"/>
  <c r="A18" i="140"/>
  <c r="C18" i="294"/>
  <c r="O18" i="140"/>
  <c r="N18" i="140" s="1"/>
  <c r="D18" i="294"/>
  <c r="P18" i="140"/>
  <c r="E18" i="294"/>
  <c r="Q18" i="140"/>
  <c r="A19" i="294"/>
  <c r="A38" i="294" s="1"/>
  <c r="A19" i="140"/>
  <c r="C19" i="294"/>
  <c r="O19" i="140"/>
  <c r="N19" i="140" s="1"/>
  <c r="D19" i="294"/>
  <c r="P19" i="140"/>
  <c r="E19" i="294"/>
  <c r="Q19" i="140"/>
  <c r="O38" i="140"/>
  <c r="N23" i="140"/>
  <c r="N38" i="140" s="1"/>
  <c r="C36" i="142"/>
  <c r="C15" i="88"/>
  <c r="D36" i="142"/>
  <c r="D15" i="88"/>
  <c r="E36" i="142"/>
  <c r="E15" i="88"/>
  <c r="F36" i="142"/>
  <c r="F15" i="88"/>
  <c r="G36" i="142"/>
  <c r="G15" i="88"/>
  <c r="H36" i="142"/>
  <c r="H15" i="88"/>
  <c r="F30" i="143"/>
  <c r="I36" i="142"/>
  <c r="J15" i="88"/>
  <c r="J36" i="142"/>
  <c r="K15" i="88"/>
  <c r="K36" i="142"/>
  <c r="L15" i="88"/>
  <c r="C33" i="88"/>
  <c r="E55" i="123"/>
  <c r="E15" i="123"/>
  <c r="D33" i="88"/>
  <c r="F55" i="123"/>
  <c r="F15" i="123"/>
  <c r="E33" i="88"/>
  <c r="G55" i="123"/>
  <c r="G15" i="123"/>
  <c r="F33" i="88"/>
  <c r="H55" i="123"/>
  <c r="H15" i="123"/>
  <c r="G33" i="88"/>
  <c r="I55" i="123"/>
  <c r="I10" i="123" s="1"/>
  <c r="I15" i="123"/>
  <c r="H33" i="88"/>
  <c r="J55" i="123"/>
  <c r="J15" i="123"/>
  <c r="I33" i="88"/>
  <c r="K55" i="123"/>
  <c r="K15" i="123"/>
  <c r="J33" i="88"/>
  <c r="L55" i="123"/>
  <c r="L15" i="123"/>
  <c r="K33" i="88"/>
  <c r="M55" i="123"/>
  <c r="M15" i="123"/>
  <c r="L33" i="88"/>
  <c r="C38" i="144"/>
  <c r="C11" i="88"/>
  <c r="D38" i="144"/>
  <c r="D11" i="88"/>
  <c r="E38" i="144"/>
  <c r="E11" i="88"/>
  <c r="F38" i="144"/>
  <c r="F11" i="88"/>
  <c r="G38" i="144"/>
  <c r="G11" i="88"/>
  <c r="H38" i="144"/>
  <c r="H11" i="88"/>
  <c r="I38" i="144"/>
  <c r="I11" i="88"/>
  <c r="J38" i="144"/>
  <c r="J11" i="88"/>
  <c r="K38" i="144"/>
  <c r="K11" i="88"/>
  <c r="L11" i="88"/>
  <c r="E39" i="123"/>
  <c r="F39" i="123"/>
  <c r="G39" i="123"/>
  <c r="H39" i="123"/>
  <c r="I39" i="123"/>
  <c r="J39" i="123"/>
  <c r="E40" i="123"/>
  <c r="F40" i="123"/>
  <c r="G40" i="123"/>
  <c r="H40" i="123"/>
  <c r="I40" i="123"/>
  <c r="J40" i="123"/>
  <c r="E41" i="123"/>
  <c r="G41" i="123"/>
  <c r="F41" i="123" s="1"/>
  <c r="H41" i="123"/>
  <c r="I41" i="123"/>
  <c r="J41" i="123"/>
  <c r="G54" i="123"/>
  <c r="H54" i="123"/>
  <c r="J54" i="123"/>
  <c r="C22" i="127"/>
  <c r="D22" i="127"/>
  <c r="E22" i="127"/>
  <c r="E30" i="88" s="1"/>
  <c r="F22" i="127"/>
  <c r="F30" i="88" s="1"/>
  <c r="G22" i="127"/>
  <c r="H22" i="127"/>
  <c r="I22" i="127"/>
  <c r="I30" i="88" s="1"/>
  <c r="J22" i="127"/>
  <c r="K22" i="127"/>
  <c r="L22" i="127"/>
  <c r="C30" i="88"/>
  <c r="D30" i="88"/>
  <c r="G30" i="88"/>
  <c r="H30" i="88"/>
  <c r="C36" i="127"/>
  <c r="D36" i="127"/>
  <c r="E36" i="127"/>
  <c r="F36" i="127"/>
  <c r="G36" i="127"/>
  <c r="H36" i="127"/>
  <c r="I36" i="127"/>
  <c r="I7" i="88" s="1"/>
  <c r="J121" i="123" s="1"/>
  <c r="J36" i="127"/>
  <c r="K36" i="127"/>
  <c r="L36" i="127"/>
  <c r="J21" i="126"/>
  <c r="K21" i="126"/>
  <c r="L21" i="126"/>
  <c r="A24" i="126"/>
  <c r="A23" i="140" s="1"/>
  <c r="P38" i="140"/>
  <c r="A25" i="126"/>
  <c r="A24" i="140" s="1"/>
  <c r="A26" i="126"/>
  <c r="A25" i="140" s="1"/>
  <c r="A27" i="126"/>
  <c r="A26" i="140" s="1"/>
  <c r="A28" i="126"/>
  <c r="A27" i="140" s="1"/>
  <c r="A29" i="126"/>
  <c r="A28" i="140" s="1"/>
  <c r="A30" i="126"/>
  <c r="A29" i="140" s="1"/>
  <c r="A31" i="126"/>
  <c r="A30" i="140" s="1"/>
  <c r="A32" i="126"/>
  <c r="A31" i="140" s="1"/>
  <c r="A33" i="126"/>
  <c r="A32" i="140" s="1"/>
  <c r="A34" i="126"/>
  <c r="A33" i="140" s="1"/>
  <c r="A35" i="126"/>
  <c r="A34" i="140" s="1"/>
  <c r="A36" i="126"/>
  <c r="A35" i="140" s="1"/>
  <c r="A37" i="126"/>
  <c r="A36" i="140" s="1"/>
  <c r="A38" i="126"/>
  <c r="A37" i="140" s="1"/>
  <c r="J39" i="126"/>
  <c r="K39" i="126"/>
  <c r="L39" i="126"/>
  <c r="I15" i="88"/>
  <c r="C12" i="129"/>
  <c r="D12" i="129"/>
  <c r="E12" i="129"/>
  <c r="F12" i="129"/>
  <c r="H12" i="129"/>
  <c r="I12" i="129"/>
  <c r="J12" i="129"/>
  <c r="K12" i="129"/>
  <c r="L12" i="129"/>
  <c r="L24" i="129"/>
  <c r="C39" i="129"/>
  <c r="C40" i="129" s="1"/>
  <c r="C10" i="88" s="1"/>
  <c r="D39" i="129"/>
  <c r="D40" i="129" s="1"/>
  <c r="D10" i="88" s="1"/>
  <c r="E39" i="129"/>
  <c r="E40" i="129" s="1"/>
  <c r="E10" i="88" s="1"/>
  <c r="F39" i="129"/>
  <c r="F40" i="129" s="1"/>
  <c r="F10" i="88" s="1"/>
  <c r="G39" i="129"/>
  <c r="G40" i="129" s="1"/>
  <c r="G10" i="88" s="1"/>
  <c r="H39" i="129"/>
  <c r="H40" i="129" s="1"/>
  <c r="H10" i="88" s="1"/>
  <c r="I39" i="129"/>
  <c r="I40" i="129" s="1"/>
  <c r="I10" i="88" s="1"/>
  <c r="J39" i="129"/>
  <c r="J40" i="129" s="1"/>
  <c r="J10" i="88" s="1"/>
  <c r="K39" i="129"/>
  <c r="K40" i="129" s="1"/>
  <c r="K10" i="88" s="1"/>
  <c r="L39" i="129"/>
  <c r="L40" i="129" s="1"/>
  <c r="L10" i="88" s="1"/>
  <c r="C35" i="237"/>
  <c r="D35" i="237"/>
  <c r="E35" i="237"/>
  <c r="F35" i="237"/>
  <c r="G35" i="237"/>
  <c r="H35" i="237"/>
  <c r="I35" i="237"/>
  <c r="J35" i="237"/>
  <c r="K35" i="237"/>
  <c r="L35" i="237"/>
  <c r="C11" i="248"/>
  <c r="D11" i="248"/>
  <c r="D5" i="248" s="1"/>
  <c r="E11" i="248"/>
  <c r="E5" i="248" s="1"/>
  <c r="E82" i="248" s="1"/>
  <c r="F11" i="248"/>
  <c r="F5" i="248" s="1"/>
  <c r="F82" i="248" s="1"/>
  <c r="G11" i="248"/>
  <c r="G5" i="248" s="1"/>
  <c r="G82" i="248" s="1"/>
  <c r="H11" i="248"/>
  <c r="H5" i="248" s="1"/>
  <c r="H82" i="248" s="1"/>
  <c r="I11" i="248"/>
  <c r="I5" i="248" s="1"/>
  <c r="I82" i="248" s="1"/>
  <c r="J11" i="248"/>
  <c r="J5" i="248" s="1"/>
  <c r="K11" i="248"/>
  <c r="K5" i="248" s="1"/>
  <c r="K82" i="248" s="1"/>
  <c r="A27" i="248"/>
  <c r="A28" i="248"/>
  <c r="A29" i="248"/>
  <c r="A30" i="248"/>
  <c r="A32" i="248"/>
  <c r="A47" i="248" s="1"/>
  <c r="A33" i="248"/>
  <c r="A48" i="248" s="1"/>
  <c r="D37" i="248"/>
  <c r="D38" i="248"/>
  <c r="D39" i="248"/>
  <c r="D45" i="248"/>
  <c r="A58" i="248"/>
  <c r="A59" i="248"/>
  <c r="A60" i="248"/>
  <c r="A61" i="248"/>
  <c r="A63" i="248"/>
  <c r="A64" i="248"/>
  <c r="C68" i="248"/>
  <c r="D68" i="248"/>
  <c r="E68" i="248"/>
  <c r="F68" i="248"/>
  <c r="G68" i="248"/>
  <c r="G80" i="248" s="1"/>
  <c r="H68" i="248"/>
  <c r="H80" i="248" s="1"/>
  <c r="I68" i="248"/>
  <c r="I80" i="248" s="1"/>
  <c r="J68" i="248"/>
  <c r="J80" i="248" s="1"/>
  <c r="K68" i="248"/>
  <c r="K80" i="248" s="1"/>
  <c r="A76" i="248"/>
  <c r="A77" i="248"/>
  <c r="A78" i="248"/>
  <c r="A79" i="248"/>
  <c r="A12" i="255"/>
  <c r="A17" i="255"/>
  <c r="A22" i="255"/>
  <c r="A12" i="128"/>
  <c r="A40" i="233"/>
  <c r="A39" i="233"/>
  <c r="A45" i="233" s="1"/>
  <c r="W38" i="233"/>
  <c r="V38" i="233"/>
  <c r="U38" i="233"/>
  <c r="T38" i="233"/>
  <c r="S38" i="233"/>
  <c r="R38" i="233"/>
  <c r="Q38" i="233"/>
  <c r="P38" i="233"/>
  <c r="O38" i="233"/>
  <c r="N38" i="233"/>
  <c r="M38" i="233"/>
  <c r="L38" i="233"/>
  <c r="L37" i="233"/>
  <c r="K37" i="233"/>
  <c r="Q37" i="299" s="1"/>
  <c r="J37" i="233"/>
  <c r="P37" i="299" s="1"/>
  <c r="I37" i="233"/>
  <c r="O37" i="299" s="1"/>
  <c r="N37" i="299" s="1"/>
  <c r="H37" i="233"/>
  <c r="G37" i="233"/>
  <c r="F37" i="233"/>
  <c r="E37" i="233"/>
  <c r="D37" i="233"/>
  <c r="C37" i="233"/>
  <c r="A37" i="233"/>
  <c r="L36" i="233"/>
  <c r="K36" i="233"/>
  <c r="Q36" i="299" s="1"/>
  <c r="J36" i="233"/>
  <c r="P36" i="299" s="1"/>
  <c r="I36" i="233"/>
  <c r="O36" i="299" s="1"/>
  <c r="N36" i="299" s="1"/>
  <c r="H36" i="233"/>
  <c r="G36" i="233"/>
  <c r="F36" i="233"/>
  <c r="E36" i="233"/>
  <c r="D36" i="233"/>
  <c r="C36" i="233"/>
  <c r="A36" i="233"/>
  <c r="L35" i="233"/>
  <c r="K35" i="233"/>
  <c r="Q35" i="299" s="1"/>
  <c r="J35" i="233"/>
  <c r="P35" i="299" s="1"/>
  <c r="I35" i="233"/>
  <c r="O35" i="299" s="1"/>
  <c r="N35" i="299" s="1"/>
  <c r="H35" i="233"/>
  <c r="G35" i="233"/>
  <c r="F35" i="233"/>
  <c r="E35" i="233"/>
  <c r="D35" i="233"/>
  <c r="C35" i="233"/>
  <c r="A35" i="233"/>
  <c r="L34" i="233"/>
  <c r="K34" i="233"/>
  <c r="Q34" i="299" s="1"/>
  <c r="J34" i="233"/>
  <c r="P34" i="299" s="1"/>
  <c r="I34" i="233"/>
  <c r="O34" i="299" s="1"/>
  <c r="N34" i="299" s="1"/>
  <c r="H34" i="233"/>
  <c r="G34" i="233"/>
  <c r="F34" i="233"/>
  <c r="E34" i="233"/>
  <c r="D34" i="233"/>
  <c r="C34" i="233"/>
  <c r="A34" i="233"/>
  <c r="L33" i="233"/>
  <c r="K33" i="233"/>
  <c r="Q33" i="299" s="1"/>
  <c r="J33" i="233"/>
  <c r="P33" i="299" s="1"/>
  <c r="I33" i="233"/>
  <c r="O33" i="299" s="1"/>
  <c r="N33" i="299" s="1"/>
  <c r="H33" i="233"/>
  <c r="G33" i="233"/>
  <c r="F33" i="233"/>
  <c r="E33" i="233"/>
  <c r="D33" i="233"/>
  <c r="C33" i="233"/>
  <c r="A33" i="233"/>
  <c r="K32" i="233"/>
  <c r="Q32" i="299" s="1"/>
  <c r="J32" i="233"/>
  <c r="P32" i="299" s="1"/>
  <c r="I32" i="233"/>
  <c r="O32" i="299" s="1"/>
  <c r="N32" i="299" s="1"/>
  <c r="H32" i="233"/>
  <c r="G32" i="233"/>
  <c r="F32" i="233"/>
  <c r="E32" i="233"/>
  <c r="D32" i="233"/>
  <c r="C32" i="233"/>
  <c r="A32" i="233"/>
  <c r="K31" i="233"/>
  <c r="Q31" i="299" s="1"/>
  <c r="J31" i="233"/>
  <c r="P31" i="299" s="1"/>
  <c r="I31" i="233"/>
  <c r="O31" i="299" s="1"/>
  <c r="N31" i="299" s="1"/>
  <c r="H31" i="233"/>
  <c r="G31" i="233"/>
  <c r="F31" i="233"/>
  <c r="E31" i="233"/>
  <c r="D31" i="233"/>
  <c r="C31" i="233"/>
  <c r="A31" i="233"/>
  <c r="K30" i="233"/>
  <c r="Q30" i="299" s="1"/>
  <c r="J30" i="233"/>
  <c r="P30" i="299" s="1"/>
  <c r="I30" i="233"/>
  <c r="O30" i="299" s="1"/>
  <c r="N30" i="299" s="1"/>
  <c r="H30" i="233"/>
  <c r="G30" i="233"/>
  <c r="F30" i="233"/>
  <c r="E30" i="233"/>
  <c r="D30" i="233"/>
  <c r="C30" i="233"/>
  <c r="A30" i="233"/>
  <c r="K29" i="233"/>
  <c r="Q29" i="299" s="1"/>
  <c r="J29" i="233"/>
  <c r="P29" i="299" s="1"/>
  <c r="I29" i="233"/>
  <c r="O29" i="299" s="1"/>
  <c r="N29" i="299" s="1"/>
  <c r="H29" i="233"/>
  <c r="G29" i="233"/>
  <c r="F29" i="233"/>
  <c r="E29" i="233"/>
  <c r="D29" i="233"/>
  <c r="C29" i="233"/>
  <c r="A29" i="233"/>
  <c r="K28" i="233"/>
  <c r="Q28" i="299" s="1"/>
  <c r="J28" i="233"/>
  <c r="P28" i="299" s="1"/>
  <c r="I28" i="233"/>
  <c r="O28" i="299" s="1"/>
  <c r="N28" i="299" s="1"/>
  <c r="H28" i="233"/>
  <c r="G28" i="233"/>
  <c r="F28" i="233"/>
  <c r="E28" i="233"/>
  <c r="D28" i="233"/>
  <c r="C28" i="233"/>
  <c r="A28" i="233"/>
  <c r="K27" i="233"/>
  <c r="Q27" i="299" s="1"/>
  <c r="J27" i="233"/>
  <c r="P27" i="299" s="1"/>
  <c r="I27" i="233"/>
  <c r="O27" i="299" s="1"/>
  <c r="N27" i="299" s="1"/>
  <c r="H27" i="233"/>
  <c r="G27" i="233"/>
  <c r="F27" i="233"/>
  <c r="E27" i="233"/>
  <c r="D27" i="233"/>
  <c r="C27" i="233"/>
  <c r="A27" i="233"/>
  <c r="K26" i="233"/>
  <c r="Q26" i="299" s="1"/>
  <c r="J26" i="233"/>
  <c r="P26" i="299" s="1"/>
  <c r="I26" i="233"/>
  <c r="O26" i="299" s="1"/>
  <c r="H26" i="233"/>
  <c r="G26" i="233"/>
  <c r="F26" i="233"/>
  <c r="E26" i="233"/>
  <c r="D26" i="233"/>
  <c r="C26" i="233"/>
  <c r="A26" i="233"/>
  <c r="K25" i="233"/>
  <c r="Q25" i="299" s="1"/>
  <c r="J25" i="233"/>
  <c r="P25" i="299" s="1"/>
  <c r="I25" i="233"/>
  <c r="O25" i="299" s="1"/>
  <c r="H25" i="233"/>
  <c r="G25" i="233"/>
  <c r="F25" i="233"/>
  <c r="E25" i="233"/>
  <c r="D25" i="233"/>
  <c r="C25" i="233"/>
  <c r="A25" i="233"/>
  <c r="K24" i="233"/>
  <c r="Q24" i="299" s="1"/>
  <c r="J24" i="233"/>
  <c r="P24" i="299" s="1"/>
  <c r="I24" i="233"/>
  <c r="O24" i="299" s="1"/>
  <c r="H24" i="233"/>
  <c r="G24" i="233"/>
  <c r="F24" i="233"/>
  <c r="E24" i="233"/>
  <c r="D24" i="233"/>
  <c r="C24" i="233"/>
  <c r="A24" i="233"/>
  <c r="K23" i="233"/>
  <c r="Q23" i="299" s="1"/>
  <c r="J23" i="233"/>
  <c r="P23" i="299" s="1"/>
  <c r="I23" i="233"/>
  <c r="O23" i="299" s="1"/>
  <c r="H23" i="233"/>
  <c r="G23" i="233"/>
  <c r="F23" i="233"/>
  <c r="E23" i="233"/>
  <c r="E38" i="233" s="1"/>
  <c r="D23" i="233"/>
  <c r="C23" i="233"/>
  <c r="A23" i="233"/>
  <c r="W20" i="233"/>
  <c r="W39" i="233" s="1"/>
  <c r="V20" i="233"/>
  <c r="V39" i="233" s="1"/>
  <c r="U20" i="233"/>
  <c r="U39" i="233" s="1"/>
  <c r="T20" i="233"/>
  <c r="T39" i="233" s="1"/>
  <c r="S20" i="233"/>
  <c r="S39" i="233" s="1"/>
  <c r="R20" i="233"/>
  <c r="R39" i="233" s="1"/>
  <c r="Q20" i="233"/>
  <c r="Q39" i="233" s="1"/>
  <c r="P20" i="233"/>
  <c r="P39" i="233" s="1"/>
  <c r="O20" i="233"/>
  <c r="O39" i="233" s="1"/>
  <c r="N20" i="233"/>
  <c r="N39" i="233" s="1"/>
  <c r="M20" i="233"/>
  <c r="M39" i="233" s="1"/>
  <c r="L20" i="233"/>
  <c r="L39" i="233" s="1"/>
  <c r="L19" i="233"/>
  <c r="K19" i="233"/>
  <c r="Q19" i="299" s="1"/>
  <c r="J19" i="233"/>
  <c r="P19" i="299" s="1"/>
  <c r="I19" i="233"/>
  <c r="O19" i="299" s="1"/>
  <c r="N19" i="299" s="1"/>
  <c r="H19" i="233"/>
  <c r="G19" i="233"/>
  <c r="F19" i="233"/>
  <c r="E19" i="233"/>
  <c r="D19" i="233"/>
  <c r="C19" i="233"/>
  <c r="A19" i="233"/>
  <c r="L18" i="233"/>
  <c r="K18" i="233"/>
  <c r="Q18" i="299" s="1"/>
  <c r="J18" i="233"/>
  <c r="P18" i="299" s="1"/>
  <c r="I18" i="233"/>
  <c r="O18" i="299" s="1"/>
  <c r="N18" i="299" s="1"/>
  <c r="H18" i="233"/>
  <c r="G18" i="233"/>
  <c r="F18" i="233"/>
  <c r="E18" i="233"/>
  <c r="D18" i="233"/>
  <c r="C18" i="233"/>
  <c r="A18" i="233"/>
  <c r="L17" i="233"/>
  <c r="K17" i="233"/>
  <c r="Q17" i="299" s="1"/>
  <c r="J17" i="233"/>
  <c r="P17" i="299" s="1"/>
  <c r="I17" i="233"/>
  <c r="O17" i="299" s="1"/>
  <c r="N17" i="299" s="1"/>
  <c r="H17" i="233"/>
  <c r="G17" i="233"/>
  <c r="F17" i="233"/>
  <c r="E17" i="233"/>
  <c r="D17" i="233"/>
  <c r="C17" i="233"/>
  <c r="A17" i="233"/>
  <c r="L16" i="233"/>
  <c r="K16" i="233"/>
  <c r="Q16" i="299" s="1"/>
  <c r="J16" i="233"/>
  <c r="P16" i="299" s="1"/>
  <c r="I16" i="233"/>
  <c r="O16" i="299" s="1"/>
  <c r="N16" i="299" s="1"/>
  <c r="H16" i="233"/>
  <c r="G16" i="233"/>
  <c r="F16" i="233"/>
  <c r="E16" i="233"/>
  <c r="D16" i="233"/>
  <c r="C16" i="233"/>
  <c r="A16" i="233"/>
  <c r="L15" i="233"/>
  <c r="K15" i="233"/>
  <c r="Q15" i="299" s="1"/>
  <c r="J15" i="233"/>
  <c r="P15" i="299" s="1"/>
  <c r="I15" i="233"/>
  <c r="O15" i="299" s="1"/>
  <c r="N15" i="299" s="1"/>
  <c r="H15" i="233"/>
  <c r="G15" i="233"/>
  <c r="F15" i="233"/>
  <c r="E15" i="233"/>
  <c r="D15" i="233"/>
  <c r="C15" i="233"/>
  <c r="A15" i="233"/>
  <c r="K14" i="233"/>
  <c r="Q14" i="299" s="1"/>
  <c r="J14" i="233"/>
  <c r="P14" i="299" s="1"/>
  <c r="I14" i="233"/>
  <c r="O14" i="299" s="1"/>
  <c r="N14" i="299" s="1"/>
  <c r="H14" i="233"/>
  <c r="G14" i="233"/>
  <c r="F14" i="233"/>
  <c r="E14" i="233"/>
  <c r="D14" i="233"/>
  <c r="C14" i="233"/>
  <c r="A14" i="233"/>
  <c r="K13" i="233"/>
  <c r="Q13" i="299" s="1"/>
  <c r="J13" i="233"/>
  <c r="P13" i="299" s="1"/>
  <c r="I13" i="233"/>
  <c r="O13" i="299" s="1"/>
  <c r="N13" i="299" s="1"/>
  <c r="H13" i="233"/>
  <c r="G13" i="233"/>
  <c r="F13" i="233"/>
  <c r="E13" i="233"/>
  <c r="D13" i="233"/>
  <c r="C13" i="233"/>
  <c r="A13" i="233"/>
  <c r="K12" i="233"/>
  <c r="Q12" i="299" s="1"/>
  <c r="J12" i="233"/>
  <c r="P12" i="299" s="1"/>
  <c r="I12" i="233"/>
  <c r="O12" i="299" s="1"/>
  <c r="N12" i="299" s="1"/>
  <c r="H12" i="233"/>
  <c r="G12" i="233"/>
  <c r="F12" i="233"/>
  <c r="E12" i="233"/>
  <c r="D12" i="233"/>
  <c r="C12" i="233"/>
  <c r="A12" i="233"/>
  <c r="K11" i="233"/>
  <c r="Q11" i="299" s="1"/>
  <c r="J11" i="233"/>
  <c r="P11" i="299" s="1"/>
  <c r="I11" i="233"/>
  <c r="O11" i="299" s="1"/>
  <c r="N11" i="299" s="1"/>
  <c r="H11" i="233"/>
  <c r="G11" i="233"/>
  <c r="F11" i="233"/>
  <c r="E11" i="233"/>
  <c r="D11" i="233"/>
  <c r="C11" i="233"/>
  <c r="A11" i="233"/>
  <c r="K10" i="233"/>
  <c r="Q10" i="299" s="1"/>
  <c r="J10" i="233"/>
  <c r="P10" i="299" s="1"/>
  <c r="I10" i="233"/>
  <c r="O10" i="299" s="1"/>
  <c r="N10" i="299" s="1"/>
  <c r="H10" i="233"/>
  <c r="G10" i="233"/>
  <c r="F10" i="233"/>
  <c r="E10" i="233"/>
  <c r="D10" i="233"/>
  <c r="C10" i="233"/>
  <c r="A10" i="233"/>
  <c r="K9" i="233"/>
  <c r="Q9" i="299" s="1"/>
  <c r="J9" i="233"/>
  <c r="P9" i="299" s="1"/>
  <c r="I9" i="233"/>
  <c r="O9" i="299" s="1"/>
  <c r="N9" i="299" s="1"/>
  <c r="H9" i="233"/>
  <c r="G9" i="233"/>
  <c r="F9" i="233"/>
  <c r="E9" i="233"/>
  <c r="D9" i="233"/>
  <c r="C9" i="233"/>
  <c r="A9" i="233"/>
  <c r="K8" i="233"/>
  <c r="Q8" i="299" s="1"/>
  <c r="J8" i="233"/>
  <c r="P8" i="299" s="1"/>
  <c r="I8" i="233"/>
  <c r="O8" i="299" s="1"/>
  <c r="H8" i="233"/>
  <c r="G8" i="233"/>
  <c r="F8" i="233"/>
  <c r="E8" i="233"/>
  <c r="D8" i="233"/>
  <c r="C8" i="233"/>
  <c r="A8" i="233"/>
  <c r="K7" i="233"/>
  <c r="Q7" i="299" s="1"/>
  <c r="J7" i="233"/>
  <c r="P7" i="299" s="1"/>
  <c r="I7" i="233"/>
  <c r="O7" i="299" s="1"/>
  <c r="H7" i="233"/>
  <c r="G7" i="233"/>
  <c r="F7" i="233"/>
  <c r="E7" i="233"/>
  <c r="D7" i="233"/>
  <c r="C7" i="233"/>
  <c r="A7" i="233"/>
  <c r="K6" i="233"/>
  <c r="Q6" i="299" s="1"/>
  <c r="J6" i="233"/>
  <c r="P6" i="299" s="1"/>
  <c r="I6" i="233"/>
  <c r="O6" i="299" s="1"/>
  <c r="H6" i="233"/>
  <c r="G6" i="233"/>
  <c r="F6" i="233"/>
  <c r="E6" i="233"/>
  <c r="D6" i="233"/>
  <c r="C6" i="233"/>
  <c r="A6" i="233"/>
  <c r="K5" i="233"/>
  <c r="Q5" i="299" s="1"/>
  <c r="J5" i="233"/>
  <c r="P5" i="299" s="1"/>
  <c r="I5" i="233"/>
  <c r="O5" i="299" s="1"/>
  <c r="H5" i="233"/>
  <c r="H20" i="233" s="1"/>
  <c r="G5" i="233"/>
  <c r="F5" i="233"/>
  <c r="E5" i="233"/>
  <c r="D5" i="233"/>
  <c r="D20" i="233" s="1"/>
  <c r="C5" i="233"/>
  <c r="A5" i="233"/>
  <c r="H3" i="233"/>
  <c r="G3" i="233"/>
  <c r="F3" i="233"/>
  <c r="E3" i="233"/>
  <c r="D3" i="233"/>
  <c r="C3" i="233"/>
  <c r="L2" i="233"/>
  <c r="B2" i="233"/>
  <c r="A2" i="233"/>
  <c r="A142" i="351"/>
  <c r="E20" i="233" l="1"/>
  <c r="E39" i="233" s="1"/>
  <c r="P20" i="299"/>
  <c r="C20" i="233"/>
  <c r="G20" i="233"/>
  <c r="Q20" i="299"/>
  <c r="D38" i="233"/>
  <c r="H38" i="233"/>
  <c r="H39" i="233" s="1"/>
  <c r="H45" i="233" s="1"/>
  <c r="L40" i="126"/>
  <c r="I38" i="123"/>
  <c r="G38" i="123"/>
  <c r="H18" i="123"/>
  <c r="F85" i="126"/>
  <c r="H341" i="343"/>
  <c r="L41" i="123"/>
  <c r="M40" i="123"/>
  <c r="L39" i="123"/>
  <c r="G18" i="123"/>
  <c r="F49" i="248"/>
  <c r="E34" i="337"/>
  <c r="D341" i="343"/>
  <c r="F38" i="233"/>
  <c r="P38" i="299"/>
  <c r="J40" i="126"/>
  <c r="F20" i="233"/>
  <c r="C38" i="233"/>
  <c r="G38" i="233"/>
  <c r="Q38" i="299"/>
  <c r="I18" i="123"/>
  <c r="H49" i="248"/>
  <c r="K340" i="342"/>
  <c r="C8" i="140"/>
  <c r="D8" i="140"/>
  <c r="E8" i="140"/>
  <c r="F8" i="140"/>
  <c r="G8" i="140"/>
  <c r="H8" i="140"/>
  <c r="I8" i="140"/>
  <c r="J8" i="140"/>
  <c r="K8" i="140"/>
  <c r="L8" i="140"/>
  <c r="M8" i="140"/>
  <c r="M5" i="140"/>
  <c r="L5" i="140"/>
  <c r="K5" i="140"/>
  <c r="J5" i="140"/>
  <c r="I5" i="140"/>
  <c r="H5" i="140"/>
  <c r="G5" i="140"/>
  <c r="F5" i="140"/>
  <c r="E5" i="140"/>
  <c r="D5" i="140"/>
  <c r="C5" i="140"/>
  <c r="C7" i="140"/>
  <c r="D7" i="140"/>
  <c r="E7" i="140"/>
  <c r="F7" i="140"/>
  <c r="G7" i="140"/>
  <c r="H7" i="140"/>
  <c r="I7" i="140"/>
  <c r="J7" i="140"/>
  <c r="K7" i="140"/>
  <c r="L7" i="140"/>
  <c r="M7" i="140"/>
  <c r="C6" i="140"/>
  <c r="C20" i="140" s="1"/>
  <c r="C39" i="140" s="1"/>
  <c r="D6" i="140"/>
  <c r="D20" i="140" s="1"/>
  <c r="D39" i="140" s="1"/>
  <c r="E6" i="140"/>
  <c r="E20" i="140" s="1"/>
  <c r="E39" i="140" s="1"/>
  <c r="F6" i="140"/>
  <c r="G6" i="140"/>
  <c r="G20" i="140" s="1"/>
  <c r="G39" i="140" s="1"/>
  <c r="H6" i="140"/>
  <c r="H20" i="140" s="1"/>
  <c r="H39" i="140" s="1"/>
  <c r="I6" i="140"/>
  <c r="I20" i="140" s="1"/>
  <c r="I39" i="140" s="1"/>
  <c r="J6" i="140"/>
  <c r="K6" i="140"/>
  <c r="K20" i="140" s="1"/>
  <c r="K39" i="140" s="1"/>
  <c r="L6" i="140"/>
  <c r="L20" i="140" s="1"/>
  <c r="L39" i="140" s="1"/>
  <c r="M6" i="140"/>
  <c r="M20" i="140" s="1"/>
  <c r="M39" i="140" s="1"/>
  <c r="J82" i="248"/>
  <c r="J85" i="248"/>
  <c r="L102" i="123" s="1"/>
  <c r="I49" i="248"/>
  <c r="M5" i="299"/>
  <c r="L5" i="299"/>
  <c r="K5" i="299"/>
  <c r="J5" i="299"/>
  <c r="I5" i="299"/>
  <c r="H5" i="299"/>
  <c r="G5" i="299"/>
  <c r="F5" i="299"/>
  <c r="E5" i="299"/>
  <c r="D5" i="299"/>
  <c r="C5" i="299"/>
  <c r="M6" i="299"/>
  <c r="L6" i="299"/>
  <c r="K6" i="299"/>
  <c r="J6" i="299"/>
  <c r="I6" i="299"/>
  <c r="H6" i="299"/>
  <c r="G6" i="299"/>
  <c r="F6" i="299"/>
  <c r="E6" i="299"/>
  <c r="D6" i="299"/>
  <c r="C6" i="299"/>
  <c r="M7" i="299"/>
  <c r="L7" i="299"/>
  <c r="K7" i="299"/>
  <c r="J7" i="299"/>
  <c r="I7" i="299"/>
  <c r="H7" i="299"/>
  <c r="G7" i="299"/>
  <c r="F7" i="299"/>
  <c r="E7" i="299"/>
  <c r="D7" i="299"/>
  <c r="C7" i="299"/>
  <c r="M8" i="299"/>
  <c r="L8" i="299"/>
  <c r="K8" i="299"/>
  <c r="J8" i="299"/>
  <c r="I8" i="299"/>
  <c r="H8" i="299"/>
  <c r="G8" i="299"/>
  <c r="F8" i="299"/>
  <c r="E8" i="299"/>
  <c r="D8" i="299"/>
  <c r="C8" i="299"/>
  <c r="N8" i="299" s="1"/>
  <c r="M23" i="299"/>
  <c r="L23" i="299"/>
  <c r="K23" i="299"/>
  <c r="J23" i="299"/>
  <c r="I23" i="299"/>
  <c r="H23" i="299"/>
  <c r="G23" i="299"/>
  <c r="F23" i="299"/>
  <c r="E23" i="299"/>
  <c r="D23" i="299"/>
  <c r="C23" i="299"/>
  <c r="M24" i="299"/>
  <c r="L24" i="299"/>
  <c r="K24" i="299"/>
  <c r="J24" i="299"/>
  <c r="I24" i="299"/>
  <c r="H24" i="299"/>
  <c r="G24" i="299"/>
  <c r="F24" i="299"/>
  <c r="E24" i="299"/>
  <c r="D24" i="299"/>
  <c r="C24" i="299"/>
  <c r="M25" i="299"/>
  <c r="L25" i="299"/>
  <c r="K25" i="299"/>
  <c r="J25" i="299"/>
  <c r="I25" i="299"/>
  <c r="H25" i="299"/>
  <c r="G25" i="299"/>
  <c r="F25" i="299"/>
  <c r="E25" i="299"/>
  <c r="D25" i="299"/>
  <c r="C25" i="299"/>
  <c r="M26" i="299"/>
  <c r="L26" i="299"/>
  <c r="K26" i="299"/>
  <c r="J26" i="299"/>
  <c r="I26" i="299"/>
  <c r="H26" i="299"/>
  <c r="G26" i="299"/>
  <c r="F26" i="299"/>
  <c r="E26" i="299"/>
  <c r="D26" i="299"/>
  <c r="C26" i="299"/>
  <c r="M32" i="137"/>
  <c r="L32" i="137"/>
  <c r="K32" i="137"/>
  <c r="J32" i="137"/>
  <c r="I32" i="137"/>
  <c r="H32" i="137"/>
  <c r="G32" i="137"/>
  <c r="F32" i="137"/>
  <c r="E32" i="137"/>
  <c r="D32" i="137"/>
  <c r="C32" i="137"/>
  <c r="M30" i="137"/>
  <c r="L30" i="137"/>
  <c r="K30" i="137"/>
  <c r="J30" i="137"/>
  <c r="I30" i="137"/>
  <c r="H30" i="137"/>
  <c r="G30" i="137"/>
  <c r="F30" i="137"/>
  <c r="E30" i="137"/>
  <c r="D30" i="137"/>
  <c r="C30" i="137"/>
  <c r="M28" i="137"/>
  <c r="L28" i="137"/>
  <c r="K28" i="137"/>
  <c r="J28" i="137"/>
  <c r="I28" i="137"/>
  <c r="H28" i="137"/>
  <c r="G28" i="137"/>
  <c r="F28" i="137"/>
  <c r="E28" i="137"/>
  <c r="D28" i="137"/>
  <c r="C28" i="137"/>
  <c r="M25" i="137"/>
  <c r="L25" i="137"/>
  <c r="K25" i="137"/>
  <c r="K36" i="137" s="1"/>
  <c r="J25" i="137"/>
  <c r="I25" i="137"/>
  <c r="H25" i="137"/>
  <c r="G25" i="137"/>
  <c r="G36" i="137" s="1"/>
  <c r="F25" i="137"/>
  <c r="E25" i="137"/>
  <c r="D25" i="137"/>
  <c r="C25" i="137"/>
  <c r="C36" i="137" s="1"/>
  <c r="L20" i="137"/>
  <c r="K20" i="137"/>
  <c r="J20" i="137"/>
  <c r="M20" i="137"/>
  <c r="I20" i="137"/>
  <c r="H20" i="137"/>
  <c r="G20" i="137"/>
  <c r="F20" i="137"/>
  <c r="E20" i="137"/>
  <c r="D20" i="137"/>
  <c r="C20" i="137"/>
  <c r="L10" i="137"/>
  <c r="K10" i="137"/>
  <c r="J10" i="137"/>
  <c r="M10" i="137"/>
  <c r="I10" i="137"/>
  <c r="H10" i="137"/>
  <c r="G10" i="137"/>
  <c r="F10" i="137"/>
  <c r="E10" i="137"/>
  <c r="D10" i="137"/>
  <c r="C10" i="137"/>
  <c r="L9" i="137"/>
  <c r="K9" i="137"/>
  <c r="J9" i="137"/>
  <c r="M9" i="137"/>
  <c r="I9" i="137"/>
  <c r="H9" i="137"/>
  <c r="G9" i="137"/>
  <c r="F9" i="137"/>
  <c r="E9" i="137"/>
  <c r="D9" i="137"/>
  <c r="C9" i="137"/>
  <c r="L8" i="137"/>
  <c r="K8" i="137"/>
  <c r="J8" i="137"/>
  <c r="M8" i="137"/>
  <c r="I8" i="137"/>
  <c r="H8" i="137"/>
  <c r="G8" i="137"/>
  <c r="F8" i="137"/>
  <c r="E8" i="137"/>
  <c r="D8" i="137"/>
  <c r="C8" i="137"/>
  <c r="N8" i="137" s="1"/>
  <c r="L7" i="137"/>
  <c r="K7" i="137"/>
  <c r="J7" i="137"/>
  <c r="M7" i="137"/>
  <c r="I7" i="137"/>
  <c r="H7" i="137"/>
  <c r="G7" i="137"/>
  <c r="F7" i="137"/>
  <c r="E7" i="137"/>
  <c r="D7" i="137"/>
  <c r="C7" i="137"/>
  <c r="N24" i="299"/>
  <c r="N25" i="299"/>
  <c r="N26" i="299"/>
  <c r="D38" i="299"/>
  <c r="K49" i="248"/>
  <c r="E49" i="248"/>
  <c r="L38" i="123"/>
  <c r="G49" i="248"/>
  <c r="F17" i="337"/>
  <c r="G18" i="337" s="1"/>
  <c r="I15" i="337"/>
  <c r="G5" i="123"/>
  <c r="F5" i="237"/>
  <c r="F6" i="237" s="1"/>
  <c r="F8" i="237" s="1"/>
  <c r="D5" i="123"/>
  <c r="C5" i="237"/>
  <c r="C6" i="237" s="1"/>
  <c r="C8" i="237" s="1"/>
  <c r="D37" i="131"/>
  <c r="D38" i="131" s="1"/>
  <c r="F170" i="342"/>
  <c r="G340" i="342"/>
  <c r="D34" i="88"/>
  <c r="E7" i="123" s="1"/>
  <c r="E117" i="123" s="1"/>
  <c r="R38" i="246"/>
  <c r="R42" i="246" s="1"/>
  <c r="F34" i="337"/>
  <c r="C5" i="248"/>
  <c r="K40" i="126"/>
  <c r="K97" i="349" s="1"/>
  <c r="M38" i="123"/>
  <c r="K38" i="123"/>
  <c r="H34" i="88"/>
  <c r="I7" i="123" s="1"/>
  <c r="I117" i="123" s="1"/>
  <c r="G49" i="131"/>
  <c r="I5" i="123"/>
  <c r="H5" i="237"/>
  <c r="H6" i="237" s="1"/>
  <c r="H8" i="237" s="1"/>
  <c r="H5" i="123"/>
  <c r="G5" i="237"/>
  <c r="G6" i="237" s="1"/>
  <c r="G8" i="237" s="1"/>
  <c r="H34" i="337"/>
  <c r="J5" i="123"/>
  <c r="I5" i="237"/>
  <c r="I6" i="237" s="1"/>
  <c r="I8" i="237" s="1"/>
  <c r="K89" i="123"/>
  <c r="K5" i="123"/>
  <c r="J5" i="237"/>
  <c r="J6" i="237" s="1"/>
  <c r="J8" i="237" s="1"/>
  <c r="K37" i="131"/>
  <c r="K38" i="131" s="1"/>
  <c r="K34" i="88" s="1"/>
  <c r="L7" i="123" s="1"/>
  <c r="L117" i="123" s="1"/>
  <c r="D41" i="248"/>
  <c r="G39" i="233"/>
  <c r="C41" i="248"/>
  <c r="D49" i="248"/>
  <c r="D39" i="233"/>
  <c r="D45" i="233" s="1"/>
  <c r="A5" i="299"/>
  <c r="A23" i="299" s="1"/>
  <c r="C2" i="246"/>
  <c r="O20" i="299"/>
  <c r="N5" i="299"/>
  <c r="A6" i="299"/>
  <c r="A24" i="299" s="1"/>
  <c r="D2" i="246"/>
  <c r="A7" i="299"/>
  <c r="A25" i="299" s="1"/>
  <c r="E2" i="246"/>
  <c r="A8" i="299"/>
  <c r="A26" i="299" s="1"/>
  <c r="F2" i="246"/>
  <c r="A9" i="299"/>
  <c r="A27" i="299" s="1"/>
  <c r="G2" i="246"/>
  <c r="A10" i="299"/>
  <c r="A28" i="299" s="1"/>
  <c r="H2" i="246"/>
  <c r="A11" i="299"/>
  <c r="A29" i="299" s="1"/>
  <c r="I2" i="246"/>
  <c r="A12" i="299"/>
  <c r="A30" i="299" s="1"/>
  <c r="J2" i="246"/>
  <c r="A13" i="299"/>
  <c r="A31" i="299" s="1"/>
  <c r="K2" i="246"/>
  <c r="A14" i="299"/>
  <c r="A32" i="299" s="1"/>
  <c r="L2" i="246"/>
  <c r="A15" i="299"/>
  <c r="A33" i="299" s="1"/>
  <c r="M2" i="246"/>
  <c r="A16" i="299"/>
  <c r="A34" i="299" s="1"/>
  <c r="N2" i="246"/>
  <c r="A17" i="299"/>
  <c r="A35" i="299" s="1"/>
  <c r="O2" i="246"/>
  <c r="A18" i="299"/>
  <c r="A36" i="299" s="1"/>
  <c r="P2" i="246"/>
  <c r="A19" i="299"/>
  <c r="A37" i="299" s="1"/>
  <c r="Q2" i="246"/>
  <c r="O38" i="299"/>
  <c r="N23" i="299"/>
  <c r="L14" i="88"/>
  <c r="L13" i="88"/>
  <c r="L25" i="129"/>
  <c r="K14" i="88"/>
  <c r="K13" i="88"/>
  <c r="K25" i="129"/>
  <c r="J14" i="88"/>
  <c r="J13" i="88"/>
  <c r="J25" i="129"/>
  <c r="I14" i="88"/>
  <c r="I13" i="88"/>
  <c r="H13" i="88" s="1"/>
  <c r="I25" i="129"/>
  <c r="G12" i="129"/>
  <c r="H14" i="88"/>
  <c r="H25" i="129"/>
  <c r="F14" i="88"/>
  <c r="F13" i="88"/>
  <c r="F25" i="129"/>
  <c r="E14" i="88"/>
  <c r="E13" i="88"/>
  <c r="E25" i="129"/>
  <c r="D14" i="88"/>
  <c r="D13" i="88"/>
  <c r="C14" i="88"/>
  <c r="C13" i="88"/>
  <c r="C25" i="129"/>
  <c r="Q29" i="300"/>
  <c r="M52" i="123"/>
  <c r="M13" i="123" s="1"/>
  <c r="M122" i="123" s="1"/>
  <c r="M12" i="123"/>
  <c r="M28" i="314"/>
  <c r="J97" i="349"/>
  <c r="J97" i="350"/>
  <c r="J97" i="134"/>
  <c r="I97" i="134" s="1"/>
  <c r="O29" i="300"/>
  <c r="K52" i="123"/>
  <c r="K13" i="123" s="1"/>
  <c r="K122" i="123" s="1"/>
  <c r="K12" i="123"/>
  <c r="K28" i="314"/>
  <c r="M57" i="123"/>
  <c r="M18" i="123" s="1"/>
  <c r="L43" i="88"/>
  <c r="L8" i="88" s="1"/>
  <c r="L85" i="126"/>
  <c r="L57" i="123"/>
  <c r="K43" i="88"/>
  <c r="K8" i="88" s="1"/>
  <c r="K85" i="126"/>
  <c r="K57" i="123"/>
  <c r="J43" i="88"/>
  <c r="J8" i="88" s="1"/>
  <c r="J85" i="126"/>
  <c r="L7" i="88"/>
  <c r="M121" i="123" s="1"/>
  <c r="L26" i="315"/>
  <c r="K347" i="342"/>
  <c r="K7" i="88"/>
  <c r="L121" i="123" s="1"/>
  <c r="K26" i="315"/>
  <c r="J347" i="342"/>
  <c r="J7" i="88"/>
  <c r="K121" i="123" s="1"/>
  <c r="J26" i="315"/>
  <c r="I347" i="342"/>
  <c r="H7" i="88"/>
  <c r="I121" i="123" s="1"/>
  <c r="I26" i="315"/>
  <c r="H347" i="342"/>
  <c r="G7" i="88"/>
  <c r="H121" i="123" s="1"/>
  <c r="H26" i="315"/>
  <c r="G347" i="342"/>
  <c r="F7" i="88"/>
  <c r="G121" i="123" s="1"/>
  <c r="G26" i="315"/>
  <c r="F347" i="342"/>
  <c r="E7" i="88"/>
  <c r="F121" i="123" s="1"/>
  <c r="F26" i="315"/>
  <c r="E347" i="342"/>
  <c r="D7" i="88"/>
  <c r="E121" i="123" s="1"/>
  <c r="E26" i="315"/>
  <c r="D347" i="342"/>
  <c r="C7" i="88"/>
  <c r="D121" i="123" s="1"/>
  <c r="D26" i="315"/>
  <c r="C347" i="342"/>
  <c r="L32" i="88"/>
  <c r="L28" i="88"/>
  <c r="L60" i="127"/>
  <c r="L38" i="127"/>
  <c r="L42" i="127" s="1"/>
  <c r="K32" i="88"/>
  <c r="L29" i="88"/>
  <c r="K28" i="88"/>
  <c r="K60" i="127"/>
  <c r="K38" i="127"/>
  <c r="K42" i="127" s="1"/>
  <c r="J32" i="88"/>
  <c r="K29" i="88"/>
  <c r="J28" i="88"/>
  <c r="J60" i="127"/>
  <c r="J38" i="127"/>
  <c r="J42" i="127" s="1"/>
  <c r="I32" i="88"/>
  <c r="J29" i="88"/>
  <c r="I60" i="127"/>
  <c r="I38" i="127"/>
  <c r="I42" i="127" s="1"/>
  <c r="H29" i="88"/>
  <c r="H28" i="88"/>
  <c r="H60" i="127"/>
  <c r="H38" i="127"/>
  <c r="H42" i="127" s="1"/>
  <c r="G29" i="88"/>
  <c r="G28" i="88"/>
  <c r="G60" i="127"/>
  <c r="G38" i="127"/>
  <c r="G42" i="127" s="1"/>
  <c r="F32" i="88"/>
  <c r="G32" i="88" s="1"/>
  <c r="H32" i="88" s="1"/>
  <c r="F29" i="88"/>
  <c r="F28" i="88"/>
  <c r="F60" i="127"/>
  <c r="F38" i="127"/>
  <c r="F42" i="127" s="1"/>
  <c r="E32" i="88"/>
  <c r="E29" i="88"/>
  <c r="E28" i="88"/>
  <c r="E60" i="127"/>
  <c r="E38" i="127"/>
  <c r="E42" i="127" s="1"/>
  <c r="D32" i="88"/>
  <c r="D29" i="88"/>
  <c r="D28" i="88"/>
  <c r="D60" i="127"/>
  <c r="D38" i="127"/>
  <c r="D42" i="127" s="1"/>
  <c r="C32" i="88"/>
  <c r="C29" i="88"/>
  <c r="C28" i="88"/>
  <c r="C60" i="127"/>
  <c r="C38" i="127"/>
  <c r="C42" i="127" s="1"/>
  <c r="J84" i="123"/>
  <c r="M10" i="123"/>
  <c r="I84" i="123"/>
  <c r="L10" i="123"/>
  <c r="H84" i="123"/>
  <c r="K10" i="123"/>
  <c r="G84" i="123"/>
  <c r="J10" i="123"/>
  <c r="I116" i="123"/>
  <c r="H36" i="237"/>
  <c r="F84" i="123"/>
  <c r="F10" i="123"/>
  <c r="E84" i="123"/>
  <c r="E10" i="123"/>
  <c r="O20" i="140"/>
  <c r="N5" i="140"/>
  <c r="M37" i="338"/>
  <c r="M58" i="338" s="1"/>
  <c r="M80" i="338" s="1"/>
  <c r="M42" i="338"/>
  <c r="L37" i="338"/>
  <c r="L58" i="338" s="1"/>
  <c r="L80" i="338" s="1"/>
  <c r="L42" i="338"/>
  <c r="K37" i="338"/>
  <c r="K58" i="338" s="1"/>
  <c r="K80" i="338" s="1"/>
  <c r="K42" i="338"/>
  <c r="O36" i="137"/>
  <c r="N25" i="137"/>
  <c r="I17" i="88"/>
  <c r="G17" i="88"/>
  <c r="H17" i="88" s="1"/>
  <c r="M44" i="123"/>
  <c r="M43" i="123"/>
  <c r="M11" i="123" s="1"/>
  <c r="M103" i="123" s="1"/>
  <c r="M37" i="123"/>
  <c r="M31" i="338"/>
  <c r="M72" i="338"/>
  <c r="M13" i="338" s="1"/>
  <c r="L44" i="123"/>
  <c r="L43" i="123"/>
  <c r="L11" i="123" s="1"/>
  <c r="L103" i="123" s="1"/>
  <c r="L37" i="123"/>
  <c r="O5" i="137"/>
  <c r="P22" i="137"/>
  <c r="L31" i="338"/>
  <c r="L72" i="338"/>
  <c r="L13" i="338" s="1"/>
  <c r="K44" i="123"/>
  <c r="K43" i="123"/>
  <c r="K11" i="123" s="1"/>
  <c r="K103" i="123" s="1"/>
  <c r="K37" i="123"/>
  <c r="K31" i="338"/>
  <c r="K72" i="338"/>
  <c r="K13" i="338" s="1"/>
  <c r="J44" i="123"/>
  <c r="J43" i="123"/>
  <c r="J11" i="123" s="1"/>
  <c r="J103" i="123" s="1"/>
  <c r="J37" i="123"/>
  <c r="J31" i="338"/>
  <c r="J72" i="338"/>
  <c r="J13" i="338" s="1"/>
  <c r="I44" i="123"/>
  <c r="I43" i="123"/>
  <c r="I11" i="123" s="1"/>
  <c r="I103" i="123" s="1"/>
  <c r="I37" i="123"/>
  <c r="I31" i="338"/>
  <c r="I72" i="338"/>
  <c r="I13" i="338" s="1"/>
  <c r="H44" i="123"/>
  <c r="H43" i="123"/>
  <c r="H11" i="123" s="1"/>
  <c r="H103" i="123" s="1"/>
  <c r="H37" i="123"/>
  <c r="H31" i="338"/>
  <c r="H72" i="338"/>
  <c r="H13" i="338" s="1"/>
  <c r="G44" i="123"/>
  <c r="G43" i="123"/>
  <c r="G11" i="123" s="1"/>
  <c r="G103" i="123" s="1"/>
  <c r="G37" i="123"/>
  <c r="G31" i="338"/>
  <c r="G72" i="338"/>
  <c r="G13" i="338" s="1"/>
  <c r="F44" i="123"/>
  <c r="F43" i="123"/>
  <c r="F11" i="123" s="1"/>
  <c r="F103" i="123" s="1"/>
  <c r="F37" i="123"/>
  <c r="F31" i="338"/>
  <c r="F72" i="338"/>
  <c r="F13" i="338" s="1"/>
  <c r="E44" i="123"/>
  <c r="E43" i="123"/>
  <c r="E11" i="123" s="1"/>
  <c r="E103" i="123" s="1"/>
  <c r="E37" i="123"/>
  <c r="E31" i="338"/>
  <c r="E72" i="338"/>
  <c r="E13" i="338" s="1"/>
  <c r="D44" i="123"/>
  <c r="D43" i="123"/>
  <c r="D11" i="123" s="1"/>
  <c r="D103" i="123" s="1"/>
  <c r="M102" i="123" s="1"/>
  <c r="D31" i="338"/>
  <c r="D72" i="338"/>
  <c r="D13" i="338" s="1"/>
  <c r="I97" i="349"/>
  <c r="I97" i="350"/>
  <c r="H97" i="350" s="1"/>
  <c r="J52" i="123"/>
  <c r="J13" i="123" s="1"/>
  <c r="J122" i="123" s="1"/>
  <c r="J12" i="123"/>
  <c r="H97" i="349"/>
  <c r="H97" i="134"/>
  <c r="G97" i="134" s="1"/>
  <c r="I52" i="123"/>
  <c r="I13" i="123" s="1"/>
  <c r="I122" i="123" s="1"/>
  <c r="I12" i="123"/>
  <c r="J28" i="314"/>
  <c r="G97" i="349"/>
  <c r="G97" i="350"/>
  <c r="H52" i="123"/>
  <c r="H13" i="123" s="1"/>
  <c r="H122" i="123" s="1"/>
  <c r="H12" i="123"/>
  <c r="I28" i="314"/>
  <c r="F97" i="349"/>
  <c r="F97" i="350"/>
  <c r="F97" i="134"/>
  <c r="E97" i="134" s="1"/>
  <c r="G52" i="123"/>
  <c r="G13" i="123" s="1"/>
  <c r="G122" i="123" s="1"/>
  <c r="G12" i="123"/>
  <c r="H28" i="314"/>
  <c r="C97" i="349"/>
  <c r="C97" i="350"/>
  <c r="C97" i="134"/>
  <c r="D52" i="123"/>
  <c r="D13" i="123" s="1"/>
  <c r="D122" i="123" s="1"/>
  <c r="D12" i="123"/>
  <c r="E28" i="314"/>
  <c r="J17" i="123"/>
  <c r="I84" i="248"/>
  <c r="F69" i="248"/>
  <c r="F80" i="248" s="1"/>
  <c r="H17" i="123"/>
  <c r="G84" i="248"/>
  <c r="E97" i="349"/>
  <c r="E97" i="350"/>
  <c r="F52" i="123"/>
  <c r="F13" i="123" s="1"/>
  <c r="F12" i="123"/>
  <c r="G28" i="314"/>
  <c r="D97" i="349"/>
  <c r="D97" i="350"/>
  <c r="D97" i="134"/>
  <c r="E52" i="123"/>
  <c r="E12" i="123"/>
  <c r="F28" i="314"/>
  <c r="E57" i="123"/>
  <c r="D43" i="88"/>
  <c r="D85" i="126"/>
  <c r="I20" i="233"/>
  <c r="J20" i="233"/>
  <c r="K20" i="233"/>
  <c r="I38" i="233"/>
  <c r="J38" i="233"/>
  <c r="K38" i="233"/>
  <c r="K39" i="233" s="1"/>
  <c r="H29" i="237"/>
  <c r="H32" i="237" s="1"/>
  <c r="H14" i="237" s="1"/>
  <c r="H18" i="237" s="1"/>
  <c r="I6" i="123" s="1"/>
  <c r="L18" i="88"/>
  <c r="K18" i="88"/>
  <c r="J18" i="88"/>
  <c r="I18" i="88"/>
  <c r="H18" i="88"/>
  <c r="G18" i="88"/>
  <c r="H10" i="123"/>
  <c r="F18" i="88"/>
  <c r="G10" i="123"/>
  <c r="E18" i="88"/>
  <c r="D18" i="88"/>
  <c r="C18" i="88"/>
  <c r="Q20" i="140"/>
  <c r="E21" i="294"/>
  <c r="P20" i="140"/>
  <c r="D21" i="294"/>
  <c r="C21" i="294"/>
  <c r="L30" i="88"/>
  <c r="K30" i="88"/>
  <c r="J30" i="88"/>
  <c r="L27" i="88"/>
  <c r="Q36" i="137"/>
  <c r="K27" i="88"/>
  <c r="P36" i="137"/>
  <c r="J27" i="88"/>
  <c r="I27" i="88"/>
  <c r="H27" i="88"/>
  <c r="G27" i="88"/>
  <c r="F27" i="88"/>
  <c r="E27" i="88"/>
  <c r="D27" i="88"/>
  <c r="C27" i="88"/>
  <c r="Q22" i="137"/>
  <c r="K101" i="123"/>
  <c r="I101" i="123" s="1"/>
  <c r="H101" i="123" s="1"/>
  <c r="K83" i="248"/>
  <c r="L18" i="123"/>
  <c r="J83" i="248"/>
  <c r="K18" i="123"/>
  <c r="I83" i="248"/>
  <c r="I85" i="248"/>
  <c r="K102" i="123" s="1"/>
  <c r="I102" i="123" s="1"/>
  <c r="H83" i="248"/>
  <c r="G83" i="248"/>
  <c r="G85" i="248"/>
  <c r="F83" i="248"/>
  <c r="E83" i="248"/>
  <c r="E18" i="123"/>
  <c r="D82" i="248"/>
  <c r="C82" i="248" s="1"/>
  <c r="D83" i="248"/>
  <c r="C83" i="248"/>
  <c r="G53" i="338"/>
  <c r="F53" i="338" s="1"/>
  <c r="D8" i="88"/>
  <c r="A141" i="351"/>
  <c r="A140" i="351"/>
  <c r="A139" i="351"/>
  <c r="A138" i="351"/>
  <c r="A137" i="351"/>
  <c r="A136" i="351"/>
  <c r="A135" i="351"/>
  <c r="K134" i="351"/>
  <c r="J134" i="351"/>
  <c r="I134" i="351"/>
  <c r="H134" i="351"/>
  <c r="G134" i="351"/>
  <c r="F134" i="351"/>
  <c r="E134" i="351"/>
  <c r="C134" i="351"/>
  <c r="A134" i="351"/>
  <c r="A133" i="351"/>
  <c r="K132" i="351"/>
  <c r="J132" i="351"/>
  <c r="J121" i="351" s="1"/>
  <c r="I132" i="351"/>
  <c r="H132" i="351"/>
  <c r="G132" i="351"/>
  <c r="F132" i="351"/>
  <c r="F121" i="351" s="1"/>
  <c r="E132" i="351"/>
  <c r="D132" i="351"/>
  <c r="C132" i="351"/>
  <c r="A132" i="351"/>
  <c r="A131" i="351"/>
  <c r="A130" i="351"/>
  <c r="A129" i="351"/>
  <c r="K128" i="351"/>
  <c r="J128" i="351"/>
  <c r="I128" i="351"/>
  <c r="H128" i="351"/>
  <c r="G128" i="351"/>
  <c r="F128" i="351"/>
  <c r="E128" i="351"/>
  <c r="D128" i="351"/>
  <c r="C128" i="351"/>
  <c r="A128" i="351"/>
  <c r="A127" i="351"/>
  <c r="A126" i="351"/>
  <c r="K125" i="351"/>
  <c r="J125" i="351"/>
  <c r="I125" i="351"/>
  <c r="H125" i="351"/>
  <c r="G125" i="351"/>
  <c r="F125" i="351"/>
  <c r="E125" i="351"/>
  <c r="D125" i="351"/>
  <c r="C125" i="351"/>
  <c r="A125" i="351"/>
  <c r="A124" i="351"/>
  <c r="A123" i="351"/>
  <c r="K122" i="351"/>
  <c r="K121" i="351" s="1"/>
  <c r="J122" i="351"/>
  <c r="I122" i="351"/>
  <c r="H122" i="351"/>
  <c r="H121" i="351" s="1"/>
  <c r="G122" i="351"/>
  <c r="G121" i="351" s="1"/>
  <c r="F122" i="351"/>
  <c r="E122" i="351"/>
  <c r="D122" i="351"/>
  <c r="D121" i="351" s="1"/>
  <c r="C121" i="351" s="1"/>
  <c r="C122" i="351"/>
  <c r="A122" i="351"/>
  <c r="I121" i="351"/>
  <c r="E121" i="351"/>
  <c r="A121" i="351"/>
  <c r="A120" i="351"/>
  <c r="A119" i="351"/>
  <c r="A118" i="351"/>
  <c r="K117" i="351"/>
  <c r="J117" i="351"/>
  <c r="I117" i="351"/>
  <c r="H117" i="351"/>
  <c r="G117" i="351"/>
  <c r="F117" i="351"/>
  <c r="E117" i="351"/>
  <c r="D117" i="351"/>
  <c r="C117" i="351"/>
  <c r="A117" i="351"/>
  <c r="A116" i="351"/>
  <c r="A115" i="351"/>
  <c r="A114" i="351"/>
  <c r="A113" i="351"/>
  <c r="A112" i="351"/>
  <c r="K111" i="351"/>
  <c r="J111" i="351"/>
  <c r="I111" i="351"/>
  <c r="H111" i="351"/>
  <c r="H106" i="351" s="1"/>
  <c r="G111" i="351"/>
  <c r="F111" i="351"/>
  <c r="E111" i="351"/>
  <c r="D111" i="351"/>
  <c r="C111" i="351"/>
  <c r="A111" i="351"/>
  <c r="A110" i="351"/>
  <c r="A109" i="351"/>
  <c r="A108" i="351"/>
  <c r="K107" i="351"/>
  <c r="J107" i="351"/>
  <c r="J106" i="351" s="1"/>
  <c r="I107" i="351"/>
  <c r="I106" i="351" s="1"/>
  <c r="H107" i="351"/>
  <c r="G107" i="351"/>
  <c r="F107" i="351"/>
  <c r="F106" i="351" s="1"/>
  <c r="E107" i="351"/>
  <c r="E106" i="351" s="1"/>
  <c r="D106" i="351" s="1"/>
  <c r="D107" i="351"/>
  <c r="C107" i="351"/>
  <c r="A107" i="351"/>
  <c r="K106" i="351"/>
  <c r="G106" i="351"/>
  <c r="C106" i="351"/>
  <c r="A106" i="351"/>
  <c r="A105" i="351"/>
  <c r="A104" i="351"/>
  <c r="A103" i="351"/>
  <c r="K102" i="351"/>
  <c r="J102" i="351"/>
  <c r="I102" i="351"/>
  <c r="H102" i="351"/>
  <c r="G102" i="351"/>
  <c r="F102" i="351"/>
  <c r="E102" i="351"/>
  <c r="D102" i="351"/>
  <c r="C102" i="351"/>
  <c r="A102" i="351"/>
  <c r="A101" i="351"/>
  <c r="A100" i="351"/>
  <c r="A99" i="351"/>
  <c r="A98" i="351"/>
  <c r="A97" i="351"/>
  <c r="A96" i="351"/>
  <c r="K95" i="351"/>
  <c r="J95" i="351"/>
  <c r="I95" i="351"/>
  <c r="H95" i="351"/>
  <c r="G95" i="351"/>
  <c r="F95" i="351"/>
  <c r="E95" i="351"/>
  <c r="D95" i="351"/>
  <c r="C95" i="351"/>
  <c r="A95" i="351"/>
  <c r="A94" i="351"/>
  <c r="A93" i="351"/>
  <c r="A92" i="351"/>
  <c r="A91" i="351"/>
  <c r="A90" i="351"/>
  <c r="A89" i="351"/>
  <c r="A88" i="351"/>
  <c r="A87" i="351"/>
  <c r="A86" i="351"/>
  <c r="K85" i="351"/>
  <c r="K84" i="351" s="1"/>
  <c r="J85" i="351"/>
  <c r="J84" i="351" s="1"/>
  <c r="I85" i="351"/>
  <c r="H85" i="351"/>
  <c r="G85" i="351"/>
  <c r="G84" i="351" s="1"/>
  <c r="F85" i="351"/>
  <c r="F84" i="351" s="1"/>
  <c r="E85" i="351"/>
  <c r="D85" i="351"/>
  <c r="C85" i="351"/>
  <c r="C84" i="351" s="1"/>
  <c r="A85" i="351"/>
  <c r="I84" i="351"/>
  <c r="H84" i="351"/>
  <c r="E84" i="351"/>
  <c r="D84" i="351"/>
  <c r="A84" i="351"/>
  <c r="H83" i="351"/>
  <c r="G83" i="351"/>
  <c r="D84" i="123" l="1"/>
  <c r="D55" i="123" s="1"/>
  <c r="D10" i="123" s="1"/>
  <c r="N10" i="137"/>
  <c r="E36" i="137"/>
  <c r="I36" i="137"/>
  <c r="M36" i="137"/>
  <c r="N30" i="137"/>
  <c r="N6" i="299"/>
  <c r="J20" i="140"/>
  <c r="J39" i="140" s="1"/>
  <c r="F20" i="140"/>
  <c r="F39" i="140" s="1"/>
  <c r="C39" i="233"/>
  <c r="C45" i="233" s="1"/>
  <c r="N9" i="137"/>
  <c r="F36" i="137"/>
  <c r="J36" i="137"/>
  <c r="N28" i="137"/>
  <c r="N7" i="299"/>
  <c r="P40" i="299"/>
  <c r="P45" i="299" s="1"/>
  <c r="F340" i="342"/>
  <c r="Q40" i="299"/>
  <c r="Q45" i="299" s="1"/>
  <c r="N7" i="137"/>
  <c r="N20" i="137"/>
  <c r="D36" i="137"/>
  <c r="H36" i="137"/>
  <c r="L36" i="137"/>
  <c r="N32" i="137"/>
  <c r="N8" i="140"/>
  <c r="N7" i="140"/>
  <c r="N6" i="140"/>
  <c r="L28" i="314"/>
  <c r="L52" i="123"/>
  <c r="L13" i="123" s="1"/>
  <c r="L122" i="123" s="1"/>
  <c r="K97" i="350"/>
  <c r="L12" i="123"/>
  <c r="P29" i="300"/>
  <c r="L5" i="137"/>
  <c r="L22" i="137" s="1"/>
  <c r="L38" i="137" s="1"/>
  <c r="L42" i="137" s="1"/>
  <c r="L46" i="137" s="1"/>
  <c r="K5" i="137"/>
  <c r="K22" i="137" s="1"/>
  <c r="K38" i="137" s="1"/>
  <c r="K42" i="137" s="1"/>
  <c r="K46" i="137" s="1"/>
  <c r="J5" i="137"/>
  <c r="J22" i="137" s="1"/>
  <c r="M5" i="137"/>
  <c r="M22" i="137" s="1"/>
  <c r="I5" i="137"/>
  <c r="I22" i="137" s="1"/>
  <c r="I38" i="137" s="1"/>
  <c r="I42" i="137" s="1"/>
  <c r="I46" i="137" s="1"/>
  <c r="H5" i="137"/>
  <c r="H22" i="137" s="1"/>
  <c r="H38" i="137" s="1"/>
  <c r="H42" i="137" s="1"/>
  <c r="H46" i="137" s="1"/>
  <c r="F5" i="137"/>
  <c r="F22" i="137" s="1"/>
  <c r="G5" i="137"/>
  <c r="G22" i="137" s="1"/>
  <c r="G38" i="137" s="1"/>
  <c r="E5" i="137"/>
  <c r="E22" i="137" s="1"/>
  <c r="E38" i="137" s="1"/>
  <c r="E42" i="137" s="1"/>
  <c r="E46" i="137" s="1"/>
  <c r="D5" i="137"/>
  <c r="D22" i="137" s="1"/>
  <c r="C5" i="137"/>
  <c r="C22" i="137" s="1"/>
  <c r="C38" i="137" s="1"/>
  <c r="C42" i="137" s="1"/>
  <c r="C46" i="137" s="1"/>
  <c r="N36" i="137"/>
  <c r="N20" i="299"/>
  <c r="C38" i="299"/>
  <c r="E38" i="299"/>
  <c r="F38" i="299"/>
  <c r="G38" i="299"/>
  <c r="H38" i="299"/>
  <c r="I38" i="299"/>
  <c r="J38" i="299"/>
  <c r="K38" i="299"/>
  <c r="L38" i="299"/>
  <c r="M38" i="299"/>
  <c r="C20" i="299"/>
  <c r="C40" i="299" s="1"/>
  <c r="D20" i="299"/>
  <c r="D40" i="299" s="1"/>
  <c r="D45" i="299" s="1"/>
  <c r="C45" i="299" s="1"/>
  <c r="E20" i="299"/>
  <c r="F20" i="299"/>
  <c r="F40" i="299" s="1"/>
  <c r="F45" i="299" s="1"/>
  <c r="G20" i="299"/>
  <c r="H20" i="299"/>
  <c r="H40" i="299" s="1"/>
  <c r="I20" i="299"/>
  <c r="J20" i="299"/>
  <c r="K20" i="299"/>
  <c r="L20" i="299"/>
  <c r="L40" i="299" s="1"/>
  <c r="L45" i="299" s="1"/>
  <c r="M20" i="299"/>
  <c r="N38" i="299"/>
  <c r="E5" i="123"/>
  <c r="D5" i="237"/>
  <c r="D6" i="237" s="1"/>
  <c r="D8" i="237" s="1"/>
  <c r="E37" i="131"/>
  <c r="E38" i="131" s="1"/>
  <c r="F18" i="337"/>
  <c r="I17" i="337"/>
  <c r="C49" i="248"/>
  <c r="Q38" i="137"/>
  <c r="Q42" i="137" s="1"/>
  <c r="Q46" i="137" s="1"/>
  <c r="L5" i="123"/>
  <c r="K5" i="237"/>
  <c r="K6" i="237" s="1"/>
  <c r="K8" i="237" s="1"/>
  <c r="L37" i="131"/>
  <c r="L38" i="131" s="1"/>
  <c r="H102" i="123"/>
  <c r="C60" i="294"/>
  <c r="C54" i="294"/>
  <c r="D60" i="294"/>
  <c r="D54" i="294"/>
  <c r="P45" i="140"/>
  <c r="P39" i="140"/>
  <c r="E60" i="294"/>
  <c r="E54" i="294"/>
  <c r="Q45" i="140"/>
  <c r="Q39" i="140"/>
  <c r="G116" i="123"/>
  <c r="F36" i="237"/>
  <c r="F29" i="237" s="1"/>
  <c r="F32" i="237" s="1"/>
  <c r="F14" i="237" s="1"/>
  <c r="F18" i="237" s="1"/>
  <c r="H116" i="123"/>
  <c r="G36" i="237"/>
  <c r="G29" i="237" s="1"/>
  <c r="G32" i="237" s="1"/>
  <c r="G14" i="237" s="1"/>
  <c r="G18" i="237" s="1"/>
  <c r="J39" i="233"/>
  <c r="J45" i="233" s="1"/>
  <c r="K45" i="233"/>
  <c r="E13" i="123"/>
  <c r="F122" i="123"/>
  <c r="E122" i="123" s="1"/>
  <c r="E69" i="248"/>
  <c r="G17" i="123"/>
  <c r="F84" i="248"/>
  <c r="F85" i="248"/>
  <c r="G102" i="123" s="1"/>
  <c r="D77" i="338"/>
  <c r="D59" i="338"/>
  <c r="D66" i="338" s="1"/>
  <c r="D68" i="338" s="1"/>
  <c r="E77" i="338"/>
  <c r="E59" i="338"/>
  <c r="E66" i="338" s="1"/>
  <c r="E68" i="338" s="1"/>
  <c r="F77" i="338"/>
  <c r="F59" i="338"/>
  <c r="F66" i="338" s="1"/>
  <c r="F68" i="338" s="1"/>
  <c r="G77" i="338"/>
  <c r="G59" i="338"/>
  <c r="H77" i="338"/>
  <c r="H59" i="338"/>
  <c r="H66" i="338" s="1"/>
  <c r="I77" i="338"/>
  <c r="I59" i="338"/>
  <c r="I66" i="338" s="1"/>
  <c r="I68" i="338" s="1"/>
  <c r="J77" i="338"/>
  <c r="J59" i="338"/>
  <c r="J66" i="338" s="1"/>
  <c r="J68" i="338" s="1"/>
  <c r="K77" i="338"/>
  <c r="K59" i="338"/>
  <c r="K66" i="338" s="1"/>
  <c r="K68" i="338" s="1"/>
  <c r="L77" i="338"/>
  <c r="L59" i="338"/>
  <c r="L66" i="338" s="1"/>
  <c r="L68" i="338" s="1"/>
  <c r="O22" i="137"/>
  <c r="N5" i="137"/>
  <c r="M77" i="338"/>
  <c r="M59" i="338"/>
  <c r="M66" i="338" s="1"/>
  <c r="M68" i="338" s="1"/>
  <c r="O45" i="140"/>
  <c r="O39" i="140"/>
  <c r="E116" i="123"/>
  <c r="D36" i="237"/>
  <c r="D29" i="237" s="1"/>
  <c r="D32" i="237" s="1"/>
  <c r="D14" i="237" s="1"/>
  <c r="D18" i="237" s="1"/>
  <c r="D116" i="123"/>
  <c r="C36" i="237"/>
  <c r="C29" i="237" s="1"/>
  <c r="C32" i="237" s="1"/>
  <c r="C14" i="237" s="1"/>
  <c r="C18" i="237" s="1"/>
  <c r="F116" i="123"/>
  <c r="E36" i="237"/>
  <c r="E29" i="237" s="1"/>
  <c r="E32" i="237" s="1"/>
  <c r="E14" i="237" s="1"/>
  <c r="E18" i="237" s="1"/>
  <c r="J116" i="123"/>
  <c r="I36" i="237"/>
  <c r="I29" i="237" s="1"/>
  <c r="I32" i="237" s="1"/>
  <c r="I14" i="237" s="1"/>
  <c r="I18" i="237" s="1"/>
  <c r="K116" i="123"/>
  <c r="J36" i="237"/>
  <c r="J29" i="237" s="1"/>
  <c r="J32" i="237" s="1"/>
  <c r="J14" i="237" s="1"/>
  <c r="J18" i="237" s="1"/>
  <c r="L116" i="123"/>
  <c r="K36" i="237"/>
  <c r="K29" i="237" s="1"/>
  <c r="K32" i="237" s="1"/>
  <c r="K14" i="237" s="1"/>
  <c r="K18" i="237" s="1"/>
  <c r="M116" i="123"/>
  <c r="L36" i="237"/>
  <c r="L29" i="237" s="1"/>
  <c r="L32" i="237" s="1"/>
  <c r="L14" i="237" s="1"/>
  <c r="L18" i="237" s="1"/>
  <c r="D8" i="123"/>
  <c r="C44" i="127"/>
  <c r="C46" i="127" s="1"/>
  <c r="D32" i="141"/>
  <c r="C346" i="342"/>
  <c r="E8" i="123"/>
  <c r="D44" i="127"/>
  <c r="D46" i="127" s="1"/>
  <c r="E32" i="141"/>
  <c r="D346" i="342"/>
  <c r="F8" i="123"/>
  <c r="E44" i="127"/>
  <c r="E46" i="127" s="1"/>
  <c r="F32" i="141"/>
  <c r="E346" i="342"/>
  <c r="G8" i="123"/>
  <c r="F44" i="127"/>
  <c r="F46" i="127" s="1"/>
  <c r="G32" i="141"/>
  <c r="F346" i="342"/>
  <c r="H8" i="123"/>
  <c r="G44" i="127"/>
  <c r="G46" i="127" s="1"/>
  <c r="H32" i="141"/>
  <c r="G346" i="342"/>
  <c r="I8" i="123"/>
  <c r="H44" i="127"/>
  <c r="H46" i="127" s="1"/>
  <c r="I32" i="141"/>
  <c r="H346" i="342"/>
  <c r="J8" i="123"/>
  <c r="I44" i="127"/>
  <c r="I46" i="127" s="1"/>
  <c r="K8" i="123"/>
  <c r="J44" i="127"/>
  <c r="J46" i="127" s="1"/>
  <c r="J32" i="141"/>
  <c r="I346" i="342"/>
  <c r="L8" i="123"/>
  <c r="K44" i="127"/>
  <c r="K46" i="127" s="1"/>
  <c r="K32" i="141"/>
  <c r="J346" i="342"/>
  <c r="M8" i="123"/>
  <c r="L44" i="127"/>
  <c r="L46" i="127" s="1"/>
  <c r="L32" i="141"/>
  <c r="K346" i="342"/>
  <c r="C42" i="129"/>
  <c r="C55" i="129" s="1"/>
  <c r="C5" i="88"/>
  <c r="D119" i="123" s="1"/>
  <c r="D25" i="129"/>
  <c r="E42" i="129"/>
  <c r="E55" i="129" s="1"/>
  <c r="E5" i="88"/>
  <c r="F119" i="123" s="1"/>
  <c r="F42" i="129"/>
  <c r="F55" i="129" s="1"/>
  <c r="F5" i="88"/>
  <c r="G119" i="123" s="1"/>
  <c r="H42" i="129"/>
  <c r="H55" i="129" s="1"/>
  <c r="H5" i="88"/>
  <c r="I119" i="123" s="1"/>
  <c r="G14" i="88"/>
  <c r="G13" i="88"/>
  <c r="G25" i="129"/>
  <c r="I42" i="129"/>
  <c r="I55" i="129" s="1"/>
  <c r="I5" i="88"/>
  <c r="J119" i="123" s="1"/>
  <c r="J42" i="129"/>
  <c r="J55" i="129" s="1"/>
  <c r="J5" i="88"/>
  <c r="K119" i="123" s="1"/>
  <c r="K42" i="129"/>
  <c r="K55" i="129" s="1"/>
  <c r="K5" i="88"/>
  <c r="L119" i="123" s="1"/>
  <c r="L42" i="129"/>
  <c r="L55" i="129" s="1"/>
  <c r="L5" i="88"/>
  <c r="M119" i="123" s="1"/>
  <c r="F39" i="233"/>
  <c r="F45" i="233" s="1"/>
  <c r="E45" i="233" s="1"/>
  <c r="G45" i="233"/>
  <c r="G101" i="123"/>
  <c r="I39" i="233"/>
  <c r="I45" i="233" s="1"/>
  <c r="D78" i="338"/>
  <c r="D15" i="338"/>
  <c r="D14" i="338" s="1"/>
  <c r="D11" i="338" s="1"/>
  <c r="E78" i="338"/>
  <c r="E15" i="338"/>
  <c r="E14" i="338" s="1"/>
  <c r="E11" i="338" s="1"/>
  <c r="E36" i="123"/>
  <c r="E9" i="123" s="1"/>
  <c r="F78" i="338"/>
  <c r="F15" i="338"/>
  <c r="F14" i="338" s="1"/>
  <c r="F11" i="338" s="1"/>
  <c r="F36" i="123"/>
  <c r="F9" i="123" s="1"/>
  <c r="G78" i="338"/>
  <c r="G15" i="338"/>
  <c r="G14" i="338" s="1"/>
  <c r="G11" i="338" s="1"/>
  <c r="G36" i="123"/>
  <c r="G9" i="123" s="1"/>
  <c r="H78" i="338"/>
  <c r="H15" i="338"/>
  <c r="H14" i="338" s="1"/>
  <c r="H11" i="338" s="1"/>
  <c r="H36" i="123"/>
  <c r="H9" i="123" s="1"/>
  <c r="I78" i="338"/>
  <c r="I15" i="338"/>
  <c r="I14" i="338" s="1"/>
  <c r="I11" i="338" s="1"/>
  <c r="I36" i="123"/>
  <c r="I9" i="123" s="1"/>
  <c r="J78" i="338"/>
  <c r="J15" i="338"/>
  <c r="J14" i="338" s="1"/>
  <c r="J11" i="338" s="1"/>
  <c r="J36" i="123"/>
  <c r="J9" i="123" s="1"/>
  <c r="K78" i="338"/>
  <c r="K15" i="338"/>
  <c r="K14" i="338" s="1"/>
  <c r="K11" i="338" s="1"/>
  <c r="K36" i="123"/>
  <c r="K9" i="123" s="1"/>
  <c r="L78" i="338"/>
  <c r="L15" i="338"/>
  <c r="L14" i="338" s="1"/>
  <c r="L11" i="338" s="1"/>
  <c r="P38" i="137"/>
  <c r="L36" i="123"/>
  <c r="L9" i="123" s="1"/>
  <c r="M78" i="338"/>
  <c r="M15" i="338"/>
  <c r="M14" i="338" s="1"/>
  <c r="M11" i="338" s="1"/>
  <c r="M36" i="123"/>
  <c r="M9" i="123" s="1"/>
  <c r="N40" i="299"/>
  <c r="N45" i="299" s="1"/>
  <c r="O40" i="299"/>
  <c r="O45" i="299" s="1"/>
  <c r="H19" i="237"/>
  <c r="I124" i="123" s="1"/>
  <c r="E83" i="351"/>
  <c r="E79" i="351" s="1"/>
  <c r="A83" i="351"/>
  <c r="A82" i="351"/>
  <c r="A81" i="351"/>
  <c r="A80" i="351"/>
  <c r="K79" i="351"/>
  <c r="J79" i="351"/>
  <c r="I79" i="351"/>
  <c r="H79" i="351"/>
  <c r="H74" i="351" s="1"/>
  <c r="H140" i="351" s="1"/>
  <c r="H150" i="351" s="1"/>
  <c r="G79" i="351"/>
  <c r="F79" i="351"/>
  <c r="D79" i="351"/>
  <c r="D74" i="351" s="1"/>
  <c r="C74" i="351" s="1"/>
  <c r="C140" i="351" s="1"/>
  <c r="C79" i="351"/>
  <c r="A79" i="351"/>
  <c r="A78" i="351"/>
  <c r="A77" i="351"/>
  <c r="A76" i="351"/>
  <c r="K75" i="351"/>
  <c r="J75" i="351"/>
  <c r="J74" i="351" s="1"/>
  <c r="J140" i="351" s="1"/>
  <c r="J150" i="351" s="1"/>
  <c r="I75" i="351"/>
  <c r="I74" i="351" s="1"/>
  <c r="I140" i="351" s="1"/>
  <c r="I150" i="351" s="1"/>
  <c r="H75" i="351"/>
  <c r="G75" i="351"/>
  <c r="F75" i="351"/>
  <c r="F74" i="351" s="1"/>
  <c r="F140" i="351" s="1"/>
  <c r="F150" i="351" s="1"/>
  <c r="E75" i="351"/>
  <c r="E74" i="351" s="1"/>
  <c r="E140" i="351" s="1"/>
  <c r="D75" i="351"/>
  <c r="C75" i="351"/>
  <c r="A75" i="351"/>
  <c r="K74" i="351"/>
  <c r="K140" i="351" s="1"/>
  <c r="K150" i="351" s="1"/>
  <c r="G74" i="351"/>
  <c r="G140" i="351" s="1"/>
  <c r="G150" i="351" s="1"/>
  <c r="A74" i="351"/>
  <c r="A71" i="351"/>
  <c r="K65" i="351"/>
  <c r="J65" i="351"/>
  <c r="I65" i="351"/>
  <c r="H65" i="351"/>
  <c r="G65" i="351"/>
  <c r="F65" i="351"/>
  <c r="E65" i="351"/>
  <c r="D65" i="351"/>
  <c r="C65" i="351"/>
  <c r="K63" i="351"/>
  <c r="J63" i="351"/>
  <c r="I63" i="351"/>
  <c r="H63" i="351"/>
  <c r="G63" i="351"/>
  <c r="F63" i="351"/>
  <c r="E63" i="351"/>
  <c r="D63" i="351"/>
  <c r="C63" i="351"/>
  <c r="K59" i="351"/>
  <c r="J59" i="351"/>
  <c r="I59" i="351"/>
  <c r="H59" i="351"/>
  <c r="G59" i="351"/>
  <c r="F59" i="351"/>
  <c r="E59" i="351"/>
  <c r="D59" i="351"/>
  <c r="C59" i="351"/>
  <c r="C52" i="351" s="1"/>
  <c r="K56" i="351"/>
  <c r="J56" i="351"/>
  <c r="I56" i="351"/>
  <c r="H56" i="351"/>
  <c r="H52" i="351" s="1"/>
  <c r="G56" i="351"/>
  <c r="F56" i="351"/>
  <c r="E56" i="351"/>
  <c r="D56" i="351"/>
  <c r="C56" i="351"/>
  <c r="K53" i="351"/>
  <c r="K52" i="351" s="1"/>
  <c r="J53" i="351"/>
  <c r="I53" i="351"/>
  <c r="I52" i="351" s="1"/>
  <c r="H53" i="351"/>
  <c r="G53" i="351"/>
  <c r="G52" i="351" s="1"/>
  <c r="F53" i="351"/>
  <c r="E53" i="351"/>
  <c r="E52" i="351" s="1"/>
  <c r="D52" i="351" s="1"/>
  <c r="D53" i="351"/>
  <c r="C53" i="351"/>
  <c r="J52" i="351"/>
  <c r="F52" i="351"/>
  <c r="K48" i="351"/>
  <c r="J48" i="351"/>
  <c r="J37" i="351" s="1"/>
  <c r="I48" i="351"/>
  <c r="H48" i="351"/>
  <c r="G48" i="351"/>
  <c r="F48" i="351"/>
  <c r="F37" i="351" s="1"/>
  <c r="E48" i="351"/>
  <c r="D48" i="351"/>
  <c r="C48" i="351"/>
  <c r="K42" i="351"/>
  <c r="K37" i="351" s="1"/>
  <c r="J42" i="351"/>
  <c r="I42" i="351"/>
  <c r="H42" i="351"/>
  <c r="G42" i="351"/>
  <c r="G37" i="351" s="1"/>
  <c r="F42" i="351"/>
  <c r="E42" i="351"/>
  <c r="D42" i="351"/>
  <c r="C42" i="351"/>
  <c r="C37" i="351" s="1"/>
  <c r="K38" i="351"/>
  <c r="J38" i="351"/>
  <c r="I38" i="351"/>
  <c r="H38" i="351"/>
  <c r="H37" i="351" s="1"/>
  <c r="G38" i="351"/>
  <c r="F38" i="351"/>
  <c r="E38" i="351"/>
  <c r="D38" i="351"/>
  <c r="C38" i="351"/>
  <c r="I37" i="351"/>
  <c r="E37" i="351"/>
  <c r="D37" i="351" s="1"/>
  <c r="K33" i="351"/>
  <c r="J33" i="351"/>
  <c r="I33" i="351"/>
  <c r="I15" i="351" s="1"/>
  <c r="H33" i="351"/>
  <c r="G33" i="351"/>
  <c r="F33" i="351"/>
  <c r="E33" i="351"/>
  <c r="E15" i="351" s="1"/>
  <c r="D33" i="351"/>
  <c r="C33" i="351"/>
  <c r="K26" i="351"/>
  <c r="J26" i="351"/>
  <c r="J15" i="351" s="1"/>
  <c r="I26" i="351"/>
  <c r="H26" i="351"/>
  <c r="G26" i="351"/>
  <c r="F26" i="351"/>
  <c r="F15" i="351" s="1"/>
  <c r="E26" i="351"/>
  <c r="D26" i="351"/>
  <c r="C26" i="351"/>
  <c r="K16" i="351"/>
  <c r="K15" i="351" s="1"/>
  <c r="J16" i="351"/>
  <c r="I16" i="351"/>
  <c r="H16" i="351"/>
  <c r="G16" i="351"/>
  <c r="G15" i="351" s="1"/>
  <c r="F16" i="351"/>
  <c r="E16" i="351"/>
  <c r="D16" i="351"/>
  <c r="C16" i="351"/>
  <c r="H15" i="351"/>
  <c r="D15" i="351"/>
  <c r="C15" i="351" s="1"/>
  <c r="K40" i="299" l="1"/>
  <c r="J40" i="299" s="1"/>
  <c r="G40" i="299"/>
  <c r="G45" i="299" s="1"/>
  <c r="J38" i="137"/>
  <c r="J42" i="137" s="1"/>
  <c r="N20" i="140"/>
  <c r="N39" i="140" s="1"/>
  <c r="M40" i="299"/>
  <c r="M45" i="299" s="1"/>
  <c r="I40" i="299"/>
  <c r="I45" i="299" s="1"/>
  <c r="H45" i="299" s="1"/>
  <c r="E40" i="299"/>
  <c r="E45" i="299" s="1"/>
  <c r="D38" i="137"/>
  <c r="D42" i="137" s="1"/>
  <c r="K45" i="299"/>
  <c r="J45" i="299" s="1"/>
  <c r="F38" i="137"/>
  <c r="G42" i="137"/>
  <c r="D46" i="137"/>
  <c r="J46" i="137"/>
  <c r="D140" i="351"/>
  <c r="D150" i="351" s="1"/>
  <c r="C150" i="351" s="1"/>
  <c r="E150" i="351"/>
  <c r="F5" i="123"/>
  <c r="E5" i="237"/>
  <c r="E6" i="237" s="1"/>
  <c r="E8" i="237" s="1"/>
  <c r="E34" i="88"/>
  <c r="F7" i="123" s="1"/>
  <c r="F117" i="123" s="1"/>
  <c r="M5" i="123"/>
  <c r="L5" i="237"/>
  <c r="L6" i="237" s="1"/>
  <c r="L8" i="237" s="1"/>
  <c r="M6" i="123" s="1"/>
  <c r="L34" i="88"/>
  <c r="M7" i="123" s="1"/>
  <c r="M117" i="123" s="1"/>
  <c r="O38" i="137"/>
  <c r="P42" i="137"/>
  <c r="G42" i="129"/>
  <c r="G5" i="88"/>
  <c r="D42" i="129"/>
  <c r="D55" i="129" s="1"/>
  <c r="D5" i="88"/>
  <c r="E119" i="123" s="1"/>
  <c r="L57" i="128"/>
  <c r="L62" i="128" s="1"/>
  <c r="L73" i="128" s="1"/>
  <c r="L84" i="128" s="1"/>
  <c r="R45" i="246"/>
  <c r="L58" i="127"/>
  <c r="L48" i="127"/>
  <c r="K57" i="128"/>
  <c r="K62" i="128" s="1"/>
  <c r="K73" i="128" s="1"/>
  <c r="K84" i="128" s="1"/>
  <c r="K58" i="127"/>
  <c r="K48" i="127"/>
  <c r="P48" i="299" s="1"/>
  <c r="J57" i="128"/>
  <c r="J62" i="128" s="1"/>
  <c r="J73" i="128" s="1"/>
  <c r="J84" i="128" s="1"/>
  <c r="J58" i="127"/>
  <c r="J48" i="127"/>
  <c r="O48" i="299" s="1"/>
  <c r="I57" i="128"/>
  <c r="I62" i="128" s="1"/>
  <c r="I73" i="128" s="1"/>
  <c r="I84" i="128" s="1"/>
  <c r="I58" i="127"/>
  <c r="I48" i="127"/>
  <c r="H57" i="128"/>
  <c r="H62" i="128" s="1"/>
  <c r="H73" i="128" s="1"/>
  <c r="H84" i="128" s="1"/>
  <c r="H58" i="127"/>
  <c r="H48" i="127"/>
  <c r="G57" i="128"/>
  <c r="G62" i="128" s="1"/>
  <c r="G73" i="128" s="1"/>
  <c r="G84" i="128" s="1"/>
  <c r="G58" i="127"/>
  <c r="G48" i="127"/>
  <c r="F57" i="128"/>
  <c r="F62" i="128" s="1"/>
  <c r="F73" i="128" s="1"/>
  <c r="F84" i="128" s="1"/>
  <c r="F58" i="127"/>
  <c r="F48" i="127"/>
  <c r="E57" i="128"/>
  <c r="E62" i="128" s="1"/>
  <c r="E73" i="128" s="1"/>
  <c r="E84" i="128" s="1"/>
  <c r="E58" i="127"/>
  <c r="E48" i="127"/>
  <c r="D57" i="128"/>
  <c r="D62" i="128" s="1"/>
  <c r="D73" i="128" s="1"/>
  <c r="D84" i="128" s="1"/>
  <c r="D58" i="127"/>
  <c r="D48" i="127"/>
  <c r="C57" i="128"/>
  <c r="C62" i="128" s="1"/>
  <c r="C73" i="128" s="1"/>
  <c r="C84" i="128" s="1"/>
  <c r="C58" i="127"/>
  <c r="C48" i="127"/>
  <c r="L6" i="123"/>
  <c r="K19" i="237"/>
  <c r="L124" i="123" s="1"/>
  <c r="K6" i="123"/>
  <c r="J19" i="237"/>
  <c r="K124" i="123" s="1"/>
  <c r="J6" i="123"/>
  <c r="I19" i="237"/>
  <c r="J124" i="123" s="1"/>
  <c r="F6" i="123"/>
  <c r="E19" i="237"/>
  <c r="F124" i="123" s="1"/>
  <c r="D6" i="123"/>
  <c r="C19" i="237"/>
  <c r="D124" i="123" s="1"/>
  <c r="E6" i="123"/>
  <c r="D19" i="237"/>
  <c r="E124" i="123" s="1"/>
  <c r="G66" i="338"/>
  <c r="H68" i="338"/>
  <c r="D69" i="248"/>
  <c r="F17" i="123"/>
  <c r="E84" i="248"/>
  <c r="E85" i="248"/>
  <c r="F102" i="123" s="1"/>
  <c r="E80" i="248"/>
  <c r="H6" i="123"/>
  <c r="G19" i="237"/>
  <c r="H124" i="123" s="1"/>
  <c r="G6" i="123"/>
  <c r="F19" i="237"/>
  <c r="G124" i="123" s="1"/>
  <c r="F101" i="123"/>
  <c r="H119" i="123"/>
  <c r="G55" i="129"/>
  <c r="N22" i="137"/>
  <c r="H14" i="351"/>
  <c r="H10" i="351" s="1"/>
  <c r="G14" i="351"/>
  <c r="E14" i="351"/>
  <c r="E10" i="351" s="1"/>
  <c r="E8" i="133" s="1"/>
  <c r="K10" i="351"/>
  <c r="K5" i="351" s="1"/>
  <c r="K71" i="351" s="1"/>
  <c r="J10" i="351"/>
  <c r="J5" i="351" s="1"/>
  <c r="J71" i="351" s="1"/>
  <c r="I10" i="351"/>
  <c r="G10" i="351"/>
  <c r="G5" i="351" s="1"/>
  <c r="F10" i="351"/>
  <c r="D10" i="351"/>
  <c r="C10" i="351"/>
  <c r="K6" i="351"/>
  <c r="J6" i="351"/>
  <c r="I6" i="351"/>
  <c r="H6" i="351"/>
  <c r="G6" i="351"/>
  <c r="F6" i="351"/>
  <c r="E6" i="351"/>
  <c r="E5" i="351" s="1"/>
  <c r="C6" i="351"/>
  <c r="I5" i="351"/>
  <c r="I71" i="351" s="1"/>
  <c r="H3" i="351"/>
  <c r="G3" i="351"/>
  <c r="F3" i="351"/>
  <c r="E3" i="351"/>
  <c r="D3" i="351"/>
  <c r="C3" i="351"/>
  <c r="B2" i="351"/>
  <c r="A2" i="351"/>
  <c r="A50" i="133"/>
  <c r="A49" i="133"/>
  <c r="A48" i="133"/>
  <c r="A48" i="298" s="1"/>
  <c r="K47" i="133"/>
  <c r="Q47" i="298" s="1"/>
  <c r="J47" i="133"/>
  <c r="P47" i="298" s="1"/>
  <c r="I47" i="133"/>
  <c r="O47" i="298" s="1"/>
  <c r="H47" i="133"/>
  <c r="G47" i="133"/>
  <c r="F47" i="133"/>
  <c r="E47" i="133"/>
  <c r="D47" i="133"/>
  <c r="C47" i="133"/>
  <c r="A47" i="133"/>
  <c r="A47" i="298" s="1"/>
  <c r="K46" i="133"/>
  <c r="Q46" i="298" s="1"/>
  <c r="J46" i="133"/>
  <c r="P46" i="298" s="1"/>
  <c r="I46" i="133"/>
  <c r="O46" i="298" s="1"/>
  <c r="H46" i="133"/>
  <c r="G46" i="133"/>
  <c r="F46" i="133"/>
  <c r="E46" i="133"/>
  <c r="D46" i="133"/>
  <c r="C46" i="133"/>
  <c r="A46" i="133"/>
  <c r="A46" i="298" s="1"/>
  <c r="K45" i="133"/>
  <c r="Q45" i="298" s="1"/>
  <c r="J45" i="133"/>
  <c r="P45" i="298" s="1"/>
  <c r="I45" i="133"/>
  <c r="O45" i="298" s="1"/>
  <c r="H45" i="133"/>
  <c r="G45" i="133"/>
  <c r="F45" i="133"/>
  <c r="E45" i="133"/>
  <c r="D45" i="133"/>
  <c r="C45" i="133"/>
  <c r="A45" i="133"/>
  <c r="A45" i="298" s="1"/>
  <c r="K44" i="133"/>
  <c r="Q44" i="298" s="1"/>
  <c r="J44" i="133"/>
  <c r="P44" i="298" s="1"/>
  <c r="I44" i="133"/>
  <c r="O44" i="298" s="1"/>
  <c r="H44" i="133"/>
  <c r="G44" i="133"/>
  <c r="F44" i="133"/>
  <c r="E44" i="133"/>
  <c r="D44" i="133"/>
  <c r="C44" i="133"/>
  <c r="A44" i="133"/>
  <c r="A44" i="298" s="1"/>
  <c r="K43" i="133"/>
  <c r="Q43" i="298" s="1"/>
  <c r="J43" i="133"/>
  <c r="P43" i="298" s="1"/>
  <c r="I43" i="133"/>
  <c r="O43" i="298" s="1"/>
  <c r="H43" i="133"/>
  <c r="G43" i="133"/>
  <c r="F43" i="133"/>
  <c r="E43" i="133"/>
  <c r="E42" i="133" s="1"/>
  <c r="D43" i="133"/>
  <c r="C43" i="133"/>
  <c r="A43" i="133"/>
  <c r="A43" i="298" s="1"/>
  <c r="K42" i="133"/>
  <c r="Q42" i="298" s="1"/>
  <c r="J42" i="133"/>
  <c r="P42" i="298" s="1"/>
  <c r="H42" i="133"/>
  <c r="G42" i="133"/>
  <c r="F42" i="133"/>
  <c r="D42" i="133"/>
  <c r="C42" i="133"/>
  <c r="A42" i="133"/>
  <c r="A42" i="298" s="1"/>
  <c r="K41" i="133"/>
  <c r="Q41" i="298" s="1"/>
  <c r="J41" i="133"/>
  <c r="P41" i="298" s="1"/>
  <c r="I41" i="133"/>
  <c r="O41" i="298" s="1"/>
  <c r="H41" i="133"/>
  <c r="G41" i="133"/>
  <c r="F41" i="133"/>
  <c r="E41" i="133"/>
  <c r="D41" i="133"/>
  <c r="C41" i="133"/>
  <c r="A41" i="133"/>
  <c r="A41" i="298" s="1"/>
  <c r="K40" i="133"/>
  <c r="Q40" i="298" s="1"/>
  <c r="J40" i="133"/>
  <c r="P40" i="298" s="1"/>
  <c r="I40" i="133"/>
  <c r="O40" i="298" s="1"/>
  <c r="H40" i="133"/>
  <c r="G40" i="133"/>
  <c r="F40" i="133"/>
  <c r="E40" i="133"/>
  <c r="D40" i="133"/>
  <c r="C40" i="133"/>
  <c r="A40" i="133"/>
  <c r="A40" i="298" s="1"/>
  <c r="K39" i="133"/>
  <c r="Q39" i="298" s="1"/>
  <c r="J39" i="133"/>
  <c r="P39" i="298" s="1"/>
  <c r="I39" i="133"/>
  <c r="O39" i="298" s="1"/>
  <c r="H39" i="133"/>
  <c r="H38" i="133" s="1"/>
  <c r="G39" i="133"/>
  <c r="F39" i="133"/>
  <c r="E39" i="133"/>
  <c r="E38" i="133" s="1"/>
  <c r="D39" i="133"/>
  <c r="D38" i="133" s="1"/>
  <c r="C39" i="133"/>
  <c r="A39" i="133"/>
  <c r="A39" i="298" s="1"/>
  <c r="K38" i="133"/>
  <c r="Q38" i="298" s="1"/>
  <c r="J38" i="133"/>
  <c r="P38" i="298" s="1"/>
  <c r="G38" i="133"/>
  <c r="F38" i="133"/>
  <c r="C38" i="133"/>
  <c r="A38" i="133"/>
  <c r="A38" i="298" s="1"/>
  <c r="K37" i="133"/>
  <c r="Q37" i="298" s="1"/>
  <c r="J37" i="133"/>
  <c r="P37" i="298" s="1"/>
  <c r="I37" i="133"/>
  <c r="O37" i="298" s="1"/>
  <c r="H37" i="133"/>
  <c r="G37" i="133"/>
  <c r="F37" i="133"/>
  <c r="E37" i="133"/>
  <c r="D37" i="133"/>
  <c r="C37" i="133"/>
  <c r="A37" i="133"/>
  <c r="A37" i="298" s="1"/>
  <c r="K36" i="133"/>
  <c r="Q36" i="298" s="1"/>
  <c r="J36" i="133"/>
  <c r="P36" i="298" s="1"/>
  <c r="I36" i="133"/>
  <c r="O36" i="298" s="1"/>
  <c r="H36" i="133"/>
  <c r="G36" i="133"/>
  <c r="F36" i="133"/>
  <c r="E36" i="133"/>
  <c r="D36" i="133"/>
  <c r="C36" i="133"/>
  <c r="A36" i="133"/>
  <c r="A36" i="298" s="1"/>
  <c r="K35" i="133"/>
  <c r="Q35" i="298" s="1"/>
  <c r="J35" i="133"/>
  <c r="P35" i="298" s="1"/>
  <c r="I35" i="133"/>
  <c r="O35" i="298" s="1"/>
  <c r="H35" i="133"/>
  <c r="G35" i="133"/>
  <c r="F35" i="133"/>
  <c r="E35" i="133"/>
  <c r="D35" i="133"/>
  <c r="C35" i="133"/>
  <c r="A35" i="133"/>
  <c r="A35" i="298" s="1"/>
  <c r="K34" i="133"/>
  <c r="Q34" i="298" s="1"/>
  <c r="J34" i="133"/>
  <c r="P34" i="298" s="1"/>
  <c r="I34" i="133"/>
  <c r="O34" i="298" s="1"/>
  <c r="H34" i="133"/>
  <c r="G34" i="133"/>
  <c r="F34" i="133"/>
  <c r="E34" i="133"/>
  <c r="D34" i="133"/>
  <c r="C34" i="133"/>
  <c r="A34" i="133"/>
  <c r="A34" i="298" s="1"/>
  <c r="K33" i="133"/>
  <c r="Q33" i="298" s="1"/>
  <c r="J33" i="133"/>
  <c r="P33" i="298" s="1"/>
  <c r="I33" i="133"/>
  <c r="O33" i="298" s="1"/>
  <c r="H33" i="133"/>
  <c r="H32" i="133" s="1"/>
  <c r="G33" i="133"/>
  <c r="F33" i="133"/>
  <c r="E33" i="133"/>
  <c r="E32" i="133" s="1"/>
  <c r="D33" i="133"/>
  <c r="D32" i="133" s="1"/>
  <c r="C33" i="133"/>
  <c r="A33" i="133"/>
  <c r="A33" i="298" s="1"/>
  <c r="K32" i="133"/>
  <c r="Q32" i="298" s="1"/>
  <c r="J32" i="133"/>
  <c r="P32" i="298" s="1"/>
  <c r="G32" i="133"/>
  <c r="F32" i="133"/>
  <c r="C32" i="133"/>
  <c r="A32" i="133"/>
  <c r="A32" i="298" s="1"/>
  <c r="K31" i="133"/>
  <c r="Q31" i="298" s="1"/>
  <c r="J31" i="133"/>
  <c r="P31" i="298" s="1"/>
  <c r="I31" i="133"/>
  <c r="O31" i="298" s="1"/>
  <c r="H31" i="133"/>
  <c r="G31" i="133"/>
  <c r="F31" i="133"/>
  <c r="E31" i="133"/>
  <c r="D31" i="133"/>
  <c r="C31" i="133"/>
  <c r="A31" i="133"/>
  <c r="A31" i="298" s="1"/>
  <c r="K30" i="133"/>
  <c r="Q30" i="298" s="1"/>
  <c r="J30" i="133"/>
  <c r="P30" i="298" s="1"/>
  <c r="I30" i="133"/>
  <c r="O30" i="298" s="1"/>
  <c r="H30" i="133"/>
  <c r="G30" i="133"/>
  <c r="F30" i="133"/>
  <c r="E30" i="133"/>
  <c r="D30" i="133"/>
  <c r="C30" i="133"/>
  <c r="A30" i="133"/>
  <c r="A30" i="298" s="1"/>
  <c r="K29" i="133"/>
  <c r="Q29" i="298" s="1"/>
  <c r="J29" i="133"/>
  <c r="P29" i="298" s="1"/>
  <c r="I29" i="133"/>
  <c r="O29" i="298" s="1"/>
  <c r="H29" i="133"/>
  <c r="H28" i="133" s="1"/>
  <c r="G29" i="133"/>
  <c r="F29" i="133"/>
  <c r="F28" i="133" s="1"/>
  <c r="F48" i="133" s="1"/>
  <c r="E29" i="133"/>
  <c r="E28" i="133" s="1"/>
  <c r="D29" i="133"/>
  <c r="C29" i="133"/>
  <c r="A29" i="133"/>
  <c r="A29" i="298" s="1"/>
  <c r="K28" i="133"/>
  <c r="Q28" i="298" s="1"/>
  <c r="Q48" i="298" s="1"/>
  <c r="J28" i="133"/>
  <c r="P28" i="298" s="1"/>
  <c r="P48" i="298" s="1"/>
  <c r="D28" i="133"/>
  <c r="A28" i="133"/>
  <c r="A28" i="298" s="1"/>
  <c r="A25" i="133"/>
  <c r="A25" i="298" s="1"/>
  <c r="K24" i="133"/>
  <c r="Q24" i="298" s="1"/>
  <c r="J24" i="133"/>
  <c r="P24" i="298" s="1"/>
  <c r="I24" i="133"/>
  <c r="O24" i="298" s="1"/>
  <c r="H24" i="133"/>
  <c r="G24" i="133"/>
  <c r="F24" i="133"/>
  <c r="E24" i="133"/>
  <c r="D24" i="133"/>
  <c r="C24" i="133"/>
  <c r="K23" i="133"/>
  <c r="Q23" i="298" s="1"/>
  <c r="J23" i="133"/>
  <c r="P23" i="298" s="1"/>
  <c r="I23" i="133"/>
  <c r="O23" i="298" s="1"/>
  <c r="H23" i="133"/>
  <c r="G23" i="133"/>
  <c r="F23" i="133"/>
  <c r="E23" i="133"/>
  <c r="D23" i="133"/>
  <c r="C23" i="133"/>
  <c r="K22" i="133"/>
  <c r="Q22" i="298" s="1"/>
  <c r="J22" i="133"/>
  <c r="P22" i="298" s="1"/>
  <c r="I22" i="133"/>
  <c r="O22" i="298" s="1"/>
  <c r="H22" i="133"/>
  <c r="G22" i="133"/>
  <c r="F22" i="133"/>
  <c r="E22" i="133"/>
  <c r="D22" i="133"/>
  <c r="C22" i="133"/>
  <c r="K21" i="133"/>
  <c r="Q21" i="298" s="1"/>
  <c r="J21" i="133"/>
  <c r="P21" i="298" s="1"/>
  <c r="I21" i="133"/>
  <c r="O21" i="298" s="1"/>
  <c r="H21" i="133"/>
  <c r="G21" i="133"/>
  <c r="F21" i="133"/>
  <c r="E21" i="133"/>
  <c r="D21" i="133"/>
  <c r="C21" i="133"/>
  <c r="K20" i="133"/>
  <c r="Q20" i="298" s="1"/>
  <c r="J20" i="133"/>
  <c r="P20" i="298" s="1"/>
  <c r="I20" i="133"/>
  <c r="O20" i="298" s="1"/>
  <c r="H20" i="133"/>
  <c r="H19" i="133" s="1"/>
  <c r="G20" i="133"/>
  <c r="F20" i="133"/>
  <c r="F19" i="133" s="1"/>
  <c r="E20" i="133"/>
  <c r="D20" i="133"/>
  <c r="D19" i="133" s="1"/>
  <c r="C20" i="133"/>
  <c r="J19" i="133"/>
  <c r="P19" i="298" s="1"/>
  <c r="K18" i="133"/>
  <c r="Q18" i="298" s="1"/>
  <c r="J18" i="133"/>
  <c r="P18" i="298" s="1"/>
  <c r="I18" i="133"/>
  <c r="O18" i="298" s="1"/>
  <c r="N18" i="298" s="1"/>
  <c r="H18" i="133"/>
  <c r="G18" i="133"/>
  <c r="F18" i="133"/>
  <c r="E18" i="133"/>
  <c r="D18" i="133"/>
  <c r="C18" i="133"/>
  <c r="K17" i="133"/>
  <c r="Q17" i="298" s="1"/>
  <c r="J17" i="133"/>
  <c r="P17" i="298" s="1"/>
  <c r="I17" i="133"/>
  <c r="O17" i="298" s="1"/>
  <c r="H17" i="133"/>
  <c r="G17" i="133"/>
  <c r="F17" i="133"/>
  <c r="E17" i="133"/>
  <c r="D17" i="133"/>
  <c r="D15" i="133" s="1"/>
  <c r="C17" i="133"/>
  <c r="K16" i="133"/>
  <c r="Q16" i="298" s="1"/>
  <c r="J16" i="133"/>
  <c r="P16" i="298" s="1"/>
  <c r="I16" i="133"/>
  <c r="O16" i="298" s="1"/>
  <c r="H16" i="133"/>
  <c r="G16" i="133"/>
  <c r="F16" i="133"/>
  <c r="F15" i="133" s="1"/>
  <c r="E16" i="133"/>
  <c r="E15" i="133" s="1"/>
  <c r="D16" i="133"/>
  <c r="C16" i="133"/>
  <c r="H15" i="133"/>
  <c r="K14" i="133"/>
  <c r="Q14" i="298" s="1"/>
  <c r="J14" i="133"/>
  <c r="P14" i="298" s="1"/>
  <c r="I14" i="133"/>
  <c r="O14" i="298" s="1"/>
  <c r="H14" i="133"/>
  <c r="G14" i="133"/>
  <c r="F14" i="133"/>
  <c r="E14" i="133"/>
  <c r="D14" i="133"/>
  <c r="C14" i="133"/>
  <c r="K13" i="133"/>
  <c r="Q13" i="298" s="1"/>
  <c r="J13" i="133"/>
  <c r="P13" i="298" s="1"/>
  <c r="I13" i="133"/>
  <c r="O13" i="298" s="1"/>
  <c r="H13" i="133"/>
  <c r="G13" i="133"/>
  <c r="F13" i="133"/>
  <c r="E13" i="133"/>
  <c r="D13" i="133"/>
  <c r="C13" i="133"/>
  <c r="K12" i="133"/>
  <c r="Q12" i="298" s="1"/>
  <c r="J12" i="133"/>
  <c r="P12" i="298" s="1"/>
  <c r="I12" i="133"/>
  <c r="O12" i="298" s="1"/>
  <c r="H12" i="133"/>
  <c r="G12" i="133"/>
  <c r="F12" i="133"/>
  <c r="E12" i="133"/>
  <c r="D12" i="133"/>
  <c r="D9" i="133" s="1"/>
  <c r="C12" i="133"/>
  <c r="K11" i="133"/>
  <c r="Q11" i="298" s="1"/>
  <c r="J11" i="133"/>
  <c r="P11" i="298" s="1"/>
  <c r="I11" i="133"/>
  <c r="O11" i="298" s="1"/>
  <c r="H11" i="133"/>
  <c r="G11" i="133"/>
  <c r="F11" i="133"/>
  <c r="E11" i="133"/>
  <c r="D11" i="133"/>
  <c r="C11" i="133"/>
  <c r="K10" i="133"/>
  <c r="Q10" i="298" s="1"/>
  <c r="J10" i="133"/>
  <c r="P10" i="298" s="1"/>
  <c r="I10" i="133"/>
  <c r="O10" i="298" s="1"/>
  <c r="H10" i="133"/>
  <c r="H9" i="133" s="1"/>
  <c r="G10" i="133"/>
  <c r="F10" i="133"/>
  <c r="F9" i="133" s="1"/>
  <c r="E10" i="133"/>
  <c r="D10" i="133"/>
  <c r="C10" i="133"/>
  <c r="J9" i="133"/>
  <c r="P9" i="298" s="1"/>
  <c r="K8" i="133"/>
  <c r="Q8" i="298" s="1"/>
  <c r="J8" i="133"/>
  <c r="P8" i="298" s="1"/>
  <c r="I8" i="133"/>
  <c r="O8" i="298" s="1"/>
  <c r="G8" i="133"/>
  <c r="F8" i="133"/>
  <c r="D8" i="133"/>
  <c r="C8" i="133"/>
  <c r="K7" i="133"/>
  <c r="Q7" i="298" s="1"/>
  <c r="J7" i="133"/>
  <c r="P7" i="298" s="1"/>
  <c r="I7" i="133"/>
  <c r="O7" i="298" s="1"/>
  <c r="H7" i="133"/>
  <c r="G7" i="133"/>
  <c r="F7" i="133"/>
  <c r="E7" i="133"/>
  <c r="D7" i="133"/>
  <c r="D5" i="133" s="1"/>
  <c r="C7" i="133"/>
  <c r="K6" i="133"/>
  <c r="Q6" i="298" s="1"/>
  <c r="J6" i="133"/>
  <c r="P6" i="298" s="1"/>
  <c r="I6" i="133"/>
  <c r="O6" i="298" s="1"/>
  <c r="H6" i="133"/>
  <c r="G6" i="133"/>
  <c r="F6" i="133"/>
  <c r="E6" i="133"/>
  <c r="D6" i="133"/>
  <c r="C6" i="133"/>
  <c r="F5" i="133"/>
  <c r="H3" i="133"/>
  <c r="G3" i="133"/>
  <c r="F3" i="133"/>
  <c r="E3" i="133"/>
  <c r="D3" i="133"/>
  <c r="C3" i="133"/>
  <c r="B2" i="133"/>
  <c r="A2" i="133"/>
  <c r="K65" i="86"/>
  <c r="J65" i="86"/>
  <c r="I65" i="86"/>
  <c r="H65" i="86"/>
  <c r="G65" i="86"/>
  <c r="F65" i="86"/>
  <c r="E65" i="86"/>
  <c r="D65" i="86"/>
  <c r="C65" i="86"/>
  <c r="B65" i="86"/>
  <c r="A65" i="86"/>
  <c r="K64" i="86"/>
  <c r="J64" i="86"/>
  <c r="I64" i="86"/>
  <c r="H64" i="86"/>
  <c r="G64" i="86"/>
  <c r="F64" i="86"/>
  <c r="E64" i="86"/>
  <c r="D64" i="86"/>
  <c r="C64" i="86"/>
  <c r="B64" i="86"/>
  <c r="A64" i="86"/>
  <c r="K63" i="86"/>
  <c r="J63" i="86"/>
  <c r="I63" i="86"/>
  <c r="H63" i="86"/>
  <c r="G63" i="86"/>
  <c r="F63" i="86"/>
  <c r="E63" i="86"/>
  <c r="D63" i="86"/>
  <c r="C63" i="86"/>
  <c r="B63" i="86"/>
  <c r="A63" i="86"/>
  <c r="K62" i="86"/>
  <c r="J62" i="86"/>
  <c r="I62" i="86"/>
  <c r="H62" i="86"/>
  <c r="G62" i="86"/>
  <c r="F62" i="86"/>
  <c r="E62" i="86"/>
  <c r="D62" i="86"/>
  <c r="C62" i="86"/>
  <c r="B62" i="86"/>
  <c r="A62" i="86"/>
  <c r="K60" i="86"/>
  <c r="J60" i="86"/>
  <c r="I60" i="86"/>
  <c r="H60" i="86"/>
  <c r="G60" i="86"/>
  <c r="F60" i="86"/>
  <c r="E60" i="86"/>
  <c r="D60" i="86"/>
  <c r="C60" i="86"/>
  <c r="B60" i="86"/>
  <c r="K59" i="86"/>
  <c r="J59" i="86"/>
  <c r="I59" i="86"/>
  <c r="H59" i="86"/>
  <c r="G59" i="86"/>
  <c r="F59" i="86"/>
  <c r="E59" i="86"/>
  <c r="D59" i="86"/>
  <c r="C59" i="86"/>
  <c r="B59" i="86"/>
  <c r="K56" i="86"/>
  <c r="J56" i="86"/>
  <c r="I56" i="86"/>
  <c r="H56" i="86"/>
  <c r="G56" i="86"/>
  <c r="F56" i="86"/>
  <c r="E56" i="86"/>
  <c r="D56" i="86"/>
  <c r="C56" i="86"/>
  <c r="K55" i="86"/>
  <c r="M113" i="123" s="1"/>
  <c r="J55" i="86"/>
  <c r="L113" i="123" s="1"/>
  <c r="I55" i="86"/>
  <c r="K113" i="123" s="1"/>
  <c r="H55" i="86"/>
  <c r="J113" i="123" s="1"/>
  <c r="G55" i="86"/>
  <c r="I113" i="123" s="1"/>
  <c r="F55" i="86"/>
  <c r="H113" i="123" s="1"/>
  <c r="E55" i="86"/>
  <c r="G113" i="123" s="1"/>
  <c r="D55" i="86"/>
  <c r="F113" i="123" s="1"/>
  <c r="C55" i="86"/>
  <c r="E113" i="123" s="1"/>
  <c r="B55" i="86"/>
  <c r="D113" i="123" s="1"/>
  <c r="K54" i="86"/>
  <c r="J54" i="86"/>
  <c r="I54" i="86"/>
  <c r="H54" i="86"/>
  <c r="G54" i="86"/>
  <c r="F54" i="86"/>
  <c r="E54" i="86"/>
  <c r="D54" i="86"/>
  <c r="C54" i="86"/>
  <c r="B54" i="86"/>
  <c r="A54" i="86"/>
  <c r="K53" i="86"/>
  <c r="J53" i="86"/>
  <c r="I53" i="86"/>
  <c r="H53" i="86"/>
  <c r="G53" i="86"/>
  <c r="F53" i="86"/>
  <c r="E53" i="86"/>
  <c r="D53" i="86"/>
  <c r="C53" i="86"/>
  <c r="B53" i="86"/>
  <c r="K49" i="86"/>
  <c r="J49" i="86"/>
  <c r="I49" i="86"/>
  <c r="H49" i="86"/>
  <c r="G49" i="86"/>
  <c r="F49" i="86"/>
  <c r="E49" i="86"/>
  <c r="D49" i="86"/>
  <c r="C49" i="86"/>
  <c r="B49" i="86"/>
  <c r="A49" i="86"/>
  <c r="K48" i="86"/>
  <c r="J48" i="86"/>
  <c r="I48" i="86"/>
  <c r="H48" i="86"/>
  <c r="H50" i="86" s="1"/>
  <c r="G48" i="86"/>
  <c r="F48" i="86"/>
  <c r="E48" i="86"/>
  <c r="D48" i="86"/>
  <c r="C48" i="86"/>
  <c r="B48" i="86"/>
  <c r="A48" i="86"/>
  <c r="K45" i="86"/>
  <c r="J45" i="86"/>
  <c r="I45" i="86"/>
  <c r="H45" i="86"/>
  <c r="G45" i="86"/>
  <c r="F45" i="86"/>
  <c r="E45" i="86"/>
  <c r="D45" i="86"/>
  <c r="C45" i="86"/>
  <c r="B45" i="86"/>
  <c r="A45" i="86"/>
  <c r="A41" i="301" s="1"/>
  <c r="K44" i="86"/>
  <c r="J44" i="86"/>
  <c r="I44" i="86"/>
  <c r="H44" i="86"/>
  <c r="G44" i="86"/>
  <c r="F44" i="86"/>
  <c r="E44" i="86"/>
  <c r="D44" i="86"/>
  <c r="C44" i="86"/>
  <c r="B44" i="86"/>
  <c r="K43" i="86"/>
  <c r="J43" i="86"/>
  <c r="I43" i="86"/>
  <c r="H43" i="86"/>
  <c r="G43" i="86"/>
  <c r="F43" i="86"/>
  <c r="E43" i="86"/>
  <c r="D43" i="86"/>
  <c r="C43" i="86"/>
  <c r="B43" i="86"/>
  <c r="K42" i="86"/>
  <c r="J42" i="86"/>
  <c r="I42" i="86"/>
  <c r="H42" i="86"/>
  <c r="G42" i="86"/>
  <c r="F42" i="86"/>
  <c r="E42" i="86"/>
  <c r="D42" i="86"/>
  <c r="C42" i="86"/>
  <c r="B42" i="86"/>
  <c r="K39" i="86"/>
  <c r="J39" i="86"/>
  <c r="I39" i="86"/>
  <c r="H39" i="86"/>
  <c r="G39" i="86"/>
  <c r="F39" i="86"/>
  <c r="E39" i="86"/>
  <c r="D39" i="86"/>
  <c r="C39" i="86"/>
  <c r="B39" i="86"/>
  <c r="K38" i="86"/>
  <c r="J38" i="86"/>
  <c r="I38" i="86"/>
  <c r="H38" i="86"/>
  <c r="G38" i="86"/>
  <c r="F38" i="86"/>
  <c r="E38" i="86"/>
  <c r="D38" i="86"/>
  <c r="C38" i="86"/>
  <c r="B38" i="86"/>
  <c r="A38" i="86"/>
  <c r="K37" i="86"/>
  <c r="J37" i="86"/>
  <c r="I37" i="86"/>
  <c r="H37" i="86"/>
  <c r="G37" i="86"/>
  <c r="F37" i="86"/>
  <c r="E37" i="86"/>
  <c r="D37" i="86"/>
  <c r="C37" i="86"/>
  <c r="B37" i="86"/>
  <c r="A37" i="86"/>
  <c r="K36" i="86"/>
  <c r="J36" i="86"/>
  <c r="I36" i="86"/>
  <c r="H36" i="86"/>
  <c r="G36" i="86"/>
  <c r="F36" i="86"/>
  <c r="E36" i="86"/>
  <c r="D36" i="86"/>
  <c r="C36" i="86"/>
  <c r="B36" i="86"/>
  <c r="A36" i="86"/>
  <c r="K35" i="86"/>
  <c r="J35" i="86"/>
  <c r="I35" i="86"/>
  <c r="H35" i="86"/>
  <c r="G35" i="86"/>
  <c r="F35" i="86"/>
  <c r="E35" i="86"/>
  <c r="D35" i="86"/>
  <c r="C35" i="86"/>
  <c r="B35"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E29" i="86"/>
  <c r="D29" i="86"/>
  <c r="C29" i="86"/>
  <c r="B29" i="86"/>
  <c r="A29" i="86"/>
  <c r="K28" i="86"/>
  <c r="J28" i="86"/>
  <c r="I28" i="86"/>
  <c r="H28" i="86"/>
  <c r="G28" i="86"/>
  <c r="F28" i="86"/>
  <c r="E28" i="86"/>
  <c r="D28" i="86"/>
  <c r="C28" i="86"/>
  <c r="E107" i="123" s="1"/>
  <c r="B28" i="86"/>
  <c r="K27" i="86"/>
  <c r="M112" i="123" s="1"/>
  <c r="J27" i="86"/>
  <c r="L112" i="123" s="1"/>
  <c r="I27" i="86"/>
  <c r="K112" i="123" s="1"/>
  <c r="H27" i="86"/>
  <c r="J112" i="123" s="1"/>
  <c r="G27" i="86"/>
  <c r="I112" i="123" s="1"/>
  <c r="F27" i="86"/>
  <c r="H112" i="123" s="1"/>
  <c r="E27" i="86"/>
  <c r="G112" i="123" s="1"/>
  <c r="D27" i="86"/>
  <c r="F112" i="123" s="1"/>
  <c r="C27" i="86"/>
  <c r="E112" i="123" s="1"/>
  <c r="B27" i="86"/>
  <c r="D112" i="123" s="1"/>
  <c r="A24" i="86"/>
  <c r="K23" i="86"/>
  <c r="J23" i="86"/>
  <c r="I23" i="86"/>
  <c r="H23" i="86"/>
  <c r="G23" i="86"/>
  <c r="F23" i="86"/>
  <c r="E23" i="86"/>
  <c r="D23" i="86"/>
  <c r="C23" i="86"/>
  <c r="B23" i="86"/>
  <c r="A23" i="86"/>
  <c r="A22" i="86"/>
  <c r="K21" i="86"/>
  <c r="J21" i="86"/>
  <c r="I21" i="86"/>
  <c r="H21" i="86"/>
  <c r="G21" i="86"/>
  <c r="F21" i="86"/>
  <c r="E21" i="86"/>
  <c r="D21" i="86"/>
  <c r="C21" i="86"/>
  <c r="B21" i="86"/>
  <c r="K20" i="86"/>
  <c r="J20" i="86"/>
  <c r="I20" i="86"/>
  <c r="H20" i="86"/>
  <c r="G20" i="86"/>
  <c r="F20" i="86"/>
  <c r="E20" i="86"/>
  <c r="D20" i="86"/>
  <c r="C20" i="86"/>
  <c r="B20" i="86"/>
  <c r="A20" i="86"/>
  <c r="A19" i="86"/>
  <c r="A18" i="86"/>
  <c r="K17" i="86"/>
  <c r="J17" i="86"/>
  <c r="I17" i="86"/>
  <c r="H17" i="86"/>
  <c r="G17" i="86"/>
  <c r="F17" i="86"/>
  <c r="E17" i="86"/>
  <c r="D17" i="86"/>
  <c r="C17" i="86"/>
  <c r="B17" i="86"/>
  <c r="K16" i="86"/>
  <c r="J16" i="86"/>
  <c r="I16" i="86"/>
  <c r="H16" i="86"/>
  <c r="G16" i="86"/>
  <c r="F16" i="86"/>
  <c r="E16" i="86"/>
  <c r="D16" i="86"/>
  <c r="C16" i="86"/>
  <c r="B16" i="86"/>
  <c r="K15" i="86"/>
  <c r="J15" i="86"/>
  <c r="I15" i="86"/>
  <c r="H15" i="86"/>
  <c r="G15" i="86"/>
  <c r="F15" i="86"/>
  <c r="E15" i="86"/>
  <c r="D15" i="86"/>
  <c r="C15" i="86"/>
  <c r="B15" i="86"/>
  <c r="K14" i="86"/>
  <c r="J14" i="86"/>
  <c r="I14" i="86"/>
  <c r="H14" i="86"/>
  <c r="G14" i="86"/>
  <c r="F14" i="86"/>
  <c r="E14" i="86"/>
  <c r="D14" i="86"/>
  <c r="C14" i="86"/>
  <c r="B14" i="86"/>
  <c r="K13" i="86"/>
  <c r="J13" i="86"/>
  <c r="I13" i="86"/>
  <c r="H13" i="86"/>
  <c r="G13" i="86"/>
  <c r="F13" i="86"/>
  <c r="E13" i="86"/>
  <c r="D13" i="86"/>
  <c r="C13" i="86"/>
  <c r="B13" i="86"/>
  <c r="K12" i="86"/>
  <c r="J12" i="86"/>
  <c r="I12" i="86"/>
  <c r="K100" i="123" s="1"/>
  <c r="H12" i="86"/>
  <c r="G12" i="86"/>
  <c r="F12" i="86"/>
  <c r="E12" i="86"/>
  <c r="G100" i="123" s="1"/>
  <c r="D12" i="86"/>
  <c r="F100" i="123" s="1"/>
  <c r="C12" i="86"/>
  <c r="B12" i="86"/>
  <c r="K11" i="86"/>
  <c r="J11" i="86"/>
  <c r="I11" i="86"/>
  <c r="H11" i="86"/>
  <c r="G11" i="86"/>
  <c r="F11" i="86"/>
  <c r="E11" i="86"/>
  <c r="D11" i="86"/>
  <c r="C11" i="86"/>
  <c r="B11" i="86"/>
  <c r="A10" i="86"/>
  <c r="K9" i="86"/>
  <c r="J9" i="86"/>
  <c r="I9" i="86"/>
  <c r="H9" i="86"/>
  <c r="G9" i="86"/>
  <c r="F9" i="86"/>
  <c r="E9" i="86"/>
  <c r="D9" i="86"/>
  <c r="C9" i="86"/>
  <c r="B9" i="86"/>
  <c r="K8" i="86"/>
  <c r="J8" i="86"/>
  <c r="I8" i="86"/>
  <c r="H8" i="86"/>
  <c r="G8" i="86"/>
  <c r="F8" i="86"/>
  <c r="E8" i="86"/>
  <c r="D8" i="86"/>
  <c r="C8" i="86"/>
  <c r="B8" i="86"/>
  <c r="K7" i="86"/>
  <c r="J7" i="86"/>
  <c r="I7" i="86"/>
  <c r="H7" i="86"/>
  <c r="G7" i="86"/>
  <c r="F7" i="86"/>
  <c r="E7" i="86"/>
  <c r="D7" i="86"/>
  <c r="C7" i="86"/>
  <c r="B7" i="86"/>
  <c r="K6" i="86"/>
  <c r="J6" i="86"/>
  <c r="I6" i="86"/>
  <c r="H6" i="86"/>
  <c r="G6" i="86"/>
  <c r="F6" i="86"/>
  <c r="E6" i="86"/>
  <c r="D6" i="86"/>
  <c r="C6" i="86"/>
  <c r="B6" i="86"/>
  <c r="K5" i="86"/>
  <c r="J5" i="86"/>
  <c r="I5" i="86"/>
  <c r="H5" i="86"/>
  <c r="G5" i="86"/>
  <c r="F5" i="86"/>
  <c r="E5" i="86"/>
  <c r="D5" i="86"/>
  <c r="C5" i="86"/>
  <c r="B5" i="86"/>
  <c r="B10" i="86" s="1"/>
  <c r="H3" i="86"/>
  <c r="G3" i="86"/>
  <c r="F3" i="86"/>
  <c r="E3" i="86"/>
  <c r="D3" i="86"/>
  <c r="C3" i="86"/>
  <c r="B3" i="86"/>
  <c r="A2" i="86"/>
  <c r="B28" i="344"/>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3" i="100"/>
  <c r="B172" i="100"/>
  <c r="B171" i="100"/>
  <c r="B170" i="100"/>
  <c r="B169" i="100"/>
  <c r="B168" i="100"/>
  <c r="B167" i="100"/>
  <c r="B166" i="100"/>
  <c r="B165" i="100"/>
  <c r="B164" i="100"/>
  <c r="B163" i="100"/>
  <c r="B162" i="100"/>
  <c r="B161" i="100"/>
  <c r="B160" i="100"/>
  <c r="B159" i="100"/>
  <c r="B158" i="100"/>
  <c r="B157" i="100"/>
  <c r="B156" i="100"/>
  <c r="B155" i="100"/>
  <c r="B154" i="100"/>
  <c r="B153" i="100"/>
  <c r="B152" i="100"/>
  <c r="B151" i="100"/>
  <c r="F149" i="100"/>
  <c r="E149" i="100"/>
  <c r="F148" i="100"/>
  <c r="E148" i="100"/>
  <c r="F147" i="100"/>
  <c r="E147" i="100"/>
  <c r="F146" i="100"/>
  <c r="E146" i="100"/>
  <c r="F145" i="100"/>
  <c r="E145" i="100"/>
  <c r="F144" i="100"/>
  <c r="E144" i="100"/>
  <c r="B143" i="100"/>
  <c r="B142" i="100"/>
  <c r="E141" i="100"/>
  <c r="F140" i="100"/>
  <c r="E140" i="100"/>
  <c r="F139" i="100"/>
  <c r="E139" i="100"/>
  <c r="F138" i="100"/>
  <c r="E138" i="100"/>
  <c r="F137" i="100"/>
  <c r="E137" i="100"/>
  <c r="F136" i="100"/>
  <c r="E136" i="100"/>
  <c r="F135" i="100"/>
  <c r="E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81" i="128" s="1"/>
  <c r="E105" i="100"/>
  <c r="F104" i="100"/>
  <c r="E104" i="100"/>
  <c r="F103" i="100"/>
  <c r="E103" i="100"/>
  <c r="F102" i="100"/>
  <c r="E102" i="100"/>
  <c r="F101" i="100"/>
  <c r="E101" i="100"/>
  <c r="F100" i="100"/>
  <c r="E100" i="100"/>
  <c r="A95" i="100"/>
  <c r="B149" i="100" s="1"/>
  <c r="B93" i="100"/>
  <c r="A1" i="352" s="1"/>
  <c r="X34" i="354"/>
  <c r="B37" i="100" s="1"/>
  <c r="D25" i="133" l="1"/>
  <c r="H5" i="351"/>
  <c r="H71" i="351" s="1"/>
  <c r="H149" i="351" s="1"/>
  <c r="H8" i="133"/>
  <c r="B18" i="86"/>
  <c r="D87" i="123" s="1"/>
  <c r="D131" i="123" s="1"/>
  <c r="E9" i="133"/>
  <c r="E19" i="133"/>
  <c r="I28" i="133"/>
  <c r="O28" i="298" s="1"/>
  <c r="C28" i="133"/>
  <c r="C48" i="133" s="1"/>
  <c r="C58" i="133" s="1"/>
  <c r="I32" i="133"/>
  <c r="O32" i="298" s="1"/>
  <c r="I38" i="133"/>
  <c r="O38" i="298" s="1"/>
  <c r="I42" i="133"/>
  <c r="O42" i="298" s="1"/>
  <c r="E5" i="133"/>
  <c r="D48" i="133"/>
  <c r="F42" i="137"/>
  <c r="I5" i="133"/>
  <c r="O5" i="298" s="1"/>
  <c r="C9" i="133"/>
  <c r="G9" i="133"/>
  <c r="J15" i="133"/>
  <c r="P15" i="298" s="1"/>
  <c r="C19" i="133"/>
  <c r="G19" i="133"/>
  <c r="F50" i="86"/>
  <c r="J50" i="86"/>
  <c r="K5" i="133"/>
  <c r="Q5" i="298" s="1"/>
  <c r="C15" i="133"/>
  <c r="G15" i="133"/>
  <c r="G46" i="137"/>
  <c r="F46" i="137" s="1"/>
  <c r="M6" i="298"/>
  <c r="L6" i="298"/>
  <c r="K6" i="298"/>
  <c r="J6" i="298"/>
  <c r="I6" i="298"/>
  <c r="H6" i="298"/>
  <c r="G6" i="298"/>
  <c r="F6" i="298"/>
  <c r="E6" i="298"/>
  <c r="D6" i="298"/>
  <c r="C6" i="298"/>
  <c r="M7" i="298"/>
  <c r="L7" i="298"/>
  <c r="K7" i="298"/>
  <c r="J7" i="298"/>
  <c r="I7" i="298"/>
  <c r="H7" i="298"/>
  <c r="G7" i="298"/>
  <c r="F7" i="298"/>
  <c r="E7" i="298"/>
  <c r="D7" i="298"/>
  <c r="C7" i="298"/>
  <c r="M8" i="298"/>
  <c r="L8" i="298"/>
  <c r="K8" i="298"/>
  <c r="J8" i="298"/>
  <c r="I8" i="298"/>
  <c r="H8" i="298"/>
  <c r="G8" i="298"/>
  <c r="F8" i="298"/>
  <c r="E8" i="298"/>
  <c r="D8" i="298"/>
  <c r="C8" i="298"/>
  <c r="M10" i="298"/>
  <c r="L10" i="298"/>
  <c r="K10" i="298"/>
  <c r="J10" i="298"/>
  <c r="I10" i="298"/>
  <c r="H10" i="298"/>
  <c r="G10" i="298"/>
  <c r="F10" i="298"/>
  <c r="E10" i="298"/>
  <c r="D10" i="298"/>
  <c r="C10" i="298"/>
  <c r="M11" i="298"/>
  <c r="L11" i="298"/>
  <c r="K11" i="298"/>
  <c r="J11" i="298"/>
  <c r="I11" i="298"/>
  <c r="H11" i="298"/>
  <c r="G11" i="298"/>
  <c r="F11" i="298"/>
  <c r="E11" i="298"/>
  <c r="D11" i="298"/>
  <c r="C11" i="298"/>
  <c r="M12" i="298"/>
  <c r="L12" i="298"/>
  <c r="K12" i="298"/>
  <c r="J12" i="298"/>
  <c r="I12" i="298"/>
  <c r="H12" i="298"/>
  <c r="G12" i="298"/>
  <c r="F12" i="298"/>
  <c r="E12" i="298"/>
  <c r="D12" i="298"/>
  <c r="C12" i="298"/>
  <c r="M13" i="298"/>
  <c r="L13" i="298"/>
  <c r="K13" i="298"/>
  <c r="J13" i="298"/>
  <c r="I13" i="298"/>
  <c r="H13" i="298"/>
  <c r="G13" i="298"/>
  <c r="F13" i="298"/>
  <c r="E13" i="298"/>
  <c r="D13" i="298"/>
  <c r="C13" i="298"/>
  <c r="M14" i="298"/>
  <c r="L14" i="298"/>
  <c r="K14" i="298"/>
  <c r="J14" i="298"/>
  <c r="I14" i="298"/>
  <c r="H14" i="298"/>
  <c r="G14" i="298"/>
  <c r="F14" i="298"/>
  <c r="E14" i="298"/>
  <c r="D14" i="298"/>
  <c r="C14" i="298"/>
  <c r="N14" i="298" s="1"/>
  <c r="M16" i="298"/>
  <c r="L16" i="298"/>
  <c r="K16" i="298"/>
  <c r="J16" i="298"/>
  <c r="I16" i="298"/>
  <c r="H16" i="298"/>
  <c r="G16" i="298"/>
  <c r="F16" i="298"/>
  <c r="E16" i="298"/>
  <c r="D16" i="298"/>
  <c r="C16" i="298"/>
  <c r="M17" i="298"/>
  <c r="L17" i="298"/>
  <c r="K17" i="298"/>
  <c r="J17" i="298"/>
  <c r="I17" i="298"/>
  <c r="H17" i="298"/>
  <c r="G17" i="298"/>
  <c r="F17" i="298"/>
  <c r="E17" i="298"/>
  <c r="D17" i="298"/>
  <c r="C17" i="298"/>
  <c r="M20" i="298"/>
  <c r="L20" i="298"/>
  <c r="K20" i="298"/>
  <c r="J20" i="298"/>
  <c r="I20" i="298"/>
  <c r="H20" i="298"/>
  <c r="G20" i="298"/>
  <c r="F20" i="298"/>
  <c r="E20" i="298"/>
  <c r="D20" i="298"/>
  <c r="C20" i="298"/>
  <c r="M21" i="298"/>
  <c r="L21" i="298"/>
  <c r="K21" i="298"/>
  <c r="J21" i="298"/>
  <c r="I21" i="298"/>
  <c r="H21" i="298"/>
  <c r="G21" i="298"/>
  <c r="F21" i="298"/>
  <c r="E21" i="298"/>
  <c r="D21" i="298"/>
  <c r="C21" i="298"/>
  <c r="N21" i="298" s="1"/>
  <c r="M22" i="298"/>
  <c r="L22" i="298"/>
  <c r="K22" i="298"/>
  <c r="J22" i="298"/>
  <c r="I22" i="298"/>
  <c r="H22" i="298"/>
  <c r="G22" i="298"/>
  <c r="F22" i="298"/>
  <c r="E22" i="298"/>
  <c r="D22" i="298"/>
  <c r="C22" i="298"/>
  <c r="M23" i="298"/>
  <c r="L23" i="298"/>
  <c r="K23" i="298"/>
  <c r="J23" i="298"/>
  <c r="I23" i="298"/>
  <c r="H23" i="298"/>
  <c r="G23" i="298"/>
  <c r="F23" i="298"/>
  <c r="E23" i="298"/>
  <c r="D23" i="298"/>
  <c r="C23" i="298"/>
  <c r="M24" i="298"/>
  <c r="L24" i="298"/>
  <c r="K24" i="298"/>
  <c r="J24" i="298"/>
  <c r="I24" i="298"/>
  <c r="H24" i="298"/>
  <c r="G24" i="298"/>
  <c r="F24" i="298"/>
  <c r="E24" i="298"/>
  <c r="D24" i="298"/>
  <c r="C24" i="298"/>
  <c r="M29" i="298"/>
  <c r="L29" i="298"/>
  <c r="K29" i="298"/>
  <c r="J29" i="298"/>
  <c r="I29" i="298"/>
  <c r="H29" i="298"/>
  <c r="G29" i="298"/>
  <c r="F29" i="298"/>
  <c r="E29" i="298"/>
  <c r="D29" i="298"/>
  <c r="C29" i="298"/>
  <c r="M30" i="298"/>
  <c r="L30" i="298"/>
  <c r="K30" i="298"/>
  <c r="J30" i="298"/>
  <c r="I30" i="298"/>
  <c r="H30" i="298"/>
  <c r="G30" i="298"/>
  <c r="F30" i="298"/>
  <c r="E30" i="298"/>
  <c r="D30" i="298"/>
  <c r="C30" i="298"/>
  <c r="M31" i="298"/>
  <c r="L31" i="298"/>
  <c r="K31" i="298"/>
  <c r="J31" i="298"/>
  <c r="I31" i="298"/>
  <c r="H31" i="298"/>
  <c r="G31" i="298"/>
  <c r="F31" i="298"/>
  <c r="E31" i="298"/>
  <c r="D31" i="298"/>
  <c r="C31" i="298"/>
  <c r="M33" i="298"/>
  <c r="L33" i="298"/>
  <c r="K33" i="298"/>
  <c r="J33" i="298"/>
  <c r="I33" i="298"/>
  <c r="H33" i="298"/>
  <c r="G33" i="298"/>
  <c r="F33" i="298"/>
  <c r="E33" i="298"/>
  <c r="D33" i="298"/>
  <c r="C33" i="298"/>
  <c r="M34" i="298"/>
  <c r="L34" i="298"/>
  <c r="K34" i="298"/>
  <c r="J34" i="298"/>
  <c r="I34" i="298"/>
  <c r="H34" i="298"/>
  <c r="G34" i="298"/>
  <c r="F34" i="298"/>
  <c r="E34" i="298"/>
  <c r="D34" i="298"/>
  <c r="C34" i="298"/>
  <c r="N34" i="298" s="1"/>
  <c r="M35" i="298"/>
  <c r="L35" i="298"/>
  <c r="K35" i="298"/>
  <c r="J35" i="298"/>
  <c r="I35" i="298"/>
  <c r="H35" i="298"/>
  <c r="G35" i="298"/>
  <c r="F35" i="298"/>
  <c r="E35" i="298"/>
  <c r="D35" i="298"/>
  <c r="C35" i="298"/>
  <c r="M36" i="298"/>
  <c r="L36" i="298"/>
  <c r="K36" i="298"/>
  <c r="J36" i="298"/>
  <c r="I36" i="298"/>
  <c r="H36" i="298"/>
  <c r="G36" i="298"/>
  <c r="F36" i="298"/>
  <c r="E36" i="298"/>
  <c r="N36" i="298" s="1"/>
  <c r="D36" i="298"/>
  <c r="C36" i="298"/>
  <c r="M37" i="298"/>
  <c r="L37" i="298"/>
  <c r="K37" i="298"/>
  <c r="J37" i="298"/>
  <c r="I37" i="298"/>
  <c r="H37" i="298"/>
  <c r="G37" i="298"/>
  <c r="F37" i="298"/>
  <c r="E37" i="298"/>
  <c r="D37" i="298"/>
  <c r="N37" i="298" s="1"/>
  <c r="C37" i="298"/>
  <c r="M39" i="298"/>
  <c r="L39" i="298"/>
  <c r="K39" i="298"/>
  <c r="J39" i="298"/>
  <c r="I39" i="298"/>
  <c r="H39" i="298"/>
  <c r="G39" i="298"/>
  <c r="F39" i="298"/>
  <c r="E39" i="298"/>
  <c r="D39" i="298"/>
  <c r="C39" i="298"/>
  <c r="M40" i="298"/>
  <c r="L40" i="298"/>
  <c r="K40" i="298"/>
  <c r="J40" i="298"/>
  <c r="I40" i="298"/>
  <c r="H40" i="298"/>
  <c r="G40" i="298"/>
  <c r="F40" i="298"/>
  <c r="N40" i="298" s="1"/>
  <c r="E40" i="298"/>
  <c r="D40" i="298"/>
  <c r="C40" i="298"/>
  <c r="M43" i="298"/>
  <c r="L43" i="298"/>
  <c r="K43" i="298"/>
  <c r="J43" i="298"/>
  <c r="I43" i="298"/>
  <c r="H43" i="298"/>
  <c r="G43" i="298"/>
  <c r="F43" i="298"/>
  <c r="E43" i="298"/>
  <c r="D43" i="298"/>
  <c r="C43" i="298"/>
  <c r="M44" i="298"/>
  <c r="L44" i="298"/>
  <c r="K44" i="298"/>
  <c r="J44" i="298"/>
  <c r="I44" i="298"/>
  <c r="H44" i="298"/>
  <c r="G44" i="298"/>
  <c r="F44" i="298"/>
  <c r="E44" i="298"/>
  <c r="D44" i="298"/>
  <c r="N44" i="298" s="1"/>
  <c r="C44" i="298"/>
  <c r="M45" i="298"/>
  <c r="L45" i="298"/>
  <c r="K45" i="298"/>
  <c r="J45" i="298"/>
  <c r="I45" i="298"/>
  <c r="H45" i="298"/>
  <c r="G45" i="298"/>
  <c r="F45" i="298"/>
  <c r="E45" i="298"/>
  <c r="D45" i="298"/>
  <c r="C45" i="298"/>
  <c r="N45" i="298" s="1"/>
  <c r="M46" i="298"/>
  <c r="L46" i="298"/>
  <c r="K46" i="298"/>
  <c r="J46" i="298"/>
  <c r="I46" i="298"/>
  <c r="H46" i="298"/>
  <c r="G46" i="298"/>
  <c r="F46" i="298"/>
  <c r="E46" i="298"/>
  <c r="D46" i="298"/>
  <c r="N46" i="298" s="1"/>
  <c r="C46" i="298"/>
  <c r="M47" i="298"/>
  <c r="L47" i="298"/>
  <c r="K47" i="298"/>
  <c r="J47" i="298"/>
  <c r="I47" i="298"/>
  <c r="H47" i="298"/>
  <c r="G47" i="298"/>
  <c r="F47" i="298"/>
  <c r="E47" i="298"/>
  <c r="D47" i="298"/>
  <c r="C47" i="298"/>
  <c r="N35" i="298"/>
  <c r="C41" i="298"/>
  <c r="N41" i="298" s="1"/>
  <c r="N47" i="298"/>
  <c r="G68" i="338"/>
  <c r="A71" i="336"/>
  <c r="A25" i="315"/>
  <c r="A31" i="141"/>
  <c r="A80" i="128"/>
  <c r="D5" i="351"/>
  <c r="C5" i="351" s="1"/>
  <c r="C71" i="351" s="1"/>
  <c r="E71" i="351"/>
  <c r="F5" i="351"/>
  <c r="F71" i="351" s="1"/>
  <c r="G71" i="351"/>
  <c r="X36" i="354"/>
  <c r="B2" i="100"/>
  <c r="B3" i="100"/>
  <c r="B5" i="100"/>
  <c r="B6" i="100"/>
  <c r="B7" i="100"/>
  <c r="B15" i="100"/>
  <c r="B16" i="100"/>
  <c r="B17" i="100"/>
  <c r="B18" i="100"/>
  <c r="B19" i="100"/>
  <c r="B20" i="100"/>
  <c r="B21" i="100"/>
  <c r="B22" i="100"/>
  <c r="B23" i="100"/>
  <c r="B24" i="100"/>
  <c r="B25" i="100"/>
  <c r="B26" i="100"/>
  <c r="B27" i="100"/>
  <c r="B28" i="100"/>
  <c r="B29" i="100"/>
  <c r="B36" i="100"/>
  <c r="H5" i="133"/>
  <c r="G5" i="133" s="1"/>
  <c r="G25" i="133" s="1"/>
  <c r="E25" i="133"/>
  <c r="C50" i="86"/>
  <c r="E50" i="86"/>
  <c r="C5" i="133"/>
  <c r="J5" i="133"/>
  <c r="P5" i="298" s="1"/>
  <c r="P25" i="298" s="1"/>
  <c r="I9" i="133"/>
  <c r="O9" i="298" s="1"/>
  <c r="K9" i="133"/>
  <c r="Q9" i="298" s="1"/>
  <c r="Q25" i="298" s="1"/>
  <c r="Q50" i="298" s="1"/>
  <c r="Q53" i="298" s="1"/>
  <c r="I15" i="133"/>
  <c r="O15" i="298" s="1"/>
  <c r="K15" i="133"/>
  <c r="Q15" i="298" s="1"/>
  <c r="I19" i="133"/>
  <c r="O19" i="298" s="1"/>
  <c r="K19" i="133"/>
  <c r="Q19" i="298" s="1"/>
  <c r="G28" i="133"/>
  <c r="G48" i="133" s="1"/>
  <c r="G50" i="86"/>
  <c r="L19" i="237"/>
  <c r="M124" i="123" s="1"/>
  <c r="K50" i="86"/>
  <c r="B50" i="86"/>
  <c r="D50" i="86"/>
  <c r="I50" i="86"/>
  <c r="K141" i="351"/>
  <c r="K149" i="351"/>
  <c r="J141" i="351"/>
  <c r="J149" i="351"/>
  <c r="I141" i="351"/>
  <c r="H141" i="351" s="1"/>
  <c r="I149" i="351"/>
  <c r="D127" i="123"/>
  <c r="M126" i="123" s="1"/>
  <c r="L126" i="123" s="1"/>
  <c r="D86" i="123"/>
  <c r="B19" i="86"/>
  <c r="B22" i="86" s="1"/>
  <c r="B24" i="86" s="1"/>
  <c r="C25" i="133"/>
  <c r="D57" i="133"/>
  <c r="D49" i="133"/>
  <c r="E57" i="133"/>
  <c r="F25" i="133"/>
  <c r="E48" i="133"/>
  <c r="E58" i="133" s="1"/>
  <c r="D58" i="133" s="1"/>
  <c r="F58" i="133"/>
  <c r="F3" i="338"/>
  <c r="I3" i="256"/>
  <c r="E2" i="349"/>
  <c r="E2" i="350"/>
  <c r="E2" i="134"/>
  <c r="E2" i="301"/>
  <c r="C2" i="148"/>
  <c r="E2" i="146"/>
  <c r="E2" i="305"/>
  <c r="E2" i="316"/>
  <c r="E2" i="249"/>
  <c r="E2" i="136"/>
  <c r="E2" i="144"/>
  <c r="E2" i="142"/>
  <c r="E2" i="337"/>
  <c r="E2" i="336"/>
  <c r="F2" i="123"/>
  <c r="H2" i="235"/>
  <c r="E2" i="88"/>
  <c r="E73" i="147"/>
  <c r="E2" i="147"/>
  <c r="G2" i="314"/>
  <c r="F2" i="315"/>
  <c r="F2" i="141"/>
  <c r="E2" i="128"/>
  <c r="E2" i="255"/>
  <c r="E2" i="253"/>
  <c r="E2" i="248"/>
  <c r="E2" i="237"/>
  <c r="E2" i="131"/>
  <c r="E2" i="129"/>
  <c r="E2" i="343"/>
  <c r="E2" i="126"/>
  <c r="E2" i="127"/>
  <c r="E2" i="342"/>
  <c r="E2" i="233"/>
  <c r="E3" i="338"/>
  <c r="D2" i="349"/>
  <c r="D2" i="350"/>
  <c r="D2" i="134"/>
  <c r="D2" i="301"/>
  <c r="D2" i="146"/>
  <c r="D2" i="305"/>
  <c r="D2" i="316"/>
  <c r="D2" i="249"/>
  <c r="D2" i="136"/>
  <c r="D2" i="144"/>
  <c r="D2" i="142"/>
  <c r="D2" i="337"/>
  <c r="D2" i="336"/>
  <c r="E2" i="123"/>
  <c r="G2" i="235"/>
  <c r="D2" i="88"/>
  <c r="D73" i="147"/>
  <c r="D2" i="147"/>
  <c r="F2" i="314"/>
  <c r="E2" i="315"/>
  <c r="E2" i="141"/>
  <c r="D2" i="128"/>
  <c r="D2" i="255"/>
  <c r="D2" i="253"/>
  <c r="D2" i="248"/>
  <c r="D2" i="237"/>
  <c r="D2" i="131"/>
  <c r="D2" i="129"/>
  <c r="D2" i="343"/>
  <c r="D2" i="126"/>
  <c r="D2" i="127"/>
  <c r="D2" i="342"/>
  <c r="D2" i="233"/>
  <c r="B4" i="100"/>
  <c r="G3" i="338"/>
  <c r="G2" i="296"/>
  <c r="J3" i="256"/>
  <c r="F2" i="349"/>
  <c r="F2" i="350"/>
  <c r="F2" i="134"/>
  <c r="D2" i="139"/>
  <c r="F2" i="301"/>
  <c r="F2" i="148"/>
  <c r="F2" i="146"/>
  <c r="F2" i="305"/>
  <c r="F2" i="316"/>
  <c r="F2" i="249"/>
  <c r="F2" i="136"/>
  <c r="F2" i="144"/>
  <c r="F2" i="142"/>
  <c r="F2" i="337"/>
  <c r="A59" i="335"/>
  <c r="F2" i="336"/>
  <c r="G2" i="123"/>
  <c r="I2" i="235"/>
  <c r="F2" i="88"/>
  <c r="F73" i="147"/>
  <c r="F2" i="147"/>
  <c r="H2" i="314"/>
  <c r="G2" i="315"/>
  <c r="G2" i="141"/>
  <c r="F2" i="128"/>
  <c r="F2" i="255"/>
  <c r="F2" i="253"/>
  <c r="F2" i="248"/>
  <c r="F2" i="237"/>
  <c r="F2" i="131"/>
  <c r="F2" i="129"/>
  <c r="F2" i="343"/>
  <c r="F2" i="126"/>
  <c r="F2" i="127"/>
  <c r="F2" i="342"/>
  <c r="F2" i="233"/>
  <c r="K3" i="338"/>
  <c r="I2" i="296"/>
  <c r="K2" i="256"/>
  <c r="C2" i="294"/>
  <c r="I2" i="349"/>
  <c r="I2" i="350"/>
  <c r="I2" i="134"/>
  <c r="E2" i="139"/>
  <c r="I2" i="301"/>
  <c r="I2" i="146"/>
  <c r="I2" i="305"/>
  <c r="I2" i="316"/>
  <c r="I2" i="249"/>
  <c r="I2" i="136"/>
  <c r="I2" i="144"/>
  <c r="I2" i="142"/>
  <c r="I2" i="337"/>
  <c r="I2" i="336"/>
  <c r="K2" i="123"/>
  <c r="J2" i="235"/>
  <c r="J2" i="88"/>
  <c r="I73" i="147"/>
  <c r="I2" i="147"/>
  <c r="K2" i="314"/>
  <c r="J2" i="315"/>
  <c r="J2" i="141"/>
  <c r="J2" i="128"/>
  <c r="J2" i="255"/>
  <c r="I2" i="253"/>
  <c r="I2" i="248"/>
  <c r="J2" i="237"/>
  <c r="J2" i="131"/>
  <c r="J2" i="129"/>
  <c r="J2" i="343"/>
  <c r="J2" i="126"/>
  <c r="J2" i="127"/>
  <c r="I2" i="342"/>
  <c r="I2" i="233"/>
  <c r="K4" i="338"/>
  <c r="I3" i="296"/>
  <c r="K3" i="256"/>
  <c r="C3" i="294"/>
  <c r="I3" i="349"/>
  <c r="I3" i="350"/>
  <c r="I3" i="134"/>
  <c r="E3" i="139"/>
  <c r="I3" i="301"/>
  <c r="N3" i="95"/>
  <c r="B2" i="95"/>
  <c r="O3" i="300"/>
  <c r="C2" i="300"/>
  <c r="O3" i="140"/>
  <c r="C2" i="140"/>
  <c r="O3" i="298"/>
  <c r="C2" i="298"/>
  <c r="O3" i="299"/>
  <c r="C2" i="299"/>
  <c r="O3" i="137"/>
  <c r="C2" i="137"/>
  <c r="I2" i="148"/>
  <c r="I3" i="146"/>
  <c r="I3" i="305"/>
  <c r="I3" i="316"/>
  <c r="I3" i="249"/>
  <c r="I3" i="136"/>
  <c r="I3" i="144"/>
  <c r="I3" i="142"/>
  <c r="J3" i="337"/>
  <c r="I3" i="337"/>
  <c r="A3" i="335"/>
  <c r="I3" i="336"/>
  <c r="K3" i="123"/>
  <c r="J3" i="88"/>
  <c r="I74" i="147"/>
  <c r="I3" i="147"/>
  <c r="K3" i="314"/>
  <c r="J3" i="315"/>
  <c r="J3" i="141"/>
  <c r="J3" i="128"/>
  <c r="J3" i="255"/>
  <c r="I3" i="253"/>
  <c r="I3" i="248"/>
  <c r="J3" i="237"/>
  <c r="J3" i="131"/>
  <c r="J3" i="129"/>
  <c r="J3" i="343"/>
  <c r="J3" i="126"/>
  <c r="J3" i="127"/>
  <c r="I3" i="342"/>
  <c r="I3" i="233"/>
  <c r="L4" i="338"/>
  <c r="J3" i="296"/>
  <c r="L3" i="256"/>
  <c r="D3" i="294"/>
  <c r="J3" i="349"/>
  <c r="J3" i="350"/>
  <c r="J3" i="134"/>
  <c r="F3" i="139"/>
  <c r="J3" i="301"/>
  <c r="O3" i="95"/>
  <c r="P3" i="300"/>
  <c r="P3" i="140"/>
  <c r="P3" i="298"/>
  <c r="P3" i="299"/>
  <c r="P3" i="137"/>
  <c r="J3" i="146"/>
  <c r="J3" i="305"/>
  <c r="J3" i="316"/>
  <c r="J3" i="249"/>
  <c r="J3" i="136"/>
  <c r="J3" i="144"/>
  <c r="J3" i="142"/>
  <c r="K3" i="337"/>
  <c r="J3" i="336"/>
  <c r="L3" i="123"/>
  <c r="K3" i="88"/>
  <c r="J74" i="147"/>
  <c r="J3" i="147"/>
  <c r="L3" i="314"/>
  <c r="K3" i="315"/>
  <c r="K3" i="141"/>
  <c r="K3" i="128"/>
  <c r="K3" i="255"/>
  <c r="J3" i="253"/>
  <c r="J3" i="248"/>
  <c r="K3" i="237"/>
  <c r="K3" i="131"/>
  <c r="K3" i="129"/>
  <c r="K3" i="343"/>
  <c r="K3" i="126"/>
  <c r="K3" i="127"/>
  <c r="J3" i="342"/>
  <c r="J3" i="233"/>
  <c r="M4" i="338"/>
  <c r="K3" i="296"/>
  <c r="M3" i="256"/>
  <c r="E3" i="294"/>
  <c r="K3" i="349"/>
  <c r="K3" i="350"/>
  <c r="K3" i="134"/>
  <c r="G3" i="139"/>
  <c r="K3" i="301"/>
  <c r="P3" i="95"/>
  <c r="Q3" i="300"/>
  <c r="Q3" i="140"/>
  <c r="Q3" i="298"/>
  <c r="Q3" i="299"/>
  <c r="Q3" i="137"/>
  <c r="K3" i="146"/>
  <c r="K3" i="305"/>
  <c r="K3" i="316"/>
  <c r="K3" i="249"/>
  <c r="K3" i="136"/>
  <c r="K3" i="144"/>
  <c r="K3" i="142"/>
  <c r="L3" i="337"/>
  <c r="K3" i="336"/>
  <c r="M3" i="123"/>
  <c r="L3" i="88"/>
  <c r="K74" i="147"/>
  <c r="K3" i="147"/>
  <c r="M3" i="314"/>
  <c r="L3" i="315"/>
  <c r="L3" i="141"/>
  <c r="L3" i="128"/>
  <c r="L3" i="255"/>
  <c r="K3" i="253"/>
  <c r="K3" i="248"/>
  <c r="L3" i="237"/>
  <c r="L3" i="131"/>
  <c r="L3" i="129"/>
  <c r="L3" i="343"/>
  <c r="L3" i="126"/>
  <c r="L3" i="127"/>
  <c r="K3" i="342"/>
  <c r="K3" i="233"/>
  <c r="F3" i="294"/>
  <c r="H2" i="139"/>
  <c r="M3" i="127"/>
  <c r="L3" i="342"/>
  <c r="L3" i="233"/>
  <c r="G3" i="294"/>
  <c r="I2" i="139"/>
  <c r="N3" i="127"/>
  <c r="M3" i="342"/>
  <c r="M3" i="233"/>
  <c r="H3" i="294"/>
  <c r="J2" i="139"/>
  <c r="O3" i="127"/>
  <c r="N3" i="342"/>
  <c r="N3" i="233"/>
  <c r="K2" i="139"/>
  <c r="P3" i="127"/>
  <c r="O3" i="342"/>
  <c r="O3" i="233"/>
  <c r="L2" i="139"/>
  <c r="Q3" i="127"/>
  <c r="P3" i="342"/>
  <c r="P3" i="233"/>
  <c r="M2" i="139"/>
  <c r="R3" i="127"/>
  <c r="Q3" i="342"/>
  <c r="Q3" i="233"/>
  <c r="N2" i="139"/>
  <c r="S3" i="127"/>
  <c r="R3" i="342"/>
  <c r="R3" i="233"/>
  <c r="T3" i="127"/>
  <c r="S3" i="342"/>
  <c r="S3" i="233"/>
  <c r="U3" i="127"/>
  <c r="T3" i="342"/>
  <c r="T3" i="233"/>
  <c r="V3" i="127"/>
  <c r="U3" i="342"/>
  <c r="U3" i="233"/>
  <c r="W3" i="127"/>
  <c r="V3" i="342"/>
  <c r="V3" i="233"/>
  <c r="X3" i="127"/>
  <c r="W3" i="342"/>
  <c r="W3" i="233"/>
  <c r="A2" i="338"/>
  <c r="A1" i="338"/>
  <c r="A1" i="296"/>
  <c r="A1" i="139"/>
  <c r="A1" i="250"/>
  <c r="A1" i="148"/>
  <c r="A1" i="145"/>
  <c r="A1" i="146"/>
  <c r="A1" i="305"/>
  <c r="A1" i="316"/>
  <c r="A1" i="249"/>
  <c r="A1" i="136"/>
  <c r="A1" i="144"/>
  <c r="A1" i="143"/>
  <c r="A1" i="142"/>
  <c r="A1" i="337"/>
  <c r="A57" i="335"/>
  <c r="A1" i="335"/>
  <c r="A1" i="336"/>
  <c r="A1" i="123"/>
  <c r="A1" i="235"/>
  <c r="A1" i="88"/>
  <c r="A72" i="147"/>
  <c r="A1" i="147"/>
  <c r="A1" i="314"/>
  <c r="A1" i="315"/>
  <c r="A1" i="141"/>
  <c r="A1" i="128"/>
  <c r="A1" i="255"/>
  <c r="F99" i="123"/>
  <c r="F97" i="123"/>
  <c r="G99" i="123"/>
  <c r="G97" i="123"/>
  <c r="K99" i="123"/>
  <c r="K97" i="123"/>
  <c r="D107" i="123"/>
  <c r="F107" i="123"/>
  <c r="G107" i="123"/>
  <c r="H107" i="123"/>
  <c r="I107" i="123"/>
  <c r="J107" i="123"/>
  <c r="K107" i="123"/>
  <c r="L107" i="123"/>
  <c r="M107" i="123"/>
  <c r="D106" i="123"/>
  <c r="M105" i="123" s="1"/>
  <c r="L105" i="123" s="1"/>
  <c r="K105" i="123" s="1"/>
  <c r="J105" i="123" s="1"/>
  <c r="I105" i="123" s="1"/>
  <c r="H105" i="123" s="1"/>
  <c r="G105" i="123" s="1"/>
  <c r="F105" i="123" s="1"/>
  <c r="E105" i="123" s="1"/>
  <c r="D105" i="123" s="1"/>
  <c r="E106" i="123"/>
  <c r="F106" i="123"/>
  <c r="G106" i="123"/>
  <c r="H106" i="123"/>
  <c r="I106" i="123"/>
  <c r="J106" i="123"/>
  <c r="K106" i="123"/>
  <c r="L106" i="123"/>
  <c r="M106" i="123"/>
  <c r="O25" i="298"/>
  <c r="P50" i="298"/>
  <c r="P53" i="298" s="1"/>
  <c r="O48" i="298"/>
  <c r="C69" i="248"/>
  <c r="E17" i="123"/>
  <c r="D84" i="248"/>
  <c r="D85" i="248"/>
  <c r="E102" i="123" s="1"/>
  <c r="D80" i="248"/>
  <c r="Q48" i="299"/>
  <c r="Q49" i="137"/>
  <c r="O42" i="137"/>
  <c r="P46" i="137"/>
  <c r="B50" i="100"/>
  <c r="B100" i="100"/>
  <c r="B101" i="100"/>
  <c r="B102" i="100"/>
  <c r="A1" i="342" s="1"/>
  <c r="B103" i="100"/>
  <c r="A1" i="127" s="1"/>
  <c r="B104" i="100"/>
  <c r="A1" i="343" s="1"/>
  <c r="B105" i="100"/>
  <c r="A1" i="129" s="1"/>
  <c r="B106" i="100"/>
  <c r="A1" i="131" s="1"/>
  <c r="B107" i="100"/>
  <c r="A1" i="237" s="1"/>
  <c r="L49" i="131" s="1"/>
  <c r="K49" i="131" s="1"/>
  <c r="J49" i="131" s="1"/>
  <c r="B108" i="100"/>
  <c r="A1" i="248" s="1"/>
  <c r="B109" i="100"/>
  <c r="A1" i="253" s="1"/>
  <c r="B112" i="100"/>
  <c r="A1" i="246" s="1"/>
  <c r="B135" i="100"/>
  <c r="A1" i="137" s="1"/>
  <c r="B136" i="100"/>
  <c r="A1" i="299" s="1"/>
  <c r="B137" i="100"/>
  <c r="A1" i="298" s="1"/>
  <c r="B138" i="100"/>
  <c r="A1" i="140" s="1"/>
  <c r="B139" i="100"/>
  <c r="A1" i="300" s="1"/>
  <c r="B140" i="100"/>
  <c r="A1" i="95" s="1"/>
  <c r="B141" i="100"/>
  <c r="A1" i="301" s="1"/>
  <c r="P65" i="95" s="1"/>
  <c r="B144" i="100"/>
  <c r="A1" i="134" s="1"/>
  <c r="B145" i="100"/>
  <c r="A1" i="350" s="1"/>
  <c r="K97" i="134" s="1"/>
  <c r="B146" i="100"/>
  <c r="A1" i="349" s="1"/>
  <c r="B147" i="100"/>
  <c r="A1" i="294" s="1"/>
  <c r="B148" i="100"/>
  <c r="A1" i="256" s="1"/>
  <c r="A1" i="355"/>
  <c r="B4" i="355"/>
  <c r="B8" i="355" s="1"/>
  <c r="A1" i="86"/>
  <c r="C2" i="86"/>
  <c r="D2" i="86"/>
  <c r="E2" i="86"/>
  <c r="I2" i="86"/>
  <c r="I3" i="86"/>
  <c r="J3" i="86"/>
  <c r="K3" i="86"/>
  <c r="E94" i="123"/>
  <c r="F94" i="123"/>
  <c r="G94" i="123"/>
  <c r="H94" i="123"/>
  <c r="I94" i="123"/>
  <c r="J94" i="123"/>
  <c r="K94" i="123"/>
  <c r="L94" i="123"/>
  <c r="M94" i="123"/>
  <c r="C10" i="86"/>
  <c r="D10" i="86"/>
  <c r="E10" i="86"/>
  <c r="F10" i="86"/>
  <c r="G10" i="86"/>
  <c r="H10" i="86"/>
  <c r="I10" i="86"/>
  <c r="J10" i="86"/>
  <c r="K10" i="86"/>
  <c r="E97" i="123"/>
  <c r="H97" i="123"/>
  <c r="I97" i="123"/>
  <c r="J97" i="123"/>
  <c r="L97" i="123"/>
  <c r="M97" i="123"/>
  <c r="C18" i="86"/>
  <c r="D18" i="86"/>
  <c r="E18" i="86"/>
  <c r="F18" i="86"/>
  <c r="G18" i="86"/>
  <c r="H18" i="86"/>
  <c r="I18" i="86"/>
  <c r="J18" i="86"/>
  <c r="K18" i="86"/>
  <c r="B32" i="86"/>
  <c r="D110" i="123" s="1"/>
  <c r="C32" i="86"/>
  <c r="E109" i="123" s="1"/>
  <c r="D32" i="86"/>
  <c r="F110" i="123" s="1"/>
  <c r="E110" i="123" s="1"/>
  <c r="E32" i="86"/>
  <c r="G110" i="123" s="1"/>
  <c r="F32" i="86"/>
  <c r="H110" i="123" s="1"/>
  <c r="G32" i="86"/>
  <c r="I110" i="123" s="1"/>
  <c r="H32" i="86"/>
  <c r="J110" i="123" s="1"/>
  <c r="I32" i="86"/>
  <c r="K110" i="123" s="1"/>
  <c r="J32" i="86"/>
  <c r="L110" i="123" s="1"/>
  <c r="K32" i="86"/>
  <c r="M110" i="123" s="1"/>
  <c r="A1" i="133"/>
  <c r="D2" i="133"/>
  <c r="E2" i="133"/>
  <c r="F2" i="133"/>
  <c r="I2" i="133"/>
  <c r="I3" i="133"/>
  <c r="J3" i="133"/>
  <c r="K3" i="133"/>
  <c r="H25" i="133"/>
  <c r="I25" i="133"/>
  <c r="J25" i="133"/>
  <c r="K25" i="133"/>
  <c r="H48" i="133"/>
  <c r="H58" i="133" s="1"/>
  <c r="G58" i="133" s="1"/>
  <c r="I48" i="133"/>
  <c r="I58" i="133" s="1"/>
  <c r="K48" i="133"/>
  <c r="A1" i="351"/>
  <c r="D2" i="351"/>
  <c r="E2" i="351"/>
  <c r="F2" i="351"/>
  <c r="I2" i="351"/>
  <c r="I3" i="351"/>
  <c r="J3" i="351"/>
  <c r="K3" i="351"/>
  <c r="E101" i="123"/>
  <c r="N38" i="137"/>
  <c r="M38" i="137" s="1"/>
  <c r="G57" i="133" l="1"/>
  <c r="G49" i="133"/>
  <c r="N31" i="298"/>
  <c r="N23" i="298"/>
  <c r="N17" i="298"/>
  <c r="N12" i="298"/>
  <c r="N7" i="298"/>
  <c r="N24" i="298"/>
  <c r="N13" i="298"/>
  <c r="N8" i="298"/>
  <c r="Q56" i="298"/>
  <c r="N30" i="298"/>
  <c r="N22" i="298"/>
  <c r="N11" i="298"/>
  <c r="D5" i="298"/>
  <c r="E5" i="298"/>
  <c r="F5" i="298"/>
  <c r="G5" i="298"/>
  <c r="I5" i="298"/>
  <c r="J5" i="298"/>
  <c r="L5" i="298"/>
  <c r="M5" i="298"/>
  <c r="D42" i="298"/>
  <c r="E42" i="298"/>
  <c r="F42" i="298"/>
  <c r="G42" i="298"/>
  <c r="H42" i="298"/>
  <c r="I42" i="298"/>
  <c r="J42" i="298"/>
  <c r="K42" i="298"/>
  <c r="L42" i="298"/>
  <c r="M42" i="298"/>
  <c r="D38" i="298"/>
  <c r="E38" i="298"/>
  <c r="F38" i="298"/>
  <c r="G38" i="298"/>
  <c r="H38" i="298"/>
  <c r="I38" i="298"/>
  <c r="J38" i="298"/>
  <c r="K38" i="298"/>
  <c r="L38" i="298"/>
  <c r="M38" i="298"/>
  <c r="D32" i="298"/>
  <c r="E32" i="298"/>
  <c r="F32" i="298"/>
  <c r="G32" i="298"/>
  <c r="H32" i="298"/>
  <c r="I32" i="298"/>
  <c r="J32" i="298"/>
  <c r="K32" i="298"/>
  <c r="L32" i="298"/>
  <c r="M32" i="298"/>
  <c r="C28" i="298"/>
  <c r="D28" i="298"/>
  <c r="D48" i="298" s="1"/>
  <c r="E28" i="298"/>
  <c r="E48" i="298" s="1"/>
  <c r="F28" i="298"/>
  <c r="G28" i="298"/>
  <c r="G48" i="298" s="1"/>
  <c r="H28" i="298"/>
  <c r="H48" i="298" s="1"/>
  <c r="I28" i="298"/>
  <c r="I48" i="298" s="1"/>
  <c r="J28" i="298"/>
  <c r="K28" i="298"/>
  <c r="K48" i="298" s="1"/>
  <c r="L28" i="298"/>
  <c r="L48" i="298" s="1"/>
  <c r="M28" i="298"/>
  <c r="M48" i="298" s="1"/>
  <c r="N29" i="298"/>
  <c r="C19" i="298"/>
  <c r="D19" i="298"/>
  <c r="E19" i="298"/>
  <c r="F19" i="298"/>
  <c r="G19" i="298"/>
  <c r="H19" i="298"/>
  <c r="I19" i="298"/>
  <c r="J19" i="298"/>
  <c r="K19" i="298"/>
  <c r="L19" i="298"/>
  <c r="M19" i="298"/>
  <c r="N20" i="298"/>
  <c r="C15" i="298"/>
  <c r="D15" i="298"/>
  <c r="E15" i="298"/>
  <c r="F15" i="298"/>
  <c r="G15" i="298"/>
  <c r="H15" i="298"/>
  <c r="I15" i="298"/>
  <c r="J15" i="298"/>
  <c r="K15" i="298"/>
  <c r="L15" i="298"/>
  <c r="M15" i="298"/>
  <c r="N16" i="298"/>
  <c r="C9" i="298"/>
  <c r="D9" i="298"/>
  <c r="E9" i="298"/>
  <c r="F9" i="298"/>
  <c r="G9" i="298"/>
  <c r="H9" i="298"/>
  <c r="I9" i="298"/>
  <c r="J9" i="298"/>
  <c r="K9" i="298"/>
  <c r="L9" i="298"/>
  <c r="M9" i="298"/>
  <c r="N10" i="298"/>
  <c r="C5" i="298"/>
  <c r="H5" i="298"/>
  <c r="H25" i="298" s="1"/>
  <c r="K5" i="298"/>
  <c r="K25" i="298" s="1"/>
  <c r="N6" i="298"/>
  <c r="C42" i="298"/>
  <c r="N42" i="298" s="1"/>
  <c r="N43" i="298"/>
  <c r="C38" i="298"/>
  <c r="N38" i="298" s="1"/>
  <c r="N39" i="298"/>
  <c r="C32" i="298"/>
  <c r="N33" i="298"/>
  <c r="G141" i="351"/>
  <c r="G149" i="351"/>
  <c r="F141" i="351"/>
  <c r="F149" i="351"/>
  <c r="E149" i="351" s="1"/>
  <c r="D71" i="351"/>
  <c r="D149" i="351" s="1"/>
  <c r="E141" i="351"/>
  <c r="C141" i="351"/>
  <c r="C149" i="351"/>
  <c r="J48" i="133"/>
  <c r="J58" i="133" s="1"/>
  <c r="K58" i="133"/>
  <c r="K57" i="133"/>
  <c r="K49" i="133"/>
  <c r="J57" i="133"/>
  <c r="I57" i="133"/>
  <c r="I49" i="133"/>
  <c r="H57" i="133"/>
  <c r="H49" i="133"/>
  <c r="M96" i="123"/>
  <c r="M87" i="123"/>
  <c r="M131" i="123" s="1"/>
  <c r="L96" i="123"/>
  <c r="L87" i="123"/>
  <c r="L131" i="123" s="1"/>
  <c r="K96" i="123"/>
  <c r="K87" i="123"/>
  <c r="K131" i="123" s="1"/>
  <c r="J96" i="123"/>
  <c r="J87" i="123"/>
  <c r="J131" i="123" s="1"/>
  <c r="I96" i="123"/>
  <c r="I87" i="123"/>
  <c r="I131" i="123" s="1"/>
  <c r="H96" i="123"/>
  <c r="H87" i="123"/>
  <c r="H131" i="123" s="1"/>
  <c r="G96" i="123"/>
  <c r="G87" i="123"/>
  <c r="G131" i="123" s="1"/>
  <c r="F96" i="123"/>
  <c r="F87" i="123"/>
  <c r="F131" i="123" s="1"/>
  <c r="E96" i="123"/>
  <c r="E87" i="123"/>
  <c r="E131" i="123" s="1"/>
  <c r="M91" i="123"/>
  <c r="M86" i="123"/>
  <c r="K19" i="86"/>
  <c r="K22" i="86" s="1"/>
  <c r="K24" i="86" s="1"/>
  <c r="L91" i="123"/>
  <c r="L86" i="123"/>
  <c r="J19" i="86"/>
  <c r="J22" i="86" s="1"/>
  <c r="J24" i="86" s="1"/>
  <c r="K127" i="123"/>
  <c r="K91" i="123"/>
  <c r="K86" i="123"/>
  <c r="I19" i="86"/>
  <c r="I22" i="86" s="1"/>
  <c r="I24" i="86" s="1"/>
  <c r="J91" i="123"/>
  <c r="J86" i="123"/>
  <c r="H19" i="86"/>
  <c r="H22" i="86" s="1"/>
  <c r="H24" i="86" s="1"/>
  <c r="I127" i="123"/>
  <c r="I91" i="123"/>
  <c r="I86" i="123"/>
  <c r="G19" i="86"/>
  <c r="G22" i="86" s="1"/>
  <c r="G24" i="86" s="1"/>
  <c r="H127" i="123"/>
  <c r="H91" i="123"/>
  <c r="H86" i="123"/>
  <c r="F19" i="86"/>
  <c r="F22" i="86" s="1"/>
  <c r="F24" i="86" s="1"/>
  <c r="G127" i="123"/>
  <c r="G91" i="123"/>
  <c r="G86" i="123"/>
  <c r="E19" i="86"/>
  <c r="E22" i="86" s="1"/>
  <c r="E24" i="86" s="1"/>
  <c r="F127" i="123"/>
  <c r="F91" i="123"/>
  <c r="F86" i="123"/>
  <c r="D19" i="86"/>
  <c r="D22" i="86" s="1"/>
  <c r="D24" i="86" s="1"/>
  <c r="E127" i="123"/>
  <c r="E91" i="123"/>
  <c r="E86" i="123"/>
  <c r="C19" i="86"/>
  <c r="C22" i="86" s="1"/>
  <c r="C24" i="86" s="1"/>
  <c r="O46" i="137"/>
  <c r="P49" i="137"/>
  <c r="D17" i="123"/>
  <c r="C84" i="248"/>
  <c r="C85" i="248"/>
  <c r="D102" i="123" s="1"/>
  <c r="M101" i="123" s="1"/>
  <c r="C80" i="248"/>
  <c r="B56" i="86"/>
  <c r="P56" i="298"/>
  <c r="O50" i="298"/>
  <c r="D3" i="338"/>
  <c r="C2" i="349"/>
  <c r="C2" i="350"/>
  <c r="C2" i="134"/>
  <c r="C2" i="301"/>
  <c r="C2" i="146"/>
  <c r="C2" i="305"/>
  <c r="C2" i="316"/>
  <c r="C2" i="249"/>
  <c r="C2" i="136"/>
  <c r="C2" i="144"/>
  <c r="C2" i="142"/>
  <c r="C2" i="337"/>
  <c r="C2" i="336"/>
  <c r="D2" i="123"/>
  <c r="F2" i="235"/>
  <c r="C2" i="88"/>
  <c r="C73" i="147"/>
  <c r="C2" i="147"/>
  <c r="E2" i="314"/>
  <c r="D2" i="315"/>
  <c r="D2" i="141"/>
  <c r="C2" i="128"/>
  <c r="C2" i="255"/>
  <c r="C2" i="253"/>
  <c r="C2" i="248"/>
  <c r="C2" i="237"/>
  <c r="C2" i="131"/>
  <c r="C2" i="129"/>
  <c r="C2" i="343"/>
  <c r="C2" i="126"/>
  <c r="C2" i="127"/>
  <c r="C2" i="342"/>
  <c r="C2" i="233"/>
  <c r="C2" i="351"/>
  <c r="C2" i="133"/>
  <c r="B2" i="86"/>
  <c r="F57" i="133"/>
  <c r="F49" i="133"/>
  <c r="C57" i="133"/>
  <c r="C49" i="133"/>
  <c r="D130" i="123"/>
  <c r="M127" i="123" s="1"/>
  <c r="L127" i="123" s="1"/>
  <c r="D88" i="123"/>
  <c r="D132" i="123" s="1"/>
  <c r="D133" i="123" s="1"/>
  <c r="D101" i="123"/>
  <c r="M108" i="123"/>
  <c r="L108" i="123"/>
  <c r="K108" i="123"/>
  <c r="J108" i="123"/>
  <c r="I108" i="123"/>
  <c r="H108" i="123"/>
  <c r="G108" i="123"/>
  <c r="F108" i="123"/>
  <c r="E108" i="123"/>
  <c r="D108" i="123"/>
  <c r="N42" i="137"/>
  <c r="M42" i="137" s="1"/>
  <c r="M109" i="123"/>
  <c r="L109" i="123"/>
  <c r="K109" i="123"/>
  <c r="J109" i="123"/>
  <c r="I109" i="123"/>
  <c r="H109" i="123"/>
  <c r="G109" i="123"/>
  <c r="F109" i="123"/>
  <c r="D109" i="123"/>
  <c r="A1" i="233"/>
  <c r="A1" i="126"/>
  <c r="E49" i="133"/>
  <c r="D141" i="351" l="1"/>
  <c r="J48" i="298"/>
  <c r="F48" i="298"/>
  <c r="N9" i="298"/>
  <c r="N15" i="298"/>
  <c r="N19" i="298"/>
  <c r="K26" i="298"/>
  <c r="K50" i="298"/>
  <c r="H26" i="298"/>
  <c r="H50" i="298"/>
  <c r="C25" i="298"/>
  <c r="N5" i="298"/>
  <c r="N25" i="298" s="1"/>
  <c r="N28" i="298"/>
  <c r="M25" i="298"/>
  <c r="L25" i="298"/>
  <c r="J25" i="298"/>
  <c r="I25" i="298"/>
  <c r="G25" i="298"/>
  <c r="F25" i="298"/>
  <c r="E25" i="298"/>
  <c r="D25" i="298"/>
  <c r="C48" i="298"/>
  <c r="C50" i="298" s="1"/>
  <c r="C53" i="298" s="1"/>
  <c r="N32" i="298"/>
  <c r="N48" i="298" s="1"/>
  <c r="N50" i="298"/>
  <c r="J49" i="133"/>
  <c r="O49" i="137"/>
  <c r="E130" i="123"/>
  <c r="E88" i="123"/>
  <c r="E132" i="123" s="1"/>
  <c r="E133" i="123" s="1"/>
  <c r="E134" i="123" s="1"/>
  <c r="F130" i="123"/>
  <c r="F88" i="123"/>
  <c r="F132" i="123" s="1"/>
  <c r="F133" i="123" s="1"/>
  <c r="F134" i="123" s="1"/>
  <c r="F135" i="123" s="1"/>
  <c r="G130" i="123"/>
  <c r="G88" i="123"/>
  <c r="G132" i="123" s="1"/>
  <c r="G133" i="123" s="1"/>
  <c r="G134" i="123" s="1"/>
  <c r="G135" i="123" s="1"/>
  <c r="H130" i="123"/>
  <c r="H88" i="123"/>
  <c r="H132" i="123" s="1"/>
  <c r="H133" i="123" s="1"/>
  <c r="H134" i="123" s="1"/>
  <c r="H135" i="123" s="1"/>
  <c r="I130" i="123"/>
  <c r="I88" i="123"/>
  <c r="I132" i="123" s="1"/>
  <c r="I133" i="123" s="1"/>
  <c r="I134" i="123" s="1"/>
  <c r="I135" i="123" s="1"/>
  <c r="J130" i="123"/>
  <c r="J88" i="123"/>
  <c r="J132" i="123" s="1"/>
  <c r="J133" i="123" s="1"/>
  <c r="J134" i="123" s="1"/>
  <c r="J135" i="123" s="1"/>
  <c r="K130" i="123"/>
  <c r="K88" i="123"/>
  <c r="K132" i="123" s="1"/>
  <c r="K133" i="123" s="1"/>
  <c r="K134" i="123" s="1"/>
  <c r="K135" i="123" s="1"/>
  <c r="L130" i="123"/>
  <c r="L88" i="123"/>
  <c r="L132" i="123" s="1"/>
  <c r="L133" i="123" s="1"/>
  <c r="L134" i="123" s="1"/>
  <c r="L135" i="123" s="1"/>
  <c r="M130" i="123"/>
  <c r="M88" i="123"/>
  <c r="M132" i="123" s="1"/>
  <c r="M133" i="123" s="1"/>
  <c r="M134" i="123" s="1"/>
  <c r="M135" i="123" s="1"/>
  <c r="O53" i="298"/>
  <c r="N46" i="137"/>
  <c r="M46" i="137" s="1"/>
  <c r="N53" i="298" l="1"/>
  <c r="D50" i="298"/>
  <c r="D53" i="298" s="1"/>
  <c r="D26" i="298"/>
  <c r="E50" i="298"/>
  <c r="E53" i="298" s="1"/>
  <c r="E26" i="298"/>
  <c r="F50" i="298"/>
  <c r="F53" i="298" s="1"/>
  <c r="F26" i="298"/>
  <c r="G50" i="298"/>
  <c r="G53" i="298" s="1"/>
  <c r="G26" i="298"/>
  <c r="I50" i="298"/>
  <c r="I53" i="298" s="1"/>
  <c r="H53" i="298" s="1"/>
  <c r="I26" i="298"/>
  <c r="J50" i="298"/>
  <c r="J53" i="298" s="1"/>
  <c r="J26" i="298"/>
  <c r="L50" i="298"/>
  <c r="L53" i="298" s="1"/>
  <c r="K53" i="298" s="1"/>
  <c r="L26" i="298"/>
  <c r="M50" i="298"/>
  <c r="M53" i="298" s="1"/>
  <c r="M26" i="298"/>
  <c r="D134" i="123"/>
  <c r="E135" i="123"/>
  <c r="O56" i="298"/>
  <c r="B57" i="95"/>
  <c r="C56" i="95"/>
  <c r="C57" i="95" s="1"/>
  <c r="D56" i="95" s="1"/>
  <c r="D57" i="95" s="1"/>
  <c r="E56" i="95" s="1"/>
  <c r="E57" i="95" s="1"/>
  <c r="F56" i="95" s="1"/>
  <c r="F57" i="95" s="1"/>
  <c r="G56" i="95" s="1"/>
  <c r="G57" i="95" s="1"/>
  <c r="H56" i="95" s="1"/>
  <c r="H57" i="95" s="1"/>
  <c r="I56" i="95" s="1"/>
  <c r="I57" i="95" s="1"/>
  <c r="J56" i="95" s="1"/>
  <c r="J57" i="95" s="1"/>
  <c r="K56" i="95" s="1"/>
  <c r="K57" i="95" s="1"/>
  <c r="L56" i="95" s="1"/>
  <c r="L57" i="95" s="1"/>
  <c r="M56" i="95" s="1"/>
  <c r="M57" i="95" s="1"/>
  <c r="D135" i="123" l="1"/>
</calcChain>
</file>

<file path=xl/sharedStrings.xml><?xml version="1.0" encoding="utf-8"?>
<sst xmlns="http://schemas.openxmlformats.org/spreadsheetml/2006/main" count="4674" uniqueCount="2309">
  <si>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</si>
  <si>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</si>
  <si>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</si>
  <si>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</si>
  <si>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</si>
  <si>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</si>
  <si>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</si>
  <si>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</si>
  <si>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</si>
  <si>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</si>
  <si>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</si>
  <si>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</si>
  <si>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</si>
  <si>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</si>
  <si>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</si>
  <si>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</si>
  <si>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</si>
  <si>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</si>
  <si>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</si>
  <si>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</si>
  <si>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</si>
  <si>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</si>
  <si>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</si>
  <si>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</si>
  <si>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</si>
  <si>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</si>
  <si>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</si>
  <si>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</si>
  <si>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</si>
  <si>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</si>
  <si>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</si>
  <si>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</si>
  <si>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</si>
  <si>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</si>
  <si>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</si>
  <si>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</si>
  <si>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</si>
  <si>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</si>
  <si>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</si>
  <si>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</si>
  <si>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</si>
  <si>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</si>
  <si>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</si>
  <si>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</si>
  <si>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</si>
  <si>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</si>
  <si>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</si>
  <si>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</si>
  <si>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</si>
  <si>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</si>
  <si>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</si>
  <si>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</si>
  <si>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</si>
  <si>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</si>
  <si>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</si>
  <si>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</si>
  <si>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</si>
  <si>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</si>
  <si>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</si>
  <si>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</si>
  <si>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</si>
  <si>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</si>
  <si>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</si>
  <si>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</si>
  <si>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</si>
  <si>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</si>
  <si>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</si>
  <si>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</si>
  <si>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</si>
  <si>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</si>
  <si>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</si>
  <si>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</si>
  <si>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</si>
  <si>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</si>
  <si>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</si>
  <si>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</si>
  <si>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</si>
  <si>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</si>
  <si>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</si>
  <si>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</si>
  <si>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</si>
  <si>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</si>
  <si>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</si>
  <si>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</si>
  <si>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</si>
  <si>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</si>
  <si>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</si>
  <si>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</si>
  <si>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</si>
  <si>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</si>
  <si>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</si>
  <si>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</si>
  <si>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</si>
  <si>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</si>
  <si>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</si>
  <si>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</si>
  <si>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</si>
  <si>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</si>
  <si>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</si>
  <si>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</si>
  <si>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</si>
  <si>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</si>
  <si>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</si>
  <si>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</si>
  <si>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</si>
  <si>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</si>
  <si>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</si>
  <si>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</si>
  <si>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</si>
  <si>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</si>
  <si>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</si>
  <si>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</si>
  <si>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</si>
  <si>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</si>
  <si>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</si>
  <si>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</si>
  <si>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</si>
  <si>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</si>
  <si>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</si>
  <si>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</si>
  <si>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</si>
  <si>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</si>
  <si>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Loans, Creditors, Overdraft &amp; Tax Provision/ Funds &amp; Reserves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</si>
  <si>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</si>
  <si>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</si>
  <si>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</si>
  <si>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</si>
  <si>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</si>
  <si>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</si>
  <si>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3. If benefits in kind are provided (e.g. provision of living quarters) the full market value must be shown as the cost to the municipality</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</si>
  <si>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</si>
  <si>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</si>
  <si>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</si>
  <si>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</si>
  <si>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</si>
  <si>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</si>
  <si>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</si>
  <si>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</si>
  <si>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</si>
  <si>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</si>
  <si>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</si>
  <si>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</si>
  <si>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</si>
  <si>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</si>
  <si>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</si>
  <si>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</si>
  <si>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</si>
  <si>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</si>
  <si>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</si>
  <si>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</si>
  <si>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</si>
  <si>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</si>
  <si>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</si>
  <si>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</si>
  <si>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</si>
  <si>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</si>
  <si>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7. List each entity where municipality has an interest and state percentage ownership and control</t>
  </si>
  <si>
    <t>check oprev balance</t>
  </si>
  <si>
    <t>Minorities' interests</t>
  </si>
  <si>
    <t>Unspent borrowing</t>
  </si>
  <si>
    <t>Deputy City Manager - Health, Safety &amp; Social Issues</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</si>
  <si>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</si>
  <si>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</si>
  <si>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</si>
  <si>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</si>
  <si>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</si>
  <si>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</si>
  <si>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</si>
  <si>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</si>
  <si>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</si>
  <si>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</si>
  <si>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</si>
  <si>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</si>
  <si>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</si>
  <si>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</si>
  <si>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10. Must reconcile to totals shown for the budget year of Table A22</t>
  </si>
  <si>
    <t>9. Must reconcile to relevant section of Table A24</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</si>
  <si>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</si>
  <si>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</si>
  <si>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</si>
  <si>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</si>
  <si>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</si>
  <si>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</si>
  <si>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</si>
  <si>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</si>
  <si>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</si>
  <si>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</si>
  <si>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</si>
  <si>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</si>
  <si>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</si>
  <si>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</si>
  <si>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</si>
  <si>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</si>
  <si>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</si>
  <si>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</si>
  <si>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</si>
  <si>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</si>
  <si>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</si>
  <si>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</si>
  <si>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</si>
  <si>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</si>
  <si>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</si>
  <si>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</si>
  <si>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</si>
  <si>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</si>
  <si>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</si>
  <si>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</si>
  <si>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</si>
  <si>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</si>
  <si>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</si>
  <si>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</si>
  <si>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</si>
  <si>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</si>
  <si>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</si>
  <si>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</si>
  <si>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</si>
  <si>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</si>
  <si>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</si>
  <si>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NW391 Kagisano</t>
  </si>
  <si>
    <t>NW392 Naledi (Nw)</t>
  </si>
  <si>
    <t>NW393 Mamusa</t>
  </si>
  <si>
    <t>NW394 Greater Taung</t>
  </si>
  <si>
    <t>NW395 Molopo</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</si>
  <si>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</si>
  <si>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</si>
  <si>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</si>
  <si>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</si>
  <si>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</si>
  <si>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</si>
  <si>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</si>
  <si>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</si>
  <si>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</si>
  <si>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</si>
  <si>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</si>
  <si>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</si>
  <si>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</si>
  <si>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</si>
  <si>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</si>
  <si>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</si>
  <si>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</si>
  <si>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</si>
  <si>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</si>
  <si>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</si>
  <si>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</si>
  <si>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</si>
  <si>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</si>
  <si>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</si>
  <si>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</si>
  <si>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</si>
  <si>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</si>
  <si>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</si>
  <si>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</si>
  <si>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</si>
  <si>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</si>
  <si>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</si>
  <si>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</si>
  <si>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</si>
  <si>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</si>
  <si>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</si>
  <si>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</si>
  <si>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</si>
  <si>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</si>
  <si>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</si>
  <si>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</si>
  <si>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</si>
  <si>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</si>
  <si>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</si>
  <si>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</si>
  <si>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</si>
  <si>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</si>
  <si>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</si>
  <si>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</si>
  <si>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</si>
  <si>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</si>
  <si>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</si>
  <si>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</si>
  <si>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</si>
  <si>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</si>
  <si>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</si>
  <si>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</si>
  <si>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</si>
  <si>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</si>
  <si>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</si>
  <si>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</si>
  <si>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</si>
  <si>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</si>
  <si>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</si>
  <si>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</si>
  <si>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</si>
  <si>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</si>
  <si>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</si>
  <si>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</si>
  <si>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</si>
  <si>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</si>
  <si>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</si>
  <si>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</si>
  <si>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</si>
  <si>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</si>
  <si>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</si>
  <si>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</si>
  <si>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</si>
  <si>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</si>
  <si>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</si>
  <si>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</si>
  <si>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</si>
  <si>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</si>
  <si>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</si>
  <si>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Example supporting calculations only below (municipalities to adjust to suit their circumstances)</t>
  </si>
  <si>
    <t>List other revenues sources if applicable</t>
  </si>
  <si>
    <t>5. Council approval required for each reserve created and basis of cash backing of reserves</t>
  </si>
  <si>
    <t>4. For example: sinking fund requirements for borrowing</t>
  </si>
  <si>
    <t>Debtors collection assumptions</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</si>
  <si>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</si>
  <si>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</si>
  <si>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</si>
  <si>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</si>
  <si>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</si>
  <si>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</si>
  <si>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</si>
  <si>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</si>
  <si>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</si>
  <si>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</si>
  <si>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</si>
  <si>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</si>
  <si>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</si>
  <si>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</si>
  <si>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</si>
  <si>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</si>
  <si>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Check balance to SFPos</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</si>
  <si>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</si>
  <si>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</si>
  <si>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</si>
  <si>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</si>
  <si>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</si>
  <si>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</si>
  <si>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</si>
  <si>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</si>
  <si>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</si>
  <si>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</si>
  <si>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</si>
  <si>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</si>
  <si>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</si>
  <si>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</si>
  <si>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</si>
  <si>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</si>
  <si>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</si>
  <si>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</si>
  <si>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</si>
  <si>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</si>
  <si>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</si>
  <si>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</si>
  <si>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</si>
  <si>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</si>
  <si>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</si>
  <si>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Vote11</t>
  </si>
  <si>
    <t>Example 11</t>
  </si>
  <si>
    <t>Vote12</t>
  </si>
  <si>
    <t>Example 12</t>
  </si>
  <si>
    <t>Example 11 - Vote11</t>
  </si>
  <si>
    <t>Subvote example 11</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</si>
  <si>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</si>
  <si>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</si>
  <si>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</si>
  <si>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</si>
  <si>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</si>
  <si>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</si>
  <si>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</si>
  <si>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</si>
  <si>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</si>
  <si>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</si>
  <si>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</si>
  <si>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</si>
  <si>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</si>
  <si>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</si>
  <si>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</si>
  <si>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</si>
  <si>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</si>
  <si>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</si>
  <si>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</si>
  <si>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</si>
  <si>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</si>
  <si>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</si>
  <si>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</si>
  <si>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</si>
  <si>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</si>
  <si>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</si>
  <si>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</si>
  <si>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</si>
  <si>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</si>
  <si>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</si>
  <si>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Poverty profiles (2.)</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</si>
  <si>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</si>
  <si>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</si>
  <si>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</si>
  <si>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</si>
  <si>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</si>
  <si>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</si>
  <si>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</si>
  <si>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</si>
  <si>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</si>
  <si>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</si>
  <si>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</si>
  <si>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</si>
  <si>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</si>
  <si>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</si>
  <si>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</si>
  <si>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</si>
  <si>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</si>
  <si>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</si>
  <si>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</si>
  <si>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</si>
  <si>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</si>
  <si>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</si>
  <si>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Deputy City Manager - Governance</t>
  </si>
  <si>
    <t>Deputy City Manager - Procurement &amp; Infrastructure</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</si>
  <si>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</si>
  <si>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</si>
  <si>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</si>
  <si>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</si>
  <si>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</si>
  <si>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</si>
  <si>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</si>
  <si>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</si>
  <si>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</si>
  <si>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</si>
  <si>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</si>
  <si>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</si>
  <si>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</si>
  <si>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</si>
  <si>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</si>
  <si>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</si>
  <si>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</si>
  <si>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</si>
  <si>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</si>
  <si>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</si>
  <si>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</si>
  <si>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</si>
  <si>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</si>
  <si>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</si>
  <si>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</si>
  <si>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</si>
  <si>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</si>
  <si>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3. Total package must equal the total cost to the municipality</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</si>
  <si>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</si>
  <si>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</si>
  <si>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</si>
  <si>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</si>
  <si>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</si>
  <si>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</si>
  <si>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</si>
  <si>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</si>
  <si>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</si>
  <si>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</si>
  <si>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</si>
  <si>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</si>
  <si>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</si>
  <si>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</si>
  <si>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</si>
  <si>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</si>
  <si>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</si>
  <si>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</si>
  <si>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</si>
  <si>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</si>
  <si>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Long-Term Borrowing/Total Assets</t>
  </si>
  <si>
    <t>Total Renewal of Existing Assets</t>
  </si>
  <si>
    <t>Total Property Rates</t>
  </si>
  <si>
    <t>less Revenue Foregone</t>
  </si>
  <si>
    <t>Net Property Rates</t>
  </si>
  <si>
    <t>Fuel levy</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</si>
  <si>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</si>
  <si>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</si>
  <si>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</si>
  <si>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</si>
  <si>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</si>
  <si>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</si>
  <si>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</si>
  <si>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</si>
  <si>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</si>
  <si>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</si>
  <si>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</si>
  <si>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</si>
  <si>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</si>
  <si>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</si>
  <si>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</si>
  <si>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</si>
  <si>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</si>
  <si>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r>
      <t xml:space="preserve">No. </t>
    </r>
    <r>
      <rPr>
        <sz val="8"/>
        <rFont val="Arial"/>
        <family val="2"/>
      </rPr>
      <t>10</t>
    </r>
  </si>
  <si>
    <t>Executive Committee</t>
  </si>
  <si>
    <t>Total for all other councillors</t>
  </si>
  <si>
    <t>Nat. or Prov. Govt</t>
  </si>
  <si>
    <t>Multi-year capital</t>
  </si>
  <si>
    <t>Original Budget</t>
  </si>
  <si>
    <t>Growth guideline maximum</t>
  </si>
  <si>
    <t>CPIX guideline</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</si>
  <si>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</si>
  <si>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</si>
  <si>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</si>
  <si>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</si>
  <si>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</si>
  <si>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</si>
  <si>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</si>
  <si>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</si>
  <si>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</si>
  <si>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</si>
  <si>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</si>
  <si>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Interest paid</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</si>
  <si>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</si>
  <si>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</si>
  <si>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</si>
  <si>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</si>
  <si>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</si>
  <si>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</si>
  <si>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</si>
  <si>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</si>
  <si>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</si>
  <si>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</si>
  <si>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</si>
  <si>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</si>
  <si>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DC46 Metsweding</t>
  </si>
  <si>
    <t>DC47 Greater Sekhukhune</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</si>
  <si>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</si>
  <si>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</si>
  <si>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</si>
  <si>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</si>
  <si>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</si>
  <si>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</si>
  <si>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</si>
  <si>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</si>
  <si>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</si>
  <si>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</si>
  <si>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</si>
  <si>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</si>
  <si>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</si>
  <si>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</si>
  <si>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</si>
  <si>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</si>
  <si>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</si>
  <si>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</si>
  <si>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</si>
  <si>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</si>
  <si>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</si>
  <si>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</si>
  <si>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</si>
  <si>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</si>
  <si>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</si>
  <si>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</si>
  <si>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</si>
  <si>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</si>
  <si>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Household income (households) (1.)</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</si>
  <si>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</si>
  <si>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</si>
  <si>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</si>
  <si>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</si>
  <si>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</si>
  <si>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</si>
  <si>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</si>
  <si>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</si>
  <si>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</si>
  <si>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</si>
  <si>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</si>
  <si>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</si>
  <si>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</si>
  <si>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</si>
  <si>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</si>
  <si>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</si>
  <si>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</si>
  <si>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</si>
  <si>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</si>
  <si>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</si>
  <si>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</si>
  <si>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</si>
  <si>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</si>
  <si>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</si>
  <si>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</si>
  <si>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</si>
  <si>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</si>
  <si>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</si>
  <si>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</si>
  <si>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</si>
  <si>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</si>
  <si>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</si>
  <si>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</si>
  <si>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</si>
  <si>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</si>
  <si>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</si>
  <si>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</si>
  <si>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</si>
  <si>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</si>
  <si>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</si>
  <si>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</si>
  <si>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</si>
  <si>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</si>
  <si>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</si>
  <si>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</si>
  <si>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 to Equity</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</si>
  <si>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</si>
  <si>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</si>
  <si>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</si>
  <si>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</si>
  <si>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</si>
  <si>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</si>
  <si>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</si>
  <si>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</si>
  <si>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</si>
  <si>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</si>
  <si>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</si>
  <si>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</si>
  <si>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</si>
  <si>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</si>
  <si>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</si>
  <si>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</si>
  <si>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</si>
  <si>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</si>
  <si>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</si>
  <si>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</si>
  <si>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</si>
  <si>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</si>
  <si>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</si>
  <si>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</si>
  <si>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</si>
  <si>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</si>
  <si>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Borrowing to Asset Ratio</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</si>
  <si>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</si>
  <si>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</si>
  <si>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</si>
  <si>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</si>
  <si>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</si>
  <si>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</si>
  <si>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</si>
  <si>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</si>
  <si>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</si>
  <si>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</si>
  <si>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</si>
  <si>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</si>
  <si>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</si>
  <si>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</si>
  <si>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</si>
  <si>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</si>
  <si>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</si>
  <si>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</si>
  <si>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</si>
  <si>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</si>
  <si>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</si>
  <si>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</si>
  <si>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</si>
  <si>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</si>
  <si>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</si>
  <si>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</si>
  <si>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</si>
  <si>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</si>
  <si>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</si>
  <si>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</si>
  <si>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</si>
  <si>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</si>
  <si>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</si>
  <si>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</si>
  <si>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</si>
  <si>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</si>
  <si>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TOTAL TRANSFERS TO OTHER ORGANS OF STATE:</t>
  </si>
  <si>
    <t>1. Total capital transfers and grants revenue must reconcile to Budgeted Financial Performance and Financial Position; total recurrent grants revenue must reconcile to Budgeted Financial Performance</t>
  </si>
  <si>
    <t>Total capital transfers and grants revenue</t>
  </si>
  <si>
    <t>Transfers to other municipalities</t>
  </si>
  <si>
    <t>TOTAL TRANSFERS TO MUNICIPALITIES:</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</si>
  <si>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</si>
  <si>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</si>
  <si>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</si>
  <si>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</si>
  <si>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</si>
  <si>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</si>
  <si>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</si>
  <si>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</si>
  <si>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</si>
  <si>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Other working capital estimate</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</si>
  <si>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</si>
  <si>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</si>
  <si>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</si>
  <si>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</si>
  <si>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</si>
  <si>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</si>
  <si>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</si>
  <si>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</si>
  <si>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</si>
  <si>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</si>
  <si>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</si>
  <si>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</si>
  <si>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</si>
  <si>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</si>
  <si>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</si>
  <si>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</si>
  <si>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</si>
  <si>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</si>
  <si>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</si>
  <si>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</si>
  <si>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</si>
  <si>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</si>
  <si>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</si>
  <si>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</si>
  <si>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</si>
  <si>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</si>
  <si>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</si>
  <si>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</si>
  <si>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</si>
  <si>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</si>
  <si>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</si>
  <si>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</si>
  <si>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</si>
  <si>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1.</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</si>
  <si>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</si>
  <si>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</si>
  <si>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</si>
  <si>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</si>
  <si>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</si>
  <si>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</si>
  <si>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</si>
  <si>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</si>
  <si>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</si>
  <si>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</si>
  <si>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</si>
  <si>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</si>
  <si>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</si>
  <si>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</si>
  <si>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</si>
  <si>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</si>
  <si>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</si>
  <si>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</si>
  <si>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5. Projects that fall above the threshold values applicable to the municipality as identified in regulation 13 of the Municipal Budget and Reporting Regulations must be listed individually. Other projects by programme by Vote</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</si>
  <si>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</si>
  <si>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</si>
  <si>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</si>
  <si>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</si>
  <si>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</si>
  <si>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</si>
  <si>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</si>
  <si>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</si>
  <si>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</si>
  <si>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</si>
  <si>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</si>
  <si>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</si>
  <si>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</si>
  <si>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</si>
  <si>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</si>
  <si>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</si>
  <si>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</si>
  <si>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</si>
  <si>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Provisions not funded - %</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</si>
  <si>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</si>
  <si>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</si>
  <si>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</si>
  <si>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</si>
  <si>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</si>
  <si>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</si>
  <si>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</si>
  <si>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</si>
  <si>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</si>
  <si>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</si>
  <si>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</si>
  <si>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</si>
  <si>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</si>
  <si>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</si>
  <si>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</si>
  <si>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</si>
  <si>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6. Also list each senior manager reporting to MM by designation and each official with package &gt;= senior manager by designation</t>
  </si>
  <si>
    <t>Speaker</t>
  </si>
  <si>
    <t>Executive Mayor</t>
  </si>
  <si>
    <t>Museums &amp; Art Galleries</t>
  </si>
  <si>
    <t>July</t>
  </si>
  <si>
    <t>Remuneration</t>
  </si>
  <si>
    <t>Total remuneration/(Total Revenue - capital revenue)</t>
  </si>
  <si>
    <t>Consumption growth (electricity)</t>
  </si>
  <si>
    <t>Consumption growth (water)</t>
  </si>
  <si>
    <t>7, 8</t>
  </si>
  <si>
    <t>8. List each senior manager reporting to the CEO of an Entity by designation</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</si>
  <si>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</si>
  <si>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</si>
  <si>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</si>
  <si>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</si>
  <si>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</si>
  <si>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</si>
  <si>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</si>
  <si>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</si>
  <si>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</si>
  <si>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</si>
  <si>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</si>
  <si>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</si>
  <si>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</si>
  <si>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</si>
  <si>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</si>
  <si>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</si>
  <si>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</si>
  <si>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</si>
  <si>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</si>
  <si>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</si>
  <si>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</si>
  <si>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</si>
  <si>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</si>
  <si>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</si>
  <si>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</si>
  <si>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</si>
  <si>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</si>
  <si>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</si>
  <si>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</si>
  <si>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</si>
  <si>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</si>
  <si>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</si>
  <si>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</si>
  <si>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</si>
  <si>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</si>
  <si>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Pension Contributions</t>
  </si>
  <si>
    <t>Medical Aid Contributions</t>
  </si>
  <si>
    <t>Sub Total - Councillors</t>
  </si>
  <si>
    <t>Performance Bonus</t>
  </si>
  <si>
    <t>Sub Total - Senior Managers of Municipality</t>
  </si>
  <si>
    <t>Other Municipal Staff</t>
  </si>
  <si>
    <t>Monthly Account for Household - 'Small' Household</t>
  </si>
  <si>
    <t>Housing benefits and allowances</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</si>
  <si>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</si>
  <si>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</si>
  <si>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</si>
  <si>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</si>
  <si>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</si>
  <si>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2. If benefits in kind are provided (e.g. provision of living quarters) the full market value must be shown as the cost to the municipality</t>
  </si>
  <si>
    <t>Description</t>
  </si>
  <si>
    <t>Total</t>
  </si>
  <si>
    <t>YTD  Actual 31 Dec</t>
  </si>
  <si>
    <t>YTD  Budget 31 Dec</t>
  </si>
  <si>
    <t>Total billable revenue</t>
  </si>
  <si>
    <t>Rand per annum</t>
  </si>
  <si>
    <t>2</t>
  </si>
  <si>
    <t>Head2A</t>
  </si>
  <si>
    <t>Total Capital Funding</t>
  </si>
  <si>
    <t>Example 8</t>
  </si>
  <si>
    <t>Example 9</t>
  </si>
  <si>
    <t>Example 10</t>
  </si>
  <si>
    <t>Subvote example 1</t>
  </si>
  <si>
    <t>Subvote example 2</t>
  </si>
  <si>
    <t>Subvote example 3</t>
  </si>
  <si>
    <t>Subvote example 4</t>
  </si>
  <si>
    <t>Subvote example 5</t>
  </si>
  <si>
    <t>Subvote example 6</t>
  </si>
  <si>
    <t>Subvote example 7</t>
  </si>
  <si>
    <t>Subvote example 8</t>
  </si>
  <si>
    <t>Subvote example 9</t>
  </si>
  <si>
    <t>Subvote example 10</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</si>
  <si>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</si>
  <si>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</si>
  <si>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</si>
  <si>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</si>
  <si>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</si>
  <si>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</si>
  <si>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</si>
  <si>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</si>
  <si>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</si>
  <si>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Funding of Provisions</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</si>
  <si>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</si>
  <si>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</si>
  <si>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</si>
  <si>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</si>
  <si>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</si>
  <si>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</si>
  <si>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</si>
  <si>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</si>
  <si>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</si>
  <si>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</si>
  <si>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</si>
  <si>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</si>
  <si>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</si>
  <si>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</si>
  <si>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</si>
  <si>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</si>
  <si>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</si>
  <si>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</si>
  <si>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</si>
  <si>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</si>
  <si>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</si>
  <si>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</si>
  <si>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</si>
  <si>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</si>
  <si>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</si>
  <si>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</si>
  <si>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</si>
  <si>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</si>
  <si>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</si>
  <si>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</si>
  <si>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</si>
  <si>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</si>
  <si>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</si>
  <si>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</si>
  <si>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</si>
  <si>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</si>
  <si>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</si>
  <si>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</si>
  <si>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</si>
  <si>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</si>
  <si>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</si>
  <si>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</si>
  <si>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</si>
  <si>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2 Use as basis 300m² erf, 48m² improvements, 498 units electricity and 25kl water.</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</si>
  <si>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</si>
  <si>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</si>
  <si>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</si>
  <si>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</si>
  <si>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</si>
  <si>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</si>
  <si>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</si>
  <si>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</si>
  <si>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</si>
  <si>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</si>
  <si>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</si>
  <si>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MP315 Thembisile</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</si>
  <si>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</si>
  <si>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</si>
  <si>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</si>
  <si>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</si>
  <si>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</si>
  <si>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</si>
  <si>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</si>
  <si>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</si>
  <si>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</si>
  <si>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</si>
  <si>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</si>
  <si>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</si>
  <si>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EC151 Mbizana</t>
  </si>
  <si>
    <t>EC152 Ntabankulu</t>
  </si>
  <si>
    <t>EC154 Port St Johns</t>
  </si>
  <si>
    <t>EC155 Nyandeni</t>
  </si>
  <si>
    <t>EC156 Mhlontlo</t>
  </si>
  <si>
    <t>EC157 King Sabata Dalindyebo</t>
  </si>
  <si>
    <t>FS161 Letsemeng</t>
  </si>
  <si>
    <t>FS162 Kopanong</t>
  </si>
  <si>
    <t>FS163 Mohokare</t>
  </si>
  <si>
    <t>FS171 Naledi (Fs)</t>
  </si>
  <si>
    <t>FS172 Mangaung</t>
  </si>
  <si>
    <t>FS173 Mantsopa</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</si>
  <si>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</si>
  <si>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</si>
  <si>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</si>
  <si>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</si>
  <si>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</si>
  <si>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</si>
  <si>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</si>
  <si>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</si>
  <si>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</si>
  <si>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</si>
  <si>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</si>
  <si>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</si>
  <si>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</si>
  <si>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</si>
  <si>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</si>
  <si>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</si>
  <si>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</si>
  <si>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</si>
  <si>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</si>
  <si>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</si>
  <si>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</si>
  <si>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</si>
  <si>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</si>
  <si>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</si>
  <si>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</si>
  <si>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</si>
  <si>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</si>
  <si>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</si>
  <si>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</si>
  <si>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</si>
  <si>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</si>
  <si>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</si>
  <si>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</si>
  <si>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</si>
  <si>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</si>
  <si>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</si>
  <si>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</si>
  <si>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</si>
  <si>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</si>
  <si>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</si>
  <si>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</si>
  <si>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</si>
  <si>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</si>
  <si>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</si>
  <si>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</si>
  <si>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</si>
  <si>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</si>
  <si>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</si>
  <si>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</si>
  <si>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</si>
  <si>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</si>
  <si>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</si>
  <si>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</si>
  <si>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</si>
  <si>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Board Fees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</si>
  <si>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</si>
  <si>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</si>
  <si>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</si>
  <si>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</si>
  <si>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</si>
  <si>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</si>
  <si>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</si>
  <si>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</si>
  <si>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</si>
  <si>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</si>
  <si>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</si>
  <si>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</si>
  <si>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</si>
  <si>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</si>
  <si>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 of capital exp on renewal of assets</t>
  </si>
  <si>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</si>
  <si>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</si>
  <si>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</si>
  <si>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</si>
  <si>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</si>
  <si>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</si>
  <si>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</si>
  <si>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</si>
  <si>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</si>
  <si>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Asset Class     4.</t>
  </si>
  <si>
    <t>Asset Sub-Class 4.</t>
  </si>
  <si>
    <t>4. As per Table 34</t>
  </si>
  <si>
    <t>IDP Goal code 3.</t>
  </si>
  <si>
    <t>Goal Code</t>
  </si>
  <si>
    <t>J</t>
  </si>
  <si>
    <t>K</t>
  </si>
  <si>
    <t>L</t>
  </si>
  <si>
    <t>M</t>
  </si>
  <si>
    <t>N</t>
  </si>
  <si>
    <t>O</t>
  </si>
  <si>
    <t>P</t>
  </si>
  <si>
    <t>Q</t>
  </si>
  <si>
    <t>2. Goal code must be used on Table A36</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</si>
  <si>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</si>
  <si>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</si>
  <si>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</si>
  <si>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</si>
  <si>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</si>
  <si>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</si>
  <si>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Estimate of other debtors &gt; 90 days</t>
  </si>
  <si>
    <t>Current debtors collected in 30 days</t>
  </si>
  <si>
    <t>Other debtors collected in 30 days</t>
  </si>
  <si>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</si>
  <si>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</si>
  <si>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</si>
  <si>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</si>
  <si>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</si>
  <si>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</si>
  <si>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</si>
  <si>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</si>
  <si>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</si>
  <si>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</si>
  <si>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</si>
  <si>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</si>
  <si>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</si>
  <si>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</si>
  <si>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</si>
  <si>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</si>
  <si>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</si>
  <si>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</si>
  <si>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</si>
  <si>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Housing allowance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</si>
  <si>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</si>
  <si>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</si>
  <si>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</si>
  <si>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</si>
  <si>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</si>
  <si>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</si>
  <si>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</si>
  <si>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</si>
  <si>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</si>
  <si>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</si>
  <si>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</si>
  <si>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</si>
  <si>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</si>
  <si>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</si>
  <si>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</si>
  <si>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</si>
  <si>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</si>
  <si>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</si>
  <si>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</si>
  <si>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</si>
  <si>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</si>
  <si>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</si>
  <si>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</si>
  <si>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SA12</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</si>
  <si>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</si>
  <si>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</si>
  <si>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</si>
  <si>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</si>
  <si>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</si>
  <si>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</si>
  <si>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</si>
  <si>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</si>
  <si>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</si>
  <si>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</si>
  <si>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</si>
  <si>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</si>
  <si>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</si>
  <si>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</si>
  <si>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</si>
  <si>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</si>
  <si>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</si>
  <si>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</si>
  <si>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</si>
  <si>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</si>
  <si>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</si>
  <si>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</si>
  <si>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</si>
  <si>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</si>
  <si>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</si>
  <si>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</si>
  <si>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</si>
  <si>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</si>
  <si>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</si>
  <si>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</si>
  <si>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</si>
  <si>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</si>
  <si>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</si>
  <si>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</si>
  <si>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</si>
  <si>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</si>
  <si>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</si>
  <si>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</si>
  <si>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</si>
  <si>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</si>
  <si>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</si>
  <si>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</si>
  <si>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</si>
  <si>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</si>
  <si>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</si>
  <si>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</si>
  <si>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</si>
  <si>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</si>
  <si>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</si>
  <si>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</si>
  <si>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</si>
  <si>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</si>
  <si>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</si>
  <si>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</si>
  <si>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</si>
  <si>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</si>
  <si>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</si>
  <si>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</si>
  <si>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</si>
  <si>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</si>
  <si>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</si>
  <si>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</si>
  <si>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</si>
  <si>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</si>
  <si>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</si>
  <si>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</si>
  <si>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</si>
  <si>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</si>
  <si>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</si>
  <si>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</si>
  <si>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</si>
  <si>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</si>
  <si>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</si>
  <si>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</si>
  <si>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</si>
  <si>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</si>
  <si>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</si>
  <si>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</si>
  <si>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</si>
  <si>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</si>
  <si>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</si>
  <si>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</si>
  <si>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</si>
  <si>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</si>
  <si>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</si>
  <si>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</si>
  <si>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</si>
  <si>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</si>
  <si>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</si>
  <si>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</si>
  <si>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</si>
  <si>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</si>
  <si>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</si>
  <si>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</si>
  <si>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Monthly Account for Household - 'Large' Household</t>
  </si>
  <si>
    <t>&gt;5</t>
  </si>
  <si>
    <t>6-10</t>
  </si>
  <si>
    <t>Uniform</t>
  </si>
  <si>
    <t>Salaries and Wages</t>
  </si>
  <si>
    <t>Contributions to UIF, pensions, medical aid</t>
  </si>
  <si>
    <t>Travel, motor car, accom; &amp; other allowances</t>
  </si>
  <si>
    <t>Overtime</t>
  </si>
  <si>
    <t>Long service awards</t>
  </si>
  <si>
    <t>Performance bonus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</si>
  <si>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</si>
  <si>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</si>
  <si>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</si>
  <si>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</si>
  <si>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</si>
  <si>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</si>
  <si>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</si>
  <si>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</si>
  <si>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</si>
  <si>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</si>
  <si>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</si>
  <si>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</si>
  <si>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</si>
  <si>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</si>
  <si>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</si>
  <si>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</si>
  <si>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</si>
  <si>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</si>
  <si>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</si>
  <si>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</si>
  <si>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</si>
  <si>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</si>
  <si>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</si>
  <si>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</si>
  <si>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</si>
  <si>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</si>
  <si>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</si>
  <si>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</si>
  <si>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None</t>
  </si>
  <si>
    <t>R1 - R4800</t>
  </si>
  <si>
    <t>R4800 - R9600</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</si>
  <si>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</si>
  <si>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</si>
  <si>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</si>
  <si>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</si>
  <si>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</si>
  <si>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</si>
  <si>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</si>
  <si>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</si>
  <si>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</si>
  <si>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</si>
  <si>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</si>
  <si>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</si>
  <si>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</si>
  <si>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</si>
  <si>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</si>
  <si>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</si>
  <si>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</si>
  <si>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</si>
  <si>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</si>
  <si>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</si>
  <si>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</si>
  <si>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</si>
  <si>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</si>
  <si>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</si>
  <si>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</si>
  <si>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</si>
  <si>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</si>
  <si>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</si>
  <si>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</si>
  <si>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</si>
  <si>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</si>
  <si>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</si>
  <si>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</si>
  <si>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</si>
  <si>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</si>
  <si>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</si>
  <si>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</si>
  <si>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</si>
  <si>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</si>
  <si>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</si>
  <si>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</si>
  <si>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</si>
  <si>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</si>
  <si>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</si>
  <si>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</si>
  <si>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</si>
  <si>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</si>
  <si>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</si>
  <si>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</si>
  <si>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</si>
  <si>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</si>
  <si>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</si>
  <si>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</si>
  <si>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</si>
  <si>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</si>
  <si>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</si>
  <si>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</si>
  <si>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</si>
  <si>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</si>
  <si>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</si>
  <si>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</si>
  <si>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</si>
  <si>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</si>
  <si>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</si>
  <si>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</si>
  <si>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</si>
  <si>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</si>
  <si>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</si>
  <si>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</si>
  <si>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</si>
  <si>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</si>
  <si>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</si>
  <si>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</si>
  <si>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</si>
  <si>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</si>
  <si>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</si>
  <si>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</si>
  <si>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</si>
  <si>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</si>
  <si>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</si>
  <si>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EC125 Buffalo City</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</si>
  <si>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</si>
  <si>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</si>
  <si>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</si>
  <si>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</si>
  <si>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</si>
  <si>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</si>
  <si>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</si>
  <si>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</si>
  <si>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</si>
  <si>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</si>
  <si>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</si>
  <si>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</si>
  <si>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</si>
  <si>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</si>
  <si>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</si>
  <si>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</si>
  <si>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</si>
  <si>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</si>
  <si>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</si>
  <si>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</si>
  <si>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</si>
  <si>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</si>
  <si>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</si>
  <si>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</si>
  <si>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</si>
  <si>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</si>
  <si>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</si>
  <si>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</si>
  <si>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</si>
  <si>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</si>
  <si>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</si>
  <si>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</si>
  <si>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</si>
  <si>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</si>
  <si>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</si>
  <si>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</si>
  <si>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</si>
  <si>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</si>
  <si>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</si>
  <si>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Organisational structure votes (if required)</t>
  </si>
  <si>
    <t>Organisational structure sub-votes (if required)</t>
  </si>
  <si>
    <t>Vote1</t>
  </si>
  <si>
    <t>Vote2</t>
  </si>
  <si>
    <t>Vote3</t>
  </si>
  <si>
    <t>Vote4</t>
  </si>
  <si>
    <t>Vote8</t>
  </si>
  <si>
    <t>Vote9</t>
  </si>
  <si>
    <t>Vote10</t>
  </si>
  <si>
    <t>Capital Expenditure - Standard</t>
  </si>
  <si>
    <t>Total Capital Expenditure - Standard</t>
  </si>
  <si>
    <t>5. Political office bearer is defined in MFMA s 1: speaker, executive mayor, deputy executive mayor, member of executive committee,</t>
  </si>
  <si>
    <t>4. List each political office bearer by designation. Provide a total for all other councillors</t>
  </si>
  <si>
    <t>Decrease (Increase) in non-current debtors</t>
  </si>
  <si>
    <t>Asset management</t>
  </si>
  <si>
    <t>Plant &amp; equipment</t>
  </si>
  <si>
    <t>Abattoirs</t>
  </si>
  <si>
    <t>Markets</t>
  </si>
  <si>
    <t>Creditors due in 30 days</t>
  </si>
  <si>
    <t>Balance outstanding - consumer debtors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</si>
  <si>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</si>
  <si>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</si>
  <si>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</si>
  <si>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</si>
  <si>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</si>
  <si>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</si>
  <si>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</si>
  <si>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</si>
  <si>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</si>
  <si>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</si>
  <si>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</si>
  <si>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Estimate of consumers debtors collection rate</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</si>
  <si>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</si>
  <si>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</si>
  <si>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</si>
  <si>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</si>
  <si>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</si>
  <si>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</si>
  <si>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</si>
  <si>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</si>
  <si>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</si>
  <si>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</si>
  <si>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</si>
  <si>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</si>
  <si>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</si>
  <si>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</si>
  <si>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</si>
  <si>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</si>
  <si>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</si>
  <si>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</si>
  <si>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</si>
  <si>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</si>
  <si>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3 Use as basis 300m² erf, 48m² improvements, 60kw electricity and 6kl water (TO BE CONFIRMED).</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</si>
  <si>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</si>
  <si>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</si>
  <si>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</si>
  <si>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</si>
  <si>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</si>
  <si>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</si>
  <si>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</si>
  <si>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</si>
  <si>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</si>
  <si>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</si>
  <si>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Housing statistics (3.)</t>
  </si>
  <si>
    <t>Dwellings provided by municipality (4.)</t>
  </si>
  <si>
    <t>Dwellings provided by private sector (5.)</t>
  </si>
  <si>
    <t>Economic (6.)</t>
  </si>
  <si>
    <t>Collection rates (7.)</t>
  </si>
  <si>
    <t>Subvote example 12</t>
  </si>
  <si>
    <t>Subvote example 13</t>
  </si>
  <si>
    <t>Subvote example 14</t>
  </si>
  <si>
    <t>Subvote example 15</t>
  </si>
  <si>
    <t>Example 12 - Vote12</t>
  </si>
  <si>
    <t>Example 13 - Vote13</t>
  </si>
  <si>
    <t>Example 14 - Vote14</t>
  </si>
  <si>
    <t>Example 15 - Vote15</t>
  </si>
  <si>
    <t>Water Distribution Losses (2)</t>
  </si>
  <si>
    <t>2006/07</t>
  </si>
  <si>
    <t>Refuse</t>
  </si>
  <si>
    <t>Rand/cent</t>
  </si>
  <si>
    <t>Rand thousand</t>
  </si>
  <si>
    <t>Grants to Organisations/ Groups of Individuals</t>
  </si>
  <si>
    <t>TOTAL GRANTS TO ORGANISATIONS/GROUPS 
OF INDIVIDUALS:</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</si>
  <si>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</si>
  <si>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</si>
  <si>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</si>
  <si>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</si>
  <si>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</si>
  <si>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</si>
  <si>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</si>
  <si>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</si>
  <si>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</si>
  <si>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</si>
  <si>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</si>
  <si>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</si>
  <si>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Other benefits or allowances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</si>
  <si>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</si>
  <si>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</si>
  <si>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</si>
  <si>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</si>
  <si>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</si>
  <si>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</si>
  <si>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</si>
  <si>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</si>
  <si>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</si>
  <si>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</si>
  <si>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</si>
  <si>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</si>
  <si>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</si>
  <si>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</si>
  <si>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</si>
  <si>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</si>
  <si>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</si>
  <si>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</si>
  <si>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</si>
  <si>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</si>
  <si>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</si>
  <si>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</si>
  <si>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</si>
  <si>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</si>
  <si>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</si>
  <si>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</si>
  <si>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</si>
  <si>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</si>
  <si>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</si>
  <si>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</si>
  <si>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</si>
  <si>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</si>
  <si>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Transfers to Entities/Other External Mechanisms</t>
  </si>
  <si>
    <t>TOTAL TRANSFERS TO ENTITIES/EMs'</t>
  </si>
  <si>
    <t>Transfers to other Organs of State</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</si>
  <si>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</si>
  <si>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</si>
  <si>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</si>
  <si>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</si>
  <si>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</si>
  <si>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</si>
  <si>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</si>
  <si>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</si>
  <si>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</si>
  <si>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</si>
  <si>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</si>
  <si>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</si>
  <si>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r>
      <t xml:space="preserve">Other reserves </t>
    </r>
    <r>
      <rPr>
        <i/>
        <sz val="8"/>
        <rFont val="Arial Narrow"/>
        <family val="2"/>
      </rPr>
      <t>(list)</t>
    </r>
  </si>
  <si>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</si>
  <si>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</si>
  <si>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</si>
  <si>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</si>
  <si>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</si>
  <si>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</si>
  <si>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Deputy City Manager - Corporate &amp; Human Resources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</si>
  <si>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</si>
  <si>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</si>
  <si>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</si>
  <si>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</si>
  <si>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</si>
  <si>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</si>
  <si>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</si>
  <si>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</si>
  <si>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</si>
  <si>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</si>
  <si>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</si>
  <si>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</si>
  <si>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</si>
  <si>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 xml:space="preserve"> </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</si>
  <si>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</si>
  <si>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</si>
  <si>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</si>
  <si>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</si>
  <si>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</si>
  <si>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</si>
  <si>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</si>
  <si>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</si>
  <si>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</si>
  <si>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</si>
  <si>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</si>
  <si>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</si>
  <si>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</si>
  <si>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</si>
  <si>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</si>
  <si>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</si>
  <si>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</si>
  <si>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</si>
  <si>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</si>
  <si>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</si>
  <si>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</si>
  <si>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</si>
  <si>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</si>
  <si>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</si>
  <si>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</si>
  <si>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</si>
  <si>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</si>
  <si>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</si>
  <si>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</si>
  <si>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</si>
  <si>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</si>
  <si>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</si>
  <si>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</si>
  <si>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</si>
  <si>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</si>
  <si>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</si>
  <si>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</si>
  <si>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</si>
  <si>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</si>
  <si>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</si>
  <si>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</si>
  <si>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</si>
  <si>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</si>
  <si>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</si>
  <si>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</si>
  <si>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</si>
  <si>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</si>
  <si>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</si>
  <si>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</si>
  <si>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</si>
  <si>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</si>
  <si>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</si>
  <si>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</si>
  <si>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</si>
  <si>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</si>
  <si>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</si>
  <si>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</si>
  <si>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</si>
  <si>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</si>
  <si>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</si>
  <si>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</si>
  <si>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</si>
  <si>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</si>
  <si>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</si>
  <si>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</si>
  <si>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</si>
  <si>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</si>
  <si>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</si>
  <si>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</si>
  <si>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</si>
  <si>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</si>
  <si>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</si>
  <si>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</si>
  <si>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</si>
  <si>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</si>
  <si>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</si>
  <si>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</si>
  <si>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</si>
  <si>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</si>
  <si>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</si>
  <si>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</si>
  <si>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</si>
  <si>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</si>
  <si>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</si>
  <si>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</si>
  <si>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</si>
  <si>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</si>
  <si>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</si>
  <si>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</si>
  <si>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</si>
  <si>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</si>
  <si>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</si>
  <si>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</si>
  <si>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</si>
  <si>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</si>
  <si>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</si>
  <si>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</si>
  <si>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</si>
  <si>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</si>
  <si>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</si>
  <si>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</si>
  <si>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</si>
  <si>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2010 World Cup</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</si>
  <si>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</si>
  <si>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</si>
  <si>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</si>
  <si>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</si>
  <si>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</si>
  <si>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</si>
  <si>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</si>
  <si>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</si>
  <si>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</si>
  <si>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</si>
  <si>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</si>
  <si>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</si>
  <si>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</si>
  <si>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</si>
  <si>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</si>
  <si>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</si>
  <si>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</si>
  <si>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</si>
  <si>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</si>
  <si>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</si>
  <si>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</si>
  <si>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</si>
  <si>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</si>
  <si>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</si>
  <si>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</si>
  <si>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</si>
  <si>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</si>
  <si>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</si>
  <si>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</si>
  <si>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Asset Class  3.</t>
  </si>
  <si>
    <t>Asset Sub-Class  3.</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</si>
  <si>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</si>
  <si>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</si>
  <si>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</si>
  <si>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</si>
  <si>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</si>
  <si>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</si>
  <si>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</si>
  <si>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</si>
  <si>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</si>
  <si>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</si>
  <si>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Capitalisation</t>
  </si>
  <si>
    <t>Government grant</t>
  </si>
  <si>
    <t>Donations and public contributions</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</si>
  <si>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</si>
  <si>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</si>
  <si>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</si>
  <si>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</si>
  <si>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</si>
  <si>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</si>
  <si>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</si>
  <si>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</si>
  <si>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</si>
  <si>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</si>
  <si>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</si>
  <si>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</si>
  <si>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</si>
  <si>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</si>
  <si>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</si>
  <si>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</si>
  <si>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</si>
  <si>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</si>
  <si>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</si>
  <si>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</si>
  <si>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</si>
  <si>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</si>
  <si>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</si>
  <si>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</si>
  <si>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</si>
  <si>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</si>
  <si>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</si>
  <si>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</si>
  <si>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Grants and subsidies paid - other municipalities</t>
  </si>
  <si>
    <t>Grants and subsidies paid - other</t>
  </si>
  <si>
    <t>Head46</t>
  </si>
  <si>
    <t xml:space="preserve"> - Adjustments Budget - January 2007</t>
  </si>
  <si>
    <t>Cell phone allowance</t>
  </si>
  <si>
    <t>Other benefits and allowances</t>
  </si>
  <si>
    <t>Cell phone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</si>
  <si>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</si>
  <si>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</si>
  <si>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</si>
  <si>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</si>
  <si>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</si>
  <si>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</si>
  <si>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</si>
  <si>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</si>
  <si>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</si>
  <si>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</si>
  <si>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</si>
  <si>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</si>
  <si>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</si>
  <si>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</si>
  <si>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</si>
  <si>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</si>
  <si>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</si>
  <si>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</si>
  <si>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</si>
  <si>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</si>
  <si>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</si>
  <si>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</si>
  <si>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</si>
  <si>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1 Use as basis 1 000m² erf, 150m² improvements, 1 000 units electricity and 30kl water.</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</si>
  <si>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</si>
  <si>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</si>
  <si>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</si>
  <si>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</si>
  <si>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</si>
  <si>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</si>
  <si>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</si>
  <si>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</si>
  <si>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</si>
  <si>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</si>
  <si>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</si>
  <si>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</si>
  <si>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</si>
  <si>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</si>
  <si>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</si>
  <si>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</si>
  <si>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</si>
  <si>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</si>
  <si>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</si>
  <si>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</si>
  <si>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</si>
  <si>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</si>
  <si>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</si>
  <si>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</si>
  <si>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</si>
  <si>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</si>
  <si>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</si>
  <si>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3. As per Table A6</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</si>
  <si>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</si>
  <si>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</si>
  <si>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</si>
  <si>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</si>
  <si>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</si>
  <si>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</si>
  <si>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</si>
  <si>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</si>
  <si>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</si>
  <si>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</si>
  <si>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</si>
  <si>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</si>
  <si>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</si>
  <si>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</si>
  <si>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</si>
  <si>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</si>
  <si>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</si>
  <si>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</si>
  <si>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</si>
  <si>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</si>
  <si>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</si>
  <si>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Motor vehicle allowance</t>
  </si>
  <si>
    <t>5. All descriptions should separate transfers for 'capital purposes' and 'operating purposes'</t>
  </si>
  <si>
    <t>1. Surplus (Deficit) must reconcile with Budgeted Financial Performance</t>
  </si>
  <si>
    <t>1. Surplus (Deficit) must reconcile with Budeted Financial Performance</t>
  </si>
  <si>
    <t>2. Must reconcile with table A34</t>
  </si>
  <si>
    <t>3. Asset category and sub-category must be selected from Table A34</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</si>
  <si>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</si>
  <si>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</si>
  <si>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</si>
  <si>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</si>
  <si>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</si>
  <si>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</si>
  <si>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</si>
  <si>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</si>
  <si>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</si>
  <si>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</si>
  <si>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</si>
  <si>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</si>
  <si>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</si>
  <si>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</si>
  <si>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</si>
  <si>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</si>
  <si>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</si>
  <si>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</si>
  <si>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</si>
  <si>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</si>
  <si>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Contrib.</t>
  </si>
  <si>
    <t>Head12</t>
  </si>
  <si>
    <t>Head13</t>
  </si>
  <si>
    <t>Head14</t>
  </si>
  <si>
    <t>Head15</t>
  </si>
  <si>
    <t>Head16</t>
  </si>
  <si>
    <t>Head17</t>
  </si>
  <si>
    <t>Head18</t>
  </si>
  <si>
    <t>Head19</t>
  </si>
  <si>
    <t>Head20</t>
  </si>
  <si>
    <t>Head21</t>
  </si>
  <si>
    <t>Head22</t>
  </si>
  <si>
    <t>Head23</t>
  </si>
  <si>
    <t>Example 5 - Vote5</t>
  </si>
  <si>
    <t>Example 6 - Vote6</t>
  </si>
  <si>
    <t>Example 7 - Vote7</t>
  </si>
  <si>
    <t>Example 8 - Vote8</t>
  </si>
  <si>
    <t>Example 9 - Vote9</t>
  </si>
  <si>
    <t>Example 10 - Vote10</t>
  </si>
  <si>
    <t>Summary of Employee and Councillor remuneration</t>
  </si>
  <si>
    <t>IDP regulation financial viability indicators</t>
  </si>
  <si>
    <t>i. Debt coverage</t>
  </si>
  <si>
    <t>ii.O/S Service Debtors to Revenue</t>
  </si>
  <si>
    <t>iii. Cost coverage</t>
  </si>
  <si>
    <t>Expenditure By Type</t>
  </si>
  <si>
    <t>Total Expenditure</t>
  </si>
  <si>
    <t>1. Monthly household income threshold</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</si>
  <si>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</si>
  <si>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</si>
  <si>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</si>
  <si>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</si>
  <si>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</si>
  <si>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</si>
  <si>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</si>
  <si>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</si>
  <si>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</si>
  <si>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</si>
  <si>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</si>
  <si>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</si>
  <si>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</si>
  <si>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</si>
  <si>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</si>
  <si>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</si>
  <si>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</si>
  <si>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</si>
  <si>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</si>
  <si>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</si>
  <si>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</si>
  <si>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</si>
  <si>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</si>
  <si>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</si>
  <si>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</si>
  <si>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</si>
  <si>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</si>
  <si>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</si>
  <si>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</si>
  <si>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</si>
  <si>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</si>
  <si>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</si>
  <si>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</si>
  <si>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</si>
  <si>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</si>
  <si>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</si>
  <si>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</si>
  <si>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</si>
  <si>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</si>
  <si>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</si>
  <si>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</si>
  <si>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</si>
  <si>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</si>
  <si>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</si>
  <si>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</si>
  <si>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</si>
  <si>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</si>
  <si>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</si>
  <si>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</si>
  <si>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</si>
  <si>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</si>
  <si>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</si>
  <si>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</si>
  <si>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</si>
  <si>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</si>
  <si>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</si>
  <si>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</si>
  <si>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</si>
  <si>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</si>
  <si>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</si>
  <si>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</si>
  <si>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</si>
  <si>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</si>
  <si>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</si>
  <si>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</si>
  <si>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</si>
  <si>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</si>
  <si>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</si>
  <si>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</si>
  <si>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</si>
  <si>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</si>
  <si>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</si>
  <si>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</si>
  <si>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Unfunded Provns./Total Provisions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</si>
  <si>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</si>
  <si>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</si>
  <si>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</si>
  <si>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</si>
  <si>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</si>
  <si>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</si>
  <si>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</si>
  <si>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</si>
  <si>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</si>
  <si>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</si>
  <si>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</si>
  <si>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</si>
  <si>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</si>
  <si>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</si>
  <si>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</si>
  <si>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</si>
  <si>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</si>
  <si>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</si>
  <si>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</si>
  <si>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</si>
  <si>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</si>
  <si>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</si>
  <si>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</si>
  <si>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</si>
  <si>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</si>
  <si>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</si>
  <si>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</si>
  <si>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</si>
  <si>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</si>
  <si>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</si>
  <si>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</si>
  <si>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</si>
  <si>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DC17 Motheo</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</si>
  <si>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</si>
  <si>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</si>
  <si>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</si>
  <si>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</si>
  <si>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</si>
  <si>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</si>
  <si>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</si>
  <si>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</si>
  <si>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</si>
  <si>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</si>
  <si>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</si>
  <si>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</si>
  <si>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</si>
  <si>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</si>
  <si>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GT461 Nokeng Tsa Taemane</t>
  </si>
  <si>
    <t>GT462 Kungwini</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</si>
  <si>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</si>
  <si>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</si>
  <si>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</si>
  <si>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</si>
  <si>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</si>
  <si>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</si>
  <si>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</si>
  <si>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</si>
  <si>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</si>
  <si>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</si>
  <si>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</si>
  <si>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</si>
  <si>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</si>
  <si>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</si>
  <si>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</si>
  <si>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</si>
  <si>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</si>
  <si>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</si>
  <si>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</si>
  <si>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</si>
  <si>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</si>
  <si>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</si>
  <si>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</si>
  <si>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</si>
  <si>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</si>
  <si>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</si>
  <si>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</si>
  <si>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</si>
  <si>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</si>
  <si>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</si>
  <si>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</si>
  <si>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</si>
  <si>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</si>
  <si>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</si>
  <si>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</si>
  <si>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</si>
  <si>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</si>
  <si>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</si>
  <si>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</si>
  <si>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</si>
  <si>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</si>
  <si>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</si>
  <si>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Monthly Account for Household - 'Small' Household receiving free basic services</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</si>
  <si>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</si>
  <si>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</si>
  <si>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</si>
  <si>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</si>
  <si>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</si>
  <si>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</si>
  <si>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</si>
  <si>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</si>
  <si>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3.</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</si>
  <si>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</si>
  <si>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</si>
  <si>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</si>
  <si>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</si>
  <si>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</si>
  <si>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</si>
  <si>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</si>
  <si>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Balance outstanding - other debtors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</si>
  <si>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</si>
  <si>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</si>
  <si>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</si>
  <si>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</si>
  <si>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</si>
  <si>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</si>
  <si>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</si>
  <si>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</si>
  <si>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</si>
  <si>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</si>
  <si>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</si>
  <si>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</si>
  <si>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</si>
  <si>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</si>
  <si>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</si>
  <si>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</si>
  <si>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</si>
  <si>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</si>
  <si>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</si>
  <si>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</si>
  <si>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</si>
  <si>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</si>
  <si>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</si>
  <si>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</si>
  <si>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</si>
  <si>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</si>
  <si>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</si>
  <si>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</si>
  <si>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</si>
  <si>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</si>
  <si>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</si>
  <si>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</si>
  <si>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</si>
  <si>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</si>
  <si>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</si>
  <si>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</si>
  <si>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</si>
  <si>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</si>
  <si>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</si>
  <si>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</si>
  <si>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</si>
  <si>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</si>
  <si>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</si>
  <si>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</si>
  <si>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</si>
  <si>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</si>
  <si>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</si>
  <si>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</si>
  <si>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</si>
  <si>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</si>
  <si>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</si>
  <si>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</si>
  <si>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</si>
  <si>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Debt Impairement % of Total Billable Revenue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</si>
  <si>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</si>
  <si>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</si>
  <si>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</si>
  <si>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</si>
  <si>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</si>
  <si>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</si>
  <si>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</si>
  <si>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</si>
  <si>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</si>
  <si>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</si>
  <si>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</si>
  <si>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</si>
  <si>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</si>
  <si>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</si>
  <si>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</si>
  <si>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</si>
  <si>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</si>
  <si>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</si>
  <si>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</si>
  <si>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</si>
  <si>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</si>
  <si>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DC2 Cape Winelands</t>
  </si>
  <si>
    <t>KZN KWAZULU-NATAL</t>
  </si>
  <si>
    <t>DC45 John Taolo Gaetsewe</t>
  </si>
  <si>
    <t>DC7 Pixley Ka Seme (NC)</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</si>
  <si>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</si>
  <si>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</si>
  <si>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</si>
  <si>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</si>
  <si>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</si>
  <si>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</si>
  <si>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</si>
  <si>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</si>
  <si>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</si>
  <si>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</si>
  <si>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MP312 Emalahleni (MP)</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</si>
  <si>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</si>
  <si>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</si>
  <si>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</si>
  <si>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</si>
  <si>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</si>
  <si>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</si>
  <si>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</si>
  <si>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</si>
  <si>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</si>
  <si>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</si>
  <si>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</si>
  <si>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</si>
  <si>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</si>
  <si>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</si>
  <si>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</si>
  <si>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</si>
  <si>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</si>
  <si>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</si>
  <si>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</si>
  <si>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</si>
  <si>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</si>
  <si>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</si>
  <si>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</si>
  <si>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</si>
  <si>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</si>
  <si>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</si>
  <si>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</si>
  <si>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</si>
  <si>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</si>
  <si>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</si>
  <si>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</si>
  <si>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</si>
  <si>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</si>
  <si>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</si>
  <si>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</si>
  <si>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</si>
  <si>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</si>
  <si>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</si>
  <si>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</si>
  <si>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</si>
  <si>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</si>
  <si>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</si>
  <si>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</si>
  <si>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</si>
  <si>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</si>
  <si>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</si>
  <si>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</si>
  <si>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</si>
  <si>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</si>
  <si>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</si>
  <si>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</si>
  <si>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 xml:space="preserve">  Finance Management</t>
  </si>
  <si>
    <t xml:space="preserve">  Municipal Systems Improvement</t>
  </si>
  <si>
    <t xml:space="preserve">  Restructuring</t>
  </si>
  <si>
    <t>Vote 1 - Corporate Services and Planning</t>
  </si>
  <si>
    <t>Vote 2 - Financial Management Area</t>
  </si>
  <si>
    <t>Vote 3 - Infrastructure Development, Service Delivery and Maintenance Management</t>
  </si>
  <si>
    <t>Vote 4 - Sustainable Community Service Delivery Provision Management</t>
  </si>
  <si>
    <t>Vote 5 - Example 5</t>
  </si>
  <si>
    <t>Vote 6 - Example 6</t>
  </si>
  <si>
    <t>Vote 7 - Example 7</t>
  </si>
  <si>
    <t>Vote 8 - Example 8</t>
  </si>
  <si>
    <t>Vote 9 - Example 9</t>
  </si>
  <si>
    <t>Vote 10 - Example 10</t>
  </si>
  <si>
    <t>Vote 11 - Example 11</t>
  </si>
  <si>
    <t>Vote 12 - Example 12</t>
  </si>
  <si>
    <t>Vote 13 - Example 13</t>
  </si>
  <si>
    <t>Vote 14 - Example 14</t>
  </si>
  <si>
    <t>Vote 15 - Example 15</t>
  </si>
  <si>
    <t>Corporate Services and Planning</t>
  </si>
  <si>
    <t>Council and Committee Support</t>
  </si>
  <si>
    <t>Enterprise  Wide Risk Management &amp; Audit and Compliance</t>
  </si>
  <si>
    <t>Human Resources Management</t>
  </si>
  <si>
    <t>Legislative Compliance</t>
  </si>
  <si>
    <t>Local Economic Development Management</t>
  </si>
  <si>
    <t>Management Information Services</t>
  </si>
  <si>
    <t>Marketing and Public Relations Management</t>
  </si>
  <si>
    <t>Financial Management Area</t>
  </si>
  <si>
    <t>Budget &amp; Treasury Management</t>
  </si>
  <si>
    <t>Expenditure Management</t>
  </si>
  <si>
    <t>Financial Control and Cash Management</t>
  </si>
  <si>
    <t>Supply Chain Management</t>
  </si>
  <si>
    <t>Infrastructure Development, Service Delivery and Maintenance Management</t>
  </si>
  <si>
    <t>Electricity distribution Management</t>
  </si>
  <si>
    <t>Human Settlement Development Management</t>
  </si>
  <si>
    <t>Municipal Infrastructure Planning, Funding, Maintenance and Development Management</t>
  </si>
  <si>
    <t>Roads and Stormwater</t>
  </si>
  <si>
    <t>Water Distribution and Sanitation Management</t>
  </si>
  <si>
    <t>Sustainable Community Service Delivery Provision Management</t>
  </si>
  <si>
    <t>Community Services Provision Management</t>
  </si>
  <si>
    <t>Public Safety, Enforcement and Disaster Management</t>
  </si>
  <si>
    <t>Regional Community Services Provision Management</t>
  </si>
  <si>
    <t>N/A</t>
  </si>
  <si>
    <t>Neighbourhood Partnership Grant</t>
  </si>
  <si>
    <t>Dept of Mineral/Electricty</t>
  </si>
  <si>
    <t>MIG Operational Costs</t>
  </si>
  <si>
    <t>Safe City</t>
  </si>
  <si>
    <t>NEIGHBOURHOOD PARTNERSHIP</t>
  </si>
  <si>
    <t>Security Contract</t>
  </si>
  <si>
    <r>
      <t>Repairs and maintenance</t>
    </r>
    <r>
      <rPr>
        <b/>
        <i/>
        <sz val="8"/>
        <rFont val="Arial"/>
        <family val="2"/>
      </rPr>
      <t xml:space="preserve"> (to be deleted)</t>
    </r>
  </si>
  <si>
    <t>Remuneration Of Councillors</t>
  </si>
  <si>
    <t>Bad Debts - Provision</t>
  </si>
  <si>
    <t>Collection Costs</t>
  </si>
  <si>
    <t>Interest Paid</t>
  </si>
  <si>
    <t>Grants &amp; Subsidies Paid</t>
  </si>
  <si>
    <t>Impairment Of Inventory</t>
  </si>
  <si>
    <t>Cost Of Imcome Forgone</t>
  </si>
  <si>
    <t>External Services</t>
  </si>
  <si>
    <t>Distribution Wages</t>
  </si>
  <si>
    <t>DownTime Leave/Sickpay</t>
  </si>
  <si>
    <t>To improve health care</t>
  </si>
  <si>
    <t>To promote health,safety &amp; caring of environment</t>
  </si>
  <si>
    <t>To upgrade, resurface roads including associated stormwater rainage,to improve the total road network</t>
  </si>
  <si>
    <t>To improve &amp; maintain infrastructure assets</t>
  </si>
  <si>
    <t>To upgrade,replace,rehabilitate sewer infrastructure</t>
  </si>
  <si>
    <t>To complete installation of renewal,provide access to basic water,elimination of standpipes,upgrade</t>
  </si>
  <si>
    <t>To provide access to lighting,refurbish transmission lines,replace switchgear</t>
  </si>
  <si>
    <t>To promote social integration</t>
  </si>
  <si>
    <t>Promote the city heritage &amp; enhance sustainable tourism</t>
  </si>
  <si>
    <t>To provide sustainable &amp; developmental finance through sound financial management</t>
  </si>
  <si>
    <t>Use technology advancement to improve service delivery</t>
  </si>
  <si>
    <t>To ensure proper regulations,control and enforcement</t>
  </si>
  <si>
    <t>To promote &amp; enhance e-governance</t>
  </si>
  <si>
    <t>To develop social housing</t>
  </si>
  <si>
    <t>To promote integrated development</t>
  </si>
  <si>
    <t>To provide adequate staffing levels</t>
  </si>
  <si>
    <t>To promote the involvement of communities</t>
  </si>
  <si>
    <t>Environmentally sustainable development</t>
  </si>
  <si>
    <t>To promote access to basic services</t>
  </si>
  <si>
    <t>To bring the landfill in coplaince with NEMA</t>
  </si>
  <si>
    <t>Census Count/Estimate</t>
  </si>
  <si>
    <t>Census Count per month</t>
  </si>
  <si>
    <t>Statistics South Africa</t>
  </si>
  <si>
    <t>616 730</t>
  </si>
  <si>
    <t>60 191</t>
  </si>
  <si>
    <t>62 027</t>
  </si>
  <si>
    <t>121 878</t>
  </si>
  <si>
    <t>122 889</t>
  </si>
  <si>
    <t>97 816</t>
  </si>
  <si>
    <t>MARKET</t>
  </si>
  <si>
    <t>Other transfers/grants - Various Grants</t>
  </si>
  <si>
    <t>Carnegie Corporation - Library</t>
  </si>
  <si>
    <t xml:space="preserve">VIP </t>
  </si>
  <si>
    <t>Moses Mabidha</t>
  </si>
  <si>
    <t>Financial Viability and Management</t>
  </si>
  <si>
    <t>An efficiently managed,financially viable and sustainable city</t>
  </si>
  <si>
    <t>Basic Service and Infrastructure Development</t>
  </si>
  <si>
    <t>A city where everybody has access to habitable human settlement-decent houses,clean water and proper sanitation</t>
  </si>
  <si>
    <t>Local Economic Development</t>
  </si>
  <si>
    <t>A vibrant economic centre, attracting investment,supporting business development and creating jobs</t>
  </si>
  <si>
    <t>Good Governance and Public Participation</t>
  </si>
  <si>
    <t>A well-governed city underpinned by meaningful public participation</t>
  </si>
  <si>
    <t>Institutional Development and Transformation</t>
  </si>
  <si>
    <t>Environmental Planning and Social Services</t>
  </si>
  <si>
    <t>An environmentally sustainable and healthy city</t>
  </si>
  <si>
    <t>Basic Service Delivery and Infrastructure Development</t>
  </si>
  <si>
    <t>A city where everybody has access to habitable human settlements-decent houses, clean water and proper sanitation</t>
  </si>
  <si>
    <t>An efficiently managed, financially viable and sustainable City</t>
  </si>
  <si>
    <t>A safe city, with low crime levels, and quality living areas</t>
  </si>
  <si>
    <t>An environmental sustainable and healthy city</t>
  </si>
  <si>
    <t>A vibrant economic centre,attracting investment, supporting business development and creating jobs</t>
  </si>
  <si>
    <t>A well planned, spatially integrated city</t>
  </si>
  <si>
    <t>2009/2010</t>
  </si>
  <si>
    <t>SV4</t>
  </si>
  <si>
    <t>2008/2009</t>
  </si>
  <si>
    <t>Nil</t>
  </si>
  <si>
    <t>SV1</t>
  </si>
  <si>
    <t>Unknown</t>
  </si>
  <si>
    <t>Uknown</t>
  </si>
  <si>
    <t>All</t>
  </si>
  <si>
    <t>unknown</t>
  </si>
  <si>
    <t xml:space="preserve">  Other transfers/grants [MIG Operating Costs]</t>
  </si>
  <si>
    <t>2010/2011</t>
  </si>
  <si>
    <t>Grade 5</t>
  </si>
  <si>
    <t>www.msunduzi.gov.za</t>
  </si>
  <si>
    <t>mahendra.sahibdeen@msunduzi.gov.za</t>
  </si>
  <si>
    <t>Private Bag 321</t>
  </si>
  <si>
    <t>Pietermaritzburg</t>
  </si>
  <si>
    <t>Professor Nyembezi</t>
  </si>
  <si>
    <t>341 Church Street</t>
  </si>
  <si>
    <t>033 392 2601</t>
  </si>
  <si>
    <t>033 392 2506</t>
  </si>
  <si>
    <t>Baboo Baijoo</t>
  </si>
  <si>
    <t>033 392 2541</t>
  </si>
  <si>
    <t>083 780 0504</t>
  </si>
  <si>
    <t>033 392 2208</t>
  </si>
  <si>
    <t>baboo.baijoo@msunduzi.gov.za</t>
  </si>
  <si>
    <t>Nonhlanhla Mkhize</t>
  </si>
  <si>
    <t>082 537 5783</t>
  </si>
  <si>
    <t>Nonhlanhla.Mkhize@msunduzi.gov.za</t>
  </si>
  <si>
    <t>Mike Tarr</t>
  </si>
  <si>
    <t>033 392 2000</t>
  </si>
  <si>
    <t>033 345 1637</t>
  </si>
  <si>
    <t>kavina.christian@msunduzi.gov.za</t>
  </si>
  <si>
    <t>Kavina Christian</t>
  </si>
  <si>
    <t>033 392 2036</t>
  </si>
  <si>
    <t>Jabu Nguba</t>
  </si>
  <si>
    <t>033 392 2001</t>
  </si>
  <si>
    <t>ashreena.jethoo@msunduzi.gov.za</t>
  </si>
  <si>
    <t>Thokozani Maseko</t>
  </si>
  <si>
    <t>033 392 2013</t>
  </si>
  <si>
    <t>033 3424522</t>
  </si>
  <si>
    <t>Thokozani.Maseko@msunduzi.gov.za</t>
  </si>
  <si>
    <t>Mercia Daniels</t>
  </si>
  <si>
    <t>033 392 2397</t>
  </si>
  <si>
    <t>mercia.daniel@msunduzi.gov.za</t>
  </si>
  <si>
    <t>Neville Sarawan</t>
  </si>
  <si>
    <t>033 392 2477</t>
  </si>
  <si>
    <t>083 577 9179</t>
  </si>
  <si>
    <t>neville.sarawan@msunduzi.gov.za</t>
  </si>
  <si>
    <t>Sixtus Gwala</t>
  </si>
  <si>
    <t>033 392 2568</t>
  </si>
  <si>
    <t>083 577 9175</t>
  </si>
  <si>
    <t>sixtus.gwala@msunduzi.gov.za</t>
  </si>
  <si>
    <t>Roshine Padayachee</t>
  </si>
  <si>
    <t>033 392 2106</t>
  </si>
  <si>
    <t>084 555 7758</t>
  </si>
  <si>
    <t>roshine.padayachee@msunduzi.gov.za</t>
  </si>
  <si>
    <t>Bronwyn Diedricks</t>
  </si>
  <si>
    <t>bronwyn.benjamin@msunduzi.gov.za</t>
  </si>
  <si>
    <t>MIG</t>
  </si>
  <si>
    <t>MIG Operating Costs</t>
  </si>
  <si>
    <t>Financial Management Grant</t>
  </si>
  <si>
    <t>2011/2012</t>
  </si>
  <si>
    <t>2012/2013</t>
  </si>
  <si>
    <t>2013/2014</t>
  </si>
  <si>
    <t>Neighbourhood Development Partnership Grant &amp; Others</t>
  </si>
  <si>
    <t>Public Transport Infrastructure &amp; System</t>
  </si>
  <si>
    <t>Airport Development Project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</si>
</sst>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64" formatCode="_(* #,##0_);_(* \(#,##0\);_(* &quot;-&quot;_);_(@_)"/>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Red]\(0%\)"/>
    <numFmt numFmtId="173" formatCode="0.0"/>
    <numFmt numFmtId="174" formatCode="#,##0,;[Red]\(#,##0,\)"/>
    <numFmt numFmtId="175" formatCode="_(* #,##0,,_);_(* \(#,##0,,\);_(* &quot;–&quot;?_);_(@_)"/>
    <numFmt numFmtId="176" formatCode="_(* #,##0,_);_(* \(#,##0,\);_(* &quot;–&quot;?_);_(@_)"/>
    <numFmt numFmtId="177" formatCode="_(* #,##0_);_(* \(#,##0\);_(* &quot;–&quot;?_);_(@_)"/>
    <numFmt numFmtId="178" formatCode="_(* #,##0.0_);_(* \(#,##0.0\);_(* &quot;–&quot;?_);_(@_)"/>
    <numFmt numFmtId="179" formatCode="_(* #,##0.000000_);_(* \(#,##0.000000\);_(* &quot;–&quot;?_);_(@_)"/>
    <numFmt numFmtId="180" formatCode="_(* #,##0.00_);_(* \(#,##0.00\);_(* &quot;–&quot;?_);_(@_)"/>
    <numFmt numFmtId="181" formatCode="_(* #,##0.0%_);_(* \(#,##0.0%\);_(* &quot;–&quot;?_);_(@_)"/>
    <numFmt numFmtId="182" formatCode="[$-1C09]dd\ mmmm\ yyyy"/>
    <numFmt numFmtId="183" formatCode="0000"/>
    <numFmt numFmtId="184" formatCode="#,###"/>
  </numFmts>
  <fonts count="56">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b/>
      <u/>
      <sz val="8"/>
      <name val="Arial"/>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b/>
      <sz val="9"/>
      <name val="Arial"/>
      <family val="2"/>
    </font>
    <font>
      <sz val="9"/>
      <name val="Arial"/>
      <family val="2"/>
    </font>
    <font>
      <b/>
      <sz val="10"/>
      <name val="Utah"/>
    </font>
    <font>
      <sz val="10"/>
      <name val="Arial"/>
      <family val="2"/>
    </font>
    <font>
      <i/>
      <sz val="8"/>
      <name val="Utah"/>
    </font>
    <font>
      <sz val="10"/>
      <name val="Utah"/>
    </font>
    <font>
      <b/>
      <sz val="10"/>
      <name val="Utah"/>
      <family val="2"/>
    </font>
    <font>
      <sz val="10"/>
      <name val="Utah"/>
      <family val="2"/>
    </font>
    <font>
      <sz val="10"/>
      <color indexed="8"/>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sz val="8"/>
      <color theme="1"/>
      <name val="Arial Narrow"/>
      <family val="2"/>
    </font>
    <font>
      <b/>
      <sz val="8"/>
      <color theme="1"/>
      <name val="Arial Narrow"/>
      <family val="2"/>
    </font>
    <font>
      <u/>
      <sz val="10"/>
      <color theme="10"/>
      <name val="Arial"/>
      <family val="2"/>
    </font>
    <font>
      <u/>
      <sz val="10"/>
      <color rgb="FF0000FF"/>
      <name val="Arial"/>
      <family val="2"/>
    </font>
    <font>
      <sz val="10"/>
      <color rgb="FF0000FF"/>
      <name val="Utah"/>
    </font>
    <font>
      <sz val="10"/>
      <color rgb="FF000000"/>
      <name val="Arial"/>
      <family val="2"/>
    </font>
  </fonts>
  <fills count="2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s>
  <borders count="1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5">
    <xf numFmtId="0" fontId="0" fillId="0" borderId="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182" fontId="45" fillId="0" borderId="0"/>
    <xf numFmtId="182" fontId="24" fillId="0" borderId="0"/>
    <xf numFmtId="182" fontId="24" fillId="0" borderId="0"/>
    <xf numFmtId="0" fontId="25" fillId="0" borderId="0"/>
    <xf numFmtId="9" fontId="1"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cellStyleXfs>
  <cellXfs count="249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12"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12" applyFont="1" applyBorder="1" applyAlignment="1">
      <alignment horizontal="center"/>
    </xf>
    <xf numFmtId="9" fontId="2" fillId="0" borderId="5" xfId="12" applyFont="1" applyBorder="1" applyAlignment="1">
      <alignment horizontal="center"/>
    </xf>
    <xf numFmtId="0" fontId="2" fillId="0" borderId="12" xfId="0" applyFont="1" applyBorder="1"/>
    <xf numFmtId="9" fontId="2" fillId="0" borderId="11" xfId="12" applyFont="1" applyBorder="1" applyAlignment="1">
      <alignment horizontal="center"/>
    </xf>
    <xf numFmtId="168" fontId="2" fillId="0" borderId="1" xfId="12" applyNumberFormat="1" applyFont="1" applyBorder="1" applyAlignment="1">
      <alignment horizontal="center"/>
    </xf>
    <xf numFmtId="168" fontId="2" fillId="0" borderId="5" xfId="12" applyNumberFormat="1" applyFont="1" applyBorder="1" applyAlignment="1">
      <alignment horizontal="center"/>
    </xf>
    <xf numFmtId="10" fontId="2" fillId="0" borderId="1" xfId="12"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12"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4" fontId="2" fillId="0" borderId="11" xfId="0" applyNumberFormat="1" applyFont="1" applyBorder="1"/>
    <xf numFmtId="174" fontId="2" fillId="0" borderId="12" xfId="0" applyNumberFormat="1" applyFont="1" applyBorder="1"/>
    <xf numFmtId="174" fontId="2" fillId="0" borderId="18" xfId="0" applyNumberFormat="1" applyFont="1" applyBorder="1"/>
    <xf numFmtId="174" fontId="2" fillId="0" borderId="19" xfId="0" applyNumberFormat="1" applyFont="1" applyBorder="1"/>
    <xf numFmtId="174" fontId="2" fillId="0" borderId="1" xfId="0" applyNumberFormat="1" applyFont="1" applyBorder="1"/>
    <xf numFmtId="174" fontId="2" fillId="0" borderId="3" xfId="0" applyNumberFormat="1" applyFont="1" applyBorder="1"/>
    <xf numFmtId="174" fontId="2" fillId="0" borderId="13" xfId="0" applyNumberFormat="1" applyFont="1" applyBorder="1"/>
    <xf numFmtId="174" fontId="2" fillId="0" borderId="14" xfId="0" applyNumberFormat="1" applyFont="1" applyBorder="1"/>
    <xf numFmtId="174" fontId="5" fillId="0" borderId="1" xfId="0" applyNumberFormat="1" applyFont="1" applyBorder="1"/>
    <xf numFmtId="174" fontId="5" fillId="0" borderId="3" xfId="0" applyNumberFormat="1" applyFont="1" applyBorder="1"/>
    <xf numFmtId="174" fontId="5" fillId="0" borderId="13" xfId="0" applyNumberFormat="1" applyFont="1" applyBorder="1"/>
    <xf numFmtId="174" fontId="5" fillId="0" borderId="14" xfId="0" applyNumberFormat="1" applyFont="1" applyBorder="1"/>
    <xf numFmtId="174" fontId="2" fillId="0" borderId="20" xfId="0" applyNumberFormat="1" applyFont="1" applyBorder="1"/>
    <xf numFmtId="174" fontId="2" fillId="0" borderId="21" xfId="0" applyNumberFormat="1" applyFont="1" applyBorder="1"/>
    <xf numFmtId="174" fontId="2" fillId="0" borderId="22" xfId="0" applyNumberFormat="1" applyFont="1" applyBorder="1"/>
    <xf numFmtId="174" fontId="2" fillId="0" borderId="23" xfId="0" applyNumberFormat="1" applyFont="1" applyBorder="1"/>
    <xf numFmtId="174" fontId="2" fillId="0" borderId="24" xfId="0" applyNumberFormat="1" applyFont="1" applyBorder="1"/>
    <xf numFmtId="174" fontId="2" fillId="0" borderId="25" xfId="0" applyNumberFormat="1" applyFont="1" applyBorder="1"/>
    <xf numFmtId="174" fontId="2" fillId="0" borderId="26" xfId="0" applyNumberFormat="1" applyFont="1" applyBorder="1"/>
    <xf numFmtId="174" fontId="2" fillId="0" borderId="27" xfId="0" applyNumberFormat="1" applyFont="1" applyBorder="1"/>
    <xf numFmtId="174" fontId="5" fillId="0" borderId="2" xfId="0" applyNumberFormat="1" applyFont="1" applyBorder="1"/>
    <xf numFmtId="174" fontId="5" fillId="0" borderId="17" xfId="0" applyNumberFormat="1" applyFont="1" applyBorder="1"/>
    <xf numFmtId="174" fontId="5" fillId="0" borderId="28" xfId="0" applyNumberFormat="1" applyFont="1" applyBorder="1"/>
    <xf numFmtId="174" fontId="5" fillId="0" borderId="29" xfId="0" applyNumberFormat="1" applyFont="1" applyBorder="1"/>
    <xf numFmtId="174"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4" fontId="2" fillId="0" borderId="30" xfId="0" applyNumberFormat="1" applyFont="1" applyBorder="1"/>
    <xf numFmtId="174" fontId="5" fillId="0" borderId="20" xfId="0" applyNumberFormat="1" applyFont="1" applyBorder="1"/>
    <xf numFmtId="174" fontId="5" fillId="0" borderId="21" xfId="0" applyNumberFormat="1" applyFont="1" applyBorder="1"/>
    <xf numFmtId="174" fontId="5" fillId="0" borderId="22" xfId="0" applyNumberFormat="1" applyFont="1" applyBorder="1"/>
    <xf numFmtId="174" fontId="5" fillId="0" borderId="24" xfId="0" applyNumberFormat="1" applyFont="1" applyBorder="1"/>
    <xf numFmtId="174" fontId="5" fillId="0" borderId="25" xfId="0" applyNumberFormat="1" applyFont="1" applyBorder="1"/>
    <xf numFmtId="174" fontId="5" fillId="0" borderId="26" xfId="0" applyNumberFormat="1" applyFont="1" applyBorder="1"/>
    <xf numFmtId="174" fontId="4" fillId="0" borderId="20" xfId="0" applyNumberFormat="1" applyFont="1" applyBorder="1"/>
    <xf numFmtId="174" fontId="4" fillId="0" borderId="21" xfId="0" applyNumberFormat="1" applyFont="1" applyBorder="1"/>
    <xf numFmtId="174" fontId="4" fillId="0" borderId="22" xfId="0" applyNumberFormat="1" applyFont="1" applyBorder="1"/>
    <xf numFmtId="174" fontId="4" fillId="0" borderId="1" xfId="0" applyNumberFormat="1" applyFont="1" applyBorder="1"/>
    <xf numFmtId="174" fontId="4" fillId="0" borderId="3" xfId="0" applyNumberFormat="1" applyFont="1" applyBorder="1"/>
    <xf numFmtId="174" fontId="4" fillId="0" borderId="13" xfId="0" applyNumberFormat="1" applyFont="1" applyBorder="1"/>
    <xf numFmtId="174" fontId="4" fillId="0" borderId="24" xfId="0" applyNumberFormat="1" applyFont="1" applyBorder="1"/>
    <xf numFmtId="174" fontId="4" fillId="0" borderId="25" xfId="0" applyNumberFormat="1" applyFont="1" applyBorder="1"/>
    <xf numFmtId="174" fontId="4" fillId="0" borderId="26" xfId="0" applyNumberFormat="1" applyFont="1" applyBorder="1"/>
    <xf numFmtId="174" fontId="4" fillId="0" borderId="14" xfId="0" applyNumberFormat="1" applyFont="1" applyBorder="1"/>
    <xf numFmtId="174" fontId="5" fillId="0" borderId="23" xfId="0" applyNumberFormat="1" applyFont="1" applyBorder="1"/>
    <xf numFmtId="174" fontId="5" fillId="0" borderId="27" xfId="0" applyNumberFormat="1" applyFont="1" applyBorder="1"/>
    <xf numFmtId="174" fontId="4" fillId="0" borderId="23" xfId="0" applyNumberFormat="1" applyFont="1" applyBorder="1"/>
    <xf numFmtId="174"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4" fontId="2" fillId="0" borderId="0" xfId="0" applyNumberFormat="1" applyFont="1"/>
    <xf numFmtId="174" fontId="2" fillId="6" borderId="1" xfId="0" applyNumberFormat="1" applyFont="1" applyFill="1" applyBorder="1"/>
    <xf numFmtId="174" fontId="2" fillId="0" borderId="24" xfId="0" applyNumberFormat="1" applyFont="1" applyFill="1" applyBorder="1"/>
    <xf numFmtId="174" fontId="2" fillId="0" borderId="4" xfId="0" applyNumberFormat="1" applyFont="1" applyBorder="1"/>
    <xf numFmtId="174" fontId="2" fillId="0" borderId="31" xfId="0" applyNumberFormat="1" applyFont="1" applyBorder="1"/>
    <xf numFmtId="174" fontId="2" fillId="0" borderId="32" xfId="0" applyNumberFormat="1" applyFont="1" applyBorder="1"/>
    <xf numFmtId="174"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1"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12" applyFont="1" applyBorder="1" applyAlignment="1">
      <alignment horizontal="center"/>
    </xf>
    <xf numFmtId="1" fontId="5" fillId="0" borderId="11" xfId="0" applyNumberFormat="1" applyFont="1" applyBorder="1" applyAlignment="1">
      <alignment horizontal="center"/>
    </xf>
    <xf numFmtId="0" fontId="15" fillId="0" borderId="36" xfId="0" applyFont="1" applyFill="1" applyBorder="1" applyAlignment="1">
      <alignment horizontal="center" vertical="top" wrapText="1"/>
    </xf>
    <xf numFmtId="0" fontId="15" fillId="0" borderId="37" xfId="0" applyFont="1" applyFill="1" applyBorder="1" applyAlignment="1">
      <alignment horizontal="center" vertical="top" wrapText="1"/>
    </xf>
    <xf numFmtId="0" fontId="15" fillId="0" borderId="5" xfId="0" applyFont="1" applyFill="1" applyBorder="1" applyAlignment="1">
      <alignment horizontal="center" vertical="top" wrapText="1"/>
    </xf>
    <xf numFmtId="0" fontId="15" fillId="0" borderId="4" xfId="0" applyFont="1" applyFill="1" applyBorder="1" applyAlignment="1">
      <alignment horizontal="center" vertical="center"/>
    </xf>
    <xf numFmtId="0" fontId="15" fillId="0" borderId="38" xfId="0" applyFont="1" applyFill="1" applyBorder="1" applyAlignment="1">
      <alignment horizontal="center" vertical="top" wrapText="1"/>
    </xf>
    <xf numFmtId="0" fontId="15" fillId="0" borderId="12" xfId="0" applyFont="1" applyFill="1" applyBorder="1" applyAlignment="1">
      <alignment horizontal="center" vertical="center"/>
    </xf>
    <xf numFmtId="0" fontId="18" fillId="0" borderId="0" xfId="0" applyFont="1" applyBorder="1" applyAlignment="1">
      <alignment horizontal="left" vertical="top" wrapText="1"/>
    </xf>
    <xf numFmtId="0" fontId="15" fillId="0" borderId="39"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0" fillId="0" borderId="9" xfId="0" applyFont="1" applyFill="1" applyBorder="1" applyAlignment="1">
      <alignment horizontal="left"/>
    </xf>
    <xf numFmtId="0" fontId="15" fillId="0" borderId="9" xfId="0" applyFont="1" applyFill="1" applyBorder="1" applyAlignment="1">
      <alignment horizontal="centerContinuous"/>
    </xf>
    <xf numFmtId="0" fontId="13" fillId="0" borderId="0" xfId="0" applyFont="1"/>
    <xf numFmtId="0" fontId="15" fillId="0" borderId="4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4" xfId="0" applyFont="1" applyFill="1" applyBorder="1" applyAlignment="1">
      <alignment horizontal="center" vertical="top" wrapText="1"/>
    </xf>
    <xf numFmtId="0" fontId="15" fillId="0" borderId="10" xfId="0" applyFont="1" applyFill="1" applyBorder="1" applyAlignment="1">
      <alignment horizontal="center" vertical="top" wrapText="1"/>
    </xf>
    <xf numFmtId="0" fontId="15" fillId="0" borderId="9" xfId="0" applyFont="1" applyFill="1" applyBorder="1" applyAlignment="1">
      <alignment horizontal="center" vertical="top" wrapText="1"/>
    </xf>
    <xf numFmtId="175" fontId="13" fillId="0" borderId="3" xfId="0" applyNumberFormat="1" applyFont="1" applyBorder="1"/>
    <xf numFmtId="175" fontId="13" fillId="0" borderId="43" xfId="0" applyNumberFormat="1" applyFont="1" applyBorder="1"/>
    <xf numFmtId="175" fontId="13" fillId="0" borderId="8" xfId="0" applyNumberFormat="1" applyFont="1" applyBorder="1"/>
    <xf numFmtId="175" fontId="13" fillId="0" borderId="0" xfId="0" applyNumberFormat="1" applyFont="1" applyBorder="1"/>
    <xf numFmtId="175" fontId="13" fillId="0" borderId="3" xfId="0" applyNumberFormat="1" applyFont="1" applyFill="1" applyBorder="1"/>
    <xf numFmtId="175" fontId="13" fillId="0" borderId="43" xfId="0" applyNumberFormat="1" applyFont="1" applyFill="1" applyBorder="1"/>
    <xf numFmtId="175" fontId="13" fillId="0" borderId="8" xfId="0" applyNumberFormat="1" applyFont="1" applyFill="1" applyBorder="1"/>
    <xf numFmtId="175" fontId="13" fillId="0" borderId="12" xfId="0" applyNumberFormat="1" applyFont="1" applyBorder="1"/>
    <xf numFmtId="175" fontId="13" fillId="0" borderId="38" xfId="0" applyNumberFormat="1" applyFont="1" applyBorder="1"/>
    <xf numFmtId="175" fontId="13" fillId="0" borderId="7" xfId="0" applyNumberFormat="1" applyFont="1" applyBorder="1"/>
    <xf numFmtId="175" fontId="13" fillId="0" borderId="6" xfId="0" applyNumberFormat="1" applyFont="1" applyBorder="1"/>
    <xf numFmtId="175" fontId="15" fillId="0" borderId="3" xfId="0" applyNumberFormat="1" applyFont="1" applyBorder="1"/>
    <xf numFmtId="175" fontId="15" fillId="0" borderId="43" xfId="0" applyNumberFormat="1" applyFont="1" applyBorder="1"/>
    <xf numFmtId="175" fontId="15" fillId="0" borderId="8" xfId="0" applyNumberFormat="1" applyFont="1" applyBorder="1"/>
    <xf numFmtId="175" fontId="15" fillId="0" borderId="0" xfId="0" applyNumberFormat="1" applyFont="1" applyBorder="1"/>
    <xf numFmtId="0" fontId="15" fillId="0" borderId="44" xfId="0" applyNumberFormat="1" applyFont="1" applyBorder="1"/>
    <xf numFmtId="175" fontId="13" fillId="0" borderId="4" xfId="0" applyNumberFormat="1" applyFont="1" applyBorder="1"/>
    <xf numFmtId="175" fontId="13" fillId="0" borderId="36" xfId="0" applyNumberFormat="1" applyFont="1" applyBorder="1"/>
    <xf numFmtId="175" fontId="13" fillId="0" borderId="10" xfId="0" applyNumberFormat="1" applyFont="1" applyBorder="1"/>
    <xf numFmtId="175" fontId="13" fillId="0" borderId="9" xfId="0" applyNumberFormat="1" applyFont="1" applyBorder="1"/>
    <xf numFmtId="0" fontId="13" fillId="0" borderId="0" xfId="0" applyFont="1" applyAlignment="1">
      <alignment horizontal="left" wrapText="1"/>
    </xf>
    <xf numFmtId="0" fontId="7" fillId="0" borderId="0" xfId="0" applyFont="1"/>
    <xf numFmtId="0" fontId="15" fillId="0" borderId="4" xfId="0" applyFont="1" applyFill="1" applyBorder="1" applyAlignment="1">
      <alignment horizontal="left" vertical="center"/>
    </xf>
    <xf numFmtId="0" fontId="17" fillId="0" borderId="3" xfId="0" applyFont="1" applyBorder="1"/>
    <xf numFmtId="0" fontId="13" fillId="0" borderId="43" xfId="0" applyNumberFormat="1" applyFont="1" applyBorder="1" applyAlignment="1">
      <alignment horizontal="center"/>
    </xf>
    <xf numFmtId="0" fontId="15" fillId="0" borderId="6" xfId="0" applyFont="1" applyBorder="1" applyAlignment="1">
      <alignment horizontal="center"/>
    </xf>
    <xf numFmtId="0" fontId="15" fillId="0" borderId="38" xfId="0" applyFont="1" applyBorder="1" applyAlignment="1">
      <alignment horizontal="center"/>
    </xf>
    <xf numFmtId="0" fontId="15" fillId="0" borderId="7" xfId="0" applyFont="1" applyBorder="1" applyAlignment="1">
      <alignment horizontal="center"/>
    </xf>
    <xf numFmtId="0" fontId="15" fillId="0" borderId="12" xfId="0" applyFont="1" applyBorder="1" applyAlignment="1">
      <alignment horizontal="center"/>
    </xf>
    <xf numFmtId="0" fontId="15" fillId="0" borderId="45" xfId="0" applyFont="1" applyBorder="1" applyAlignment="1">
      <alignment horizontal="center"/>
    </xf>
    <xf numFmtId="0" fontId="15" fillId="0" borderId="8" xfId="0" applyFont="1" applyBorder="1" applyAlignment="1">
      <alignment horizontal="center"/>
    </xf>
    <xf numFmtId="0" fontId="15" fillId="0" borderId="1" xfId="0" applyFont="1" applyBorder="1" applyAlignment="1">
      <alignment horizontal="center"/>
    </xf>
    <xf numFmtId="0" fontId="13" fillId="0" borderId="3" xfId="0" applyFont="1" applyBorder="1" applyAlignment="1">
      <alignment horizontal="left" indent="1"/>
    </xf>
    <xf numFmtId="176" fontId="13" fillId="0" borderId="0" xfId="0" applyNumberFormat="1" applyFont="1" applyBorder="1" applyAlignment="1">
      <alignment horizontal="right"/>
    </xf>
    <xf numFmtId="176" fontId="13" fillId="0" borderId="43" xfId="0" applyNumberFormat="1" applyFont="1" applyBorder="1" applyAlignment="1">
      <alignment horizontal="right"/>
    </xf>
    <xf numFmtId="176" fontId="13" fillId="0" borderId="8" xfId="0" applyNumberFormat="1" applyFont="1" applyBorder="1" applyAlignment="1">
      <alignment horizontal="right"/>
    </xf>
    <xf numFmtId="176" fontId="13" fillId="0" borderId="3" xfId="0" applyNumberFormat="1" applyFont="1" applyBorder="1" applyAlignment="1">
      <alignment horizontal="right"/>
    </xf>
    <xf numFmtId="169" fontId="13" fillId="0" borderId="8" xfId="0" applyNumberFormat="1" applyFont="1" applyBorder="1"/>
    <xf numFmtId="169" fontId="13" fillId="0" borderId="1" xfId="0" applyNumberFormat="1" applyFont="1" applyBorder="1"/>
    <xf numFmtId="0" fontId="15" fillId="0" borderId="3" xfId="0" applyFont="1" applyBorder="1" applyAlignment="1">
      <alignment horizontal="left"/>
    </xf>
    <xf numFmtId="176" fontId="15" fillId="0" borderId="46" xfId="0" applyNumberFormat="1" applyFont="1" applyBorder="1" applyAlignment="1">
      <alignment horizontal="right"/>
    </xf>
    <xf numFmtId="169" fontId="15" fillId="0" borderId="34" xfId="0" applyNumberFormat="1" applyFont="1" applyBorder="1"/>
    <xf numFmtId="169" fontId="15" fillId="0" borderId="2" xfId="0" applyNumberFormat="1" applyFont="1" applyBorder="1"/>
    <xf numFmtId="0" fontId="13" fillId="0" borderId="3" xfId="0" applyFont="1" applyBorder="1"/>
    <xf numFmtId="176" fontId="13" fillId="0" borderId="0" xfId="0" applyNumberFormat="1" applyFont="1" applyBorder="1"/>
    <xf numFmtId="176" fontId="13" fillId="0" borderId="43" xfId="0" applyNumberFormat="1" applyFont="1" applyBorder="1"/>
    <xf numFmtId="176" fontId="13" fillId="0" borderId="8" xfId="0" applyNumberFormat="1" applyFont="1" applyBorder="1"/>
    <xf numFmtId="176" fontId="13" fillId="0" borderId="3" xfId="0" applyNumberFormat="1" applyFont="1" applyBorder="1"/>
    <xf numFmtId="176" fontId="13" fillId="0" borderId="47" xfId="0" applyNumberFormat="1" applyFont="1" applyBorder="1"/>
    <xf numFmtId="176" fontId="13" fillId="0" borderId="43" xfId="0" applyNumberFormat="1" applyFont="1" applyFill="1" applyBorder="1"/>
    <xf numFmtId="169" fontId="13" fillId="0" borderId="8" xfId="0" applyNumberFormat="1" applyFont="1" applyFill="1" applyBorder="1"/>
    <xf numFmtId="169" fontId="13" fillId="0" borderId="1" xfId="0" applyNumberFormat="1" applyFont="1" applyFill="1" applyBorder="1"/>
    <xf numFmtId="176" fontId="13" fillId="0" borderId="0" xfId="0" applyNumberFormat="1" applyFont="1" applyFill="1" applyBorder="1"/>
    <xf numFmtId="176" fontId="13" fillId="0" borderId="47" xfId="0" applyNumberFormat="1" applyFont="1" applyFill="1" applyBorder="1"/>
    <xf numFmtId="176" fontId="15" fillId="0" borderId="48" xfId="0" applyNumberFormat="1" applyFont="1" applyBorder="1"/>
    <xf numFmtId="176" fontId="15" fillId="0" borderId="46" xfId="0" applyNumberFormat="1" applyFont="1" applyBorder="1"/>
    <xf numFmtId="176" fontId="15" fillId="0" borderId="49" xfId="0" applyNumberFormat="1" applyFont="1" applyBorder="1"/>
    <xf numFmtId="176" fontId="15" fillId="0" borderId="50" xfId="0" applyNumberFormat="1" applyFont="1" applyBorder="1"/>
    <xf numFmtId="176" fontId="15" fillId="0" borderId="51" xfId="0" applyNumberFormat="1" applyFont="1" applyBorder="1"/>
    <xf numFmtId="176" fontId="15" fillId="0" borderId="0" xfId="0" applyNumberFormat="1" applyFont="1" applyBorder="1"/>
    <xf numFmtId="176" fontId="15" fillId="0" borderId="43" xfId="0" applyNumberFormat="1" applyFont="1" applyBorder="1"/>
    <xf numFmtId="176" fontId="15" fillId="0" borderId="8" xfId="0" applyNumberFormat="1" applyFont="1" applyBorder="1"/>
    <xf numFmtId="176" fontId="15" fillId="0" borderId="3" xfId="0" applyNumberFormat="1" applyFont="1" applyBorder="1"/>
    <xf numFmtId="176" fontId="15" fillId="0" borderId="47" xfId="0" applyNumberFormat="1" applyFont="1" applyBorder="1"/>
    <xf numFmtId="169" fontId="15" fillId="0" borderId="8" xfId="0" applyNumberFormat="1" applyFont="1" applyBorder="1"/>
    <xf numFmtId="169" fontId="15" fillId="0" borderId="1" xfId="0" applyNumberFormat="1" applyFont="1" applyBorder="1"/>
    <xf numFmtId="0" fontId="15" fillId="0" borderId="52" xfId="0" applyFont="1" applyBorder="1"/>
    <xf numFmtId="0" fontId="13" fillId="0" borderId="53" xfId="0" applyNumberFormat="1" applyFont="1" applyBorder="1" applyAlignment="1">
      <alignment horizontal="center"/>
    </xf>
    <xf numFmtId="176" fontId="15" fillId="0" borderId="54" xfId="0" applyNumberFormat="1" applyFont="1" applyFill="1" applyBorder="1"/>
    <xf numFmtId="176" fontId="15" fillId="0" borderId="53" xfId="0" applyNumberFormat="1" applyFont="1" applyFill="1" applyBorder="1"/>
    <xf numFmtId="176" fontId="15" fillId="0" borderId="55" xfId="0" applyNumberFormat="1" applyFont="1" applyBorder="1"/>
    <xf numFmtId="176" fontId="15" fillId="0" borderId="52" xfId="0" applyNumberFormat="1" applyFont="1" applyBorder="1"/>
    <xf numFmtId="176" fontId="15" fillId="0" borderId="53" xfId="0" applyNumberFormat="1" applyFont="1" applyBorder="1"/>
    <xf numFmtId="176" fontId="15" fillId="0" borderId="54" xfId="0" applyNumberFormat="1" applyFont="1" applyBorder="1"/>
    <xf numFmtId="176" fontId="15" fillId="0" borderId="56" xfId="0" applyNumberFormat="1" applyFont="1" applyBorder="1"/>
    <xf numFmtId="169" fontId="15" fillId="0" borderId="57" xfId="0" applyNumberFormat="1" applyFont="1" applyBorder="1"/>
    <xf numFmtId="169" fontId="15" fillId="0" borderId="58"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9" xfId="0" applyFont="1" applyFill="1" applyBorder="1" applyAlignment="1">
      <alignment horizontal="left"/>
    </xf>
    <xf numFmtId="0" fontId="17" fillId="0" borderId="3" xfId="0" applyNumberFormat="1" applyFont="1" applyBorder="1"/>
    <xf numFmtId="0" fontId="13" fillId="0" borderId="3" xfId="0" applyNumberFormat="1" applyFont="1" applyBorder="1" applyAlignment="1">
      <alignment horizontal="left" indent="1"/>
    </xf>
    <xf numFmtId="176" fontId="13" fillId="0" borderId="3" xfId="0" applyNumberFormat="1" applyFont="1" applyFill="1" applyBorder="1"/>
    <xf numFmtId="165" fontId="13" fillId="0" borderId="0" xfId="1" applyNumberFormat="1" applyFont="1" applyAlignment="1">
      <alignment horizontal="center"/>
    </xf>
    <xf numFmtId="168" fontId="13" fillId="0" borderId="0" xfId="12" applyNumberFormat="1" applyFont="1" applyAlignment="1">
      <alignment horizontal="center"/>
    </xf>
    <xf numFmtId="0" fontId="13" fillId="0" borderId="3" xfId="0" applyNumberFormat="1" applyFont="1" applyFill="1" applyBorder="1" applyAlignment="1">
      <alignment horizontal="left" indent="1"/>
    </xf>
    <xf numFmtId="176" fontId="13" fillId="0" borderId="0" xfId="1" applyNumberFormat="1" applyFont="1" applyBorder="1"/>
    <xf numFmtId="176" fontId="13" fillId="0" borderId="43" xfId="1" applyNumberFormat="1" applyFont="1" applyFill="1" applyBorder="1"/>
    <xf numFmtId="176" fontId="13" fillId="0" borderId="8" xfId="1" applyNumberFormat="1" applyFont="1" applyBorder="1"/>
    <xf numFmtId="176" fontId="13" fillId="0" borderId="3" xfId="1" applyNumberFormat="1" applyFont="1" applyFill="1" applyBorder="1"/>
    <xf numFmtId="176" fontId="13" fillId="0" borderId="43" xfId="1" applyNumberFormat="1" applyFont="1" applyBorder="1"/>
    <xf numFmtId="176" fontId="13" fillId="0" borderId="47" xfId="1" applyNumberFormat="1" applyFont="1" applyBorder="1"/>
    <xf numFmtId="176" fontId="13" fillId="0" borderId="0" xfId="1" applyNumberFormat="1" applyFont="1" applyFill="1" applyBorder="1"/>
    <xf numFmtId="176" fontId="13" fillId="0" borderId="8" xfId="1" applyNumberFormat="1" applyFont="1" applyFill="1" applyBorder="1"/>
    <xf numFmtId="176" fontId="13" fillId="0" borderId="47" xfId="1" applyNumberFormat="1" applyFont="1" applyFill="1" applyBorder="1"/>
    <xf numFmtId="176" fontId="13" fillId="0" borderId="8" xfId="0" applyNumberFormat="1" applyFont="1" applyFill="1" applyBorder="1"/>
    <xf numFmtId="0" fontId="15" fillId="0" borderId="3" xfId="0" applyNumberFormat="1" applyFont="1" applyBorder="1"/>
    <xf numFmtId="176" fontId="15" fillId="0" borderId="48" xfId="0" applyNumberFormat="1" applyFont="1" applyFill="1" applyBorder="1"/>
    <xf numFmtId="176" fontId="15" fillId="0" borderId="46" xfId="0" applyNumberFormat="1" applyFont="1" applyFill="1" applyBorder="1"/>
    <xf numFmtId="176" fontId="15" fillId="0" borderId="49" xfId="0" applyNumberFormat="1" applyFont="1" applyFill="1" applyBorder="1"/>
    <xf numFmtId="176" fontId="15" fillId="0" borderId="50" xfId="0" applyNumberFormat="1" applyFont="1" applyFill="1" applyBorder="1"/>
    <xf numFmtId="176" fontId="15" fillId="0" borderId="51" xfId="0" applyNumberFormat="1" applyFont="1" applyFill="1" applyBorder="1"/>
    <xf numFmtId="165" fontId="13" fillId="0" borderId="0" xfId="0" applyNumberFormat="1" applyFont="1"/>
    <xf numFmtId="168" fontId="13" fillId="0" borderId="0" xfId="0" applyNumberFormat="1" applyFont="1"/>
    <xf numFmtId="0" fontId="13" fillId="0" borderId="3" xfId="0" applyNumberFormat="1" applyFont="1" applyBorder="1"/>
    <xf numFmtId="0" fontId="20" fillId="0" borderId="43" xfId="0" applyNumberFormat="1" applyFont="1" applyBorder="1" applyAlignment="1">
      <alignment horizontal="center"/>
    </xf>
    <xf numFmtId="176" fontId="15" fillId="0" borderId="59" xfId="0" applyNumberFormat="1" applyFont="1" applyBorder="1"/>
    <xf numFmtId="176" fontId="15" fillId="0" borderId="60" xfId="0" applyNumberFormat="1" applyFont="1" applyBorder="1"/>
    <xf numFmtId="176" fontId="15" fillId="0" borderId="61" xfId="0" applyNumberFormat="1" applyFont="1" applyBorder="1"/>
    <xf numFmtId="176" fontId="15" fillId="0" borderId="62" xfId="0" applyNumberFormat="1" applyFont="1" applyBorder="1"/>
    <xf numFmtId="176" fontId="15" fillId="0" borderId="63" xfId="0" applyNumberFormat="1" applyFont="1" applyBorder="1"/>
    <xf numFmtId="168" fontId="13" fillId="0" borderId="0" xfId="0" applyNumberFormat="1" applyFont="1" applyAlignment="1">
      <alignment horizontal="center"/>
    </xf>
    <xf numFmtId="0" fontId="15" fillId="0" borderId="52" xfId="0" applyNumberFormat="1" applyFont="1" applyBorder="1"/>
    <xf numFmtId="176" fontId="15" fillId="0" borderId="9" xfId="0" applyNumberFormat="1" applyFont="1" applyBorder="1"/>
    <xf numFmtId="176" fontId="15" fillId="0" borderId="36" xfId="0" applyNumberFormat="1" applyFont="1" applyBorder="1"/>
    <xf numFmtId="176" fontId="15" fillId="0" borderId="10" xfId="0" applyNumberFormat="1" applyFont="1" applyBorder="1"/>
    <xf numFmtId="176" fontId="15" fillId="0" borderId="4" xfId="0" applyNumberFormat="1" applyFont="1" applyBorder="1"/>
    <xf numFmtId="176" fontId="15" fillId="0" borderId="64" xfId="0" applyNumberFormat="1" applyFont="1" applyBorder="1"/>
    <xf numFmtId="0" fontId="18" fillId="0" borderId="0" xfId="0" applyFont="1" applyBorder="1"/>
    <xf numFmtId="0" fontId="18" fillId="0" borderId="3" xfId="0" applyFont="1" applyBorder="1" applyAlignment="1">
      <alignment horizontal="right"/>
    </xf>
    <xf numFmtId="165" fontId="18" fillId="0" borderId="0" xfId="1" applyNumberFormat="1" applyFont="1" applyBorder="1" applyAlignment="1">
      <alignment horizontal="right"/>
    </xf>
    <xf numFmtId="0" fontId="13" fillId="0" borderId="36" xfId="0" applyFont="1" applyFill="1" applyBorder="1" applyAlignment="1">
      <alignment horizontal="center" vertical="center"/>
    </xf>
    <xf numFmtId="0" fontId="13" fillId="0" borderId="38" xfId="0" applyFont="1" applyBorder="1" applyAlignment="1">
      <alignment horizontal="center"/>
    </xf>
    <xf numFmtId="169" fontId="15" fillId="0" borderId="7" xfId="0" applyNumberFormat="1" applyFont="1" applyBorder="1" applyAlignment="1">
      <alignment horizontal="center"/>
    </xf>
    <xf numFmtId="0" fontId="13" fillId="0" borderId="43" xfId="0" applyFont="1" applyBorder="1" applyAlignment="1">
      <alignment horizontal="center"/>
    </xf>
    <xf numFmtId="0" fontId="13" fillId="0" borderId="43" xfId="0" applyFont="1" applyFill="1" applyBorder="1" applyAlignment="1">
      <alignment horizontal="center"/>
    </xf>
    <xf numFmtId="0" fontId="20" fillId="0" borderId="43" xfId="0" applyFont="1" applyBorder="1" applyAlignment="1">
      <alignment horizontal="center"/>
    </xf>
    <xf numFmtId="176" fontId="13" fillId="0" borderId="3" xfId="1" applyNumberFormat="1" applyFont="1" applyBorder="1"/>
    <xf numFmtId="0" fontId="15" fillId="0" borderId="3" xfId="0" applyNumberFormat="1" applyFont="1" applyBorder="1" applyAlignment="1">
      <alignment horizontal="left" wrapText="1"/>
    </xf>
    <xf numFmtId="176" fontId="15" fillId="0" borderId="46" xfId="0" applyNumberFormat="1" applyFont="1" applyBorder="1" applyAlignment="1">
      <alignment vertical="top"/>
    </xf>
    <xf numFmtId="0" fontId="15" fillId="0" borderId="4" xfId="0" applyFont="1" applyFill="1" applyBorder="1" applyAlignment="1">
      <alignment horizontal="center" vertical="center" wrapText="1"/>
    </xf>
    <xf numFmtId="176" fontId="15" fillId="0" borderId="49" xfId="0" applyNumberFormat="1" applyFont="1" applyBorder="1" applyAlignment="1">
      <alignment vertical="top"/>
    </xf>
    <xf numFmtId="176" fontId="15" fillId="0" borderId="50" xfId="0" applyNumberFormat="1" applyFont="1" applyBorder="1" applyAlignment="1">
      <alignment vertical="top"/>
    </xf>
    <xf numFmtId="176" fontId="15" fillId="0" borderId="51" xfId="0" applyNumberFormat="1" applyFont="1" applyBorder="1" applyAlignment="1">
      <alignment vertical="top"/>
    </xf>
    <xf numFmtId="0" fontId="15" fillId="0" borderId="3" xfId="0" applyNumberFormat="1" applyFont="1" applyBorder="1" applyAlignment="1">
      <alignment wrapText="1"/>
    </xf>
    <xf numFmtId="0" fontId="13" fillId="0" borderId="3" xfId="0" applyNumberFormat="1" applyFont="1" applyBorder="1" applyAlignment="1">
      <alignment horizontal="left" wrapText="1" indent="1"/>
    </xf>
    <xf numFmtId="0" fontId="15" fillId="0" borderId="56" xfId="0" applyNumberFormat="1" applyFont="1" applyBorder="1"/>
    <xf numFmtId="0" fontId="13" fillId="0" borderId="53"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6" fontId="15" fillId="0" borderId="38" xfId="0" applyNumberFormat="1" applyFont="1" applyBorder="1" applyAlignment="1">
      <alignment horizontal="center"/>
    </xf>
    <xf numFmtId="176" fontId="15" fillId="0" borderId="6" xfId="0" applyNumberFormat="1" applyFont="1" applyBorder="1" applyAlignment="1">
      <alignment horizontal="center"/>
    </xf>
    <xf numFmtId="176" fontId="15" fillId="0" borderId="12" xfId="0" applyNumberFormat="1" applyFont="1" applyBorder="1" applyAlignment="1">
      <alignment horizontal="center"/>
    </xf>
    <xf numFmtId="176" fontId="15" fillId="0" borderId="7" xfId="0" applyNumberFormat="1" applyFont="1" applyBorder="1" applyAlignment="1">
      <alignment horizontal="center"/>
    </xf>
    <xf numFmtId="176" fontId="15" fillId="0" borderId="43" xfId="0" applyNumberFormat="1" applyFont="1" applyBorder="1" applyAlignment="1">
      <alignment horizontal="center"/>
    </xf>
    <xf numFmtId="176" fontId="15" fillId="0" borderId="0" xfId="0" applyNumberFormat="1" applyFont="1" applyBorder="1" applyAlignment="1">
      <alignment horizontal="center"/>
    </xf>
    <xf numFmtId="176" fontId="15" fillId="0" borderId="3" xfId="0" applyNumberFormat="1" applyFont="1" applyBorder="1" applyAlignment="1">
      <alignment horizontal="center"/>
    </xf>
    <xf numFmtId="176" fontId="15" fillId="0" borderId="8" xfId="0" applyNumberFormat="1" applyFont="1" applyBorder="1" applyAlignment="1">
      <alignment horizontal="center"/>
    </xf>
    <xf numFmtId="43" fontId="13" fillId="0" borderId="0" xfId="1" applyFont="1" applyFill="1" applyBorder="1" applyAlignment="1">
      <alignment horizontal="right"/>
    </xf>
    <xf numFmtId="0" fontId="13" fillId="0" borderId="0" xfId="0" applyFont="1" applyAlignment="1">
      <alignment horizontal="right"/>
    </xf>
    <xf numFmtId="43" fontId="13" fillId="0" borderId="0" xfId="0" applyNumberFormat="1" applyFont="1" applyAlignment="1">
      <alignment horizontal="right"/>
    </xf>
    <xf numFmtId="176" fontId="13" fillId="0" borderId="3" xfId="1" applyNumberFormat="1" applyFont="1" applyBorder="1" applyAlignment="1">
      <alignment horizontal="right"/>
    </xf>
    <xf numFmtId="176" fontId="13" fillId="0" borderId="8" xfId="1" applyNumberFormat="1" applyFont="1" applyBorder="1" applyAlignment="1">
      <alignment horizontal="right"/>
    </xf>
    <xf numFmtId="176" fontId="13" fillId="0" borderId="43" xfId="0" applyNumberFormat="1" applyFont="1" applyBorder="1" applyAlignment="1">
      <alignment horizontal="center"/>
    </xf>
    <xf numFmtId="0" fontId="13" fillId="0" borderId="3" xfId="0" applyFont="1" applyFill="1" applyBorder="1" applyAlignment="1">
      <alignment horizontal="left" indent="1"/>
    </xf>
    <xf numFmtId="0" fontId="15" fillId="0" borderId="3" xfId="0" applyFont="1" applyBorder="1"/>
    <xf numFmtId="176" fontId="15" fillId="0" borderId="53" xfId="0" applyNumberFormat="1" applyFont="1" applyBorder="1" applyAlignment="1">
      <alignment horizontal="center"/>
    </xf>
    <xf numFmtId="176" fontId="15" fillId="0" borderId="55" xfId="0" applyNumberFormat="1" applyFont="1" applyBorder="1" applyAlignment="1">
      <alignment horizontal="right"/>
    </xf>
    <xf numFmtId="176" fontId="15" fillId="0" borderId="52" xfId="0" applyNumberFormat="1" applyFont="1" applyBorder="1" applyAlignment="1">
      <alignment horizontal="right"/>
    </xf>
    <xf numFmtId="176" fontId="15" fillId="0" borderId="53" xfId="0" applyNumberFormat="1" applyFont="1" applyBorder="1" applyAlignment="1">
      <alignment horizontal="right"/>
    </xf>
    <xf numFmtId="176" fontId="15" fillId="0" borderId="54" xfId="0" applyNumberFormat="1" applyFont="1" applyBorder="1" applyAlignment="1">
      <alignment horizontal="right"/>
    </xf>
    <xf numFmtId="0" fontId="15" fillId="0" borderId="52" xfId="0" applyFont="1" applyBorder="1" applyAlignment="1">
      <alignment horizontal="left"/>
    </xf>
    <xf numFmtId="0" fontId="15" fillId="0" borderId="3" xfId="0" applyFont="1" applyFill="1" applyBorder="1"/>
    <xf numFmtId="167" fontId="13" fillId="0" borderId="0" xfId="0" applyNumberFormat="1" applyFont="1"/>
    <xf numFmtId="0" fontId="13" fillId="0" borderId="0" xfId="0" applyFont="1" applyBorder="1" applyAlignment="1"/>
    <xf numFmtId="0" fontId="13" fillId="0" borderId="4" xfId="0" applyFont="1" applyBorder="1"/>
    <xf numFmtId="0" fontId="13" fillId="0" borderId="9"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6" fontId="15" fillId="0" borderId="45" xfId="0" applyNumberFormat="1" applyFont="1" applyBorder="1" applyAlignment="1">
      <alignment horizontal="center"/>
    </xf>
    <xf numFmtId="0" fontId="15" fillId="0" borderId="62" xfId="0" applyFont="1" applyBorder="1"/>
    <xf numFmtId="0" fontId="13" fillId="0" borderId="60" xfId="0" applyFont="1" applyBorder="1" applyAlignment="1">
      <alignment horizontal="center"/>
    </xf>
    <xf numFmtId="43" fontId="13" fillId="0" borderId="0" xfId="1" applyFont="1" applyBorder="1"/>
    <xf numFmtId="176" fontId="15" fillId="0" borderId="8" xfId="0" applyNumberFormat="1" applyFont="1" applyFill="1" applyBorder="1"/>
    <xf numFmtId="0" fontId="15" fillId="0" borderId="4" xfId="0" applyFont="1" applyBorder="1"/>
    <xf numFmtId="0" fontId="13" fillId="0" borderId="36" xfId="0" applyFont="1" applyBorder="1" applyAlignment="1">
      <alignment horizontal="center"/>
    </xf>
    <xf numFmtId="176" fontId="15" fillId="0" borderId="36" xfId="0" applyNumberFormat="1" applyFont="1" applyFill="1" applyBorder="1"/>
    <xf numFmtId="176" fontId="15" fillId="0" borderId="64" xfId="0" applyNumberFormat="1" applyFont="1" applyFill="1" applyBorder="1"/>
    <xf numFmtId="0" fontId="13" fillId="0" borderId="43" xfId="0" applyNumberFormat="1" applyFont="1" applyFill="1" applyBorder="1" applyAlignment="1">
      <alignment horizontal="center"/>
    </xf>
    <xf numFmtId="176" fontId="13" fillId="0" borderId="45" xfId="0" applyNumberFormat="1" applyFont="1" applyFill="1" applyBorder="1"/>
    <xf numFmtId="0" fontId="13" fillId="0" borderId="53" xfId="0" applyNumberFormat="1" applyFont="1" applyFill="1" applyBorder="1" applyAlignment="1">
      <alignment horizontal="center"/>
    </xf>
    <xf numFmtId="176" fontId="15" fillId="0" borderId="55" xfId="0" applyNumberFormat="1" applyFont="1" applyFill="1" applyBorder="1"/>
    <xf numFmtId="176" fontId="15" fillId="0" borderId="52" xfId="0" applyNumberFormat="1" applyFont="1" applyFill="1" applyBorder="1"/>
    <xf numFmtId="176" fontId="15" fillId="0" borderId="56"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6" fontId="13" fillId="0" borderId="65" xfId="0" applyNumberFormat="1" applyFont="1" applyFill="1" applyBorder="1"/>
    <xf numFmtId="176" fontId="13" fillId="0" borderId="0" xfId="0" applyNumberFormat="1" applyFont="1"/>
    <xf numFmtId="9" fontId="13" fillId="0" borderId="0" xfId="12" applyFont="1" applyAlignment="1">
      <alignment horizontal="center"/>
    </xf>
    <xf numFmtId="169" fontId="13" fillId="0" borderId="0" xfId="0" applyNumberFormat="1" applyFont="1" applyFill="1" applyBorder="1"/>
    <xf numFmtId="0" fontId="13" fillId="0" borderId="3" xfId="0" applyNumberFormat="1" applyFont="1" applyFill="1" applyBorder="1" applyAlignment="1">
      <alignment horizontal="left" indent="2"/>
    </xf>
    <xf numFmtId="176" fontId="13" fillId="0" borderId="46" xfId="0" applyNumberFormat="1" applyFont="1" applyFill="1" applyBorder="1"/>
    <xf numFmtId="176" fontId="13" fillId="0" borderId="49" xfId="0" applyNumberFormat="1" applyFont="1" applyFill="1" applyBorder="1"/>
    <xf numFmtId="176" fontId="13" fillId="0" borderId="50" xfId="0" applyNumberFormat="1" applyFont="1" applyFill="1" applyBorder="1"/>
    <xf numFmtId="0" fontId="13" fillId="0" borderId="3" xfId="0" applyNumberFormat="1" applyFont="1" applyBorder="1" applyAlignment="1">
      <alignment horizontal="left" indent="2"/>
    </xf>
    <xf numFmtId="0" fontId="20" fillId="0" borderId="43" xfId="0" applyNumberFormat="1" applyFont="1" applyFill="1" applyBorder="1" applyAlignment="1">
      <alignment horizontal="center"/>
    </xf>
    <xf numFmtId="0" fontId="13" fillId="0" borderId="0" xfId="0" applyFont="1" applyFill="1"/>
    <xf numFmtId="0" fontId="18" fillId="0" borderId="3" xfId="0" applyNumberFormat="1" applyFont="1" applyFill="1" applyBorder="1" applyAlignment="1">
      <alignment horizontal="left" indent="1"/>
    </xf>
    <xf numFmtId="0" fontId="15" fillId="0" borderId="3" xfId="0" applyNumberFormat="1" applyFont="1" applyFill="1" applyBorder="1" applyAlignment="1">
      <alignment horizontal="left"/>
    </xf>
    <xf numFmtId="0" fontId="15" fillId="0" borderId="3" xfId="0" applyNumberFormat="1" applyFont="1" applyBorder="1" applyAlignment="1">
      <alignment horizontal="left" indent="1"/>
    </xf>
    <xf numFmtId="0" fontId="16" fillId="0" borderId="3" xfId="0" applyNumberFormat="1" applyFont="1" applyBorder="1"/>
    <xf numFmtId="0" fontId="18" fillId="0" borderId="43" xfId="0" applyNumberFormat="1" applyFont="1" applyBorder="1" applyAlignment="1">
      <alignment horizontal="center"/>
    </xf>
    <xf numFmtId="168" fontId="18" fillId="0" borderId="43" xfId="12" applyNumberFormat="1" applyFont="1" applyFill="1" applyBorder="1" applyAlignment="1">
      <alignment horizontal="center"/>
    </xf>
    <xf numFmtId="168" fontId="18" fillId="0" borderId="8" xfId="12" applyNumberFormat="1" applyFont="1" applyFill="1" applyBorder="1" applyAlignment="1">
      <alignment horizontal="center"/>
    </xf>
    <xf numFmtId="168" fontId="18" fillId="0" borderId="3" xfId="12" applyNumberFormat="1" applyFont="1" applyFill="1" applyBorder="1" applyAlignment="1">
      <alignment horizontal="center"/>
    </xf>
    <xf numFmtId="168" fontId="18" fillId="0" borderId="0" xfId="12" applyNumberFormat="1" applyFont="1" applyFill="1" applyBorder="1" applyAlignment="1">
      <alignment horizontal="center"/>
    </xf>
    <xf numFmtId="168" fontId="18" fillId="0" borderId="47" xfId="12" applyNumberFormat="1" applyFont="1" applyFill="1" applyBorder="1" applyAlignment="1">
      <alignment horizontal="center"/>
    </xf>
    <xf numFmtId="0" fontId="13" fillId="0" borderId="4" xfId="0" applyNumberFormat="1" applyFont="1" applyBorder="1"/>
    <xf numFmtId="0" fontId="13" fillId="0" borderId="36" xfId="0" applyNumberFormat="1" applyFont="1" applyBorder="1" applyAlignment="1">
      <alignment horizontal="center"/>
    </xf>
    <xf numFmtId="169" fontId="15" fillId="0" borderId="36" xfId="0" applyNumberFormat="1" applyFont="1" applyBorder="1"/>
    <xf numFmtId="169" fontId="15" fillId="0" borderId="10" xfId="0" applyNumberFormat="1" applyFont="1" applyBorder="1"/>
    <xf numFmtId="169" fontId="15" fillId="0" borderId="4" xfId="0" applyNumberFormat="1" applyFont="1" applyBorder="1"/>
    <xf numFmtId="169" fontId="15" fillId="0" borderId="9" xfId="0" applyNumberFormat="1" applyFont="1" applyBorder="1"/>
    <xf numFmtId="169" fontId="15" fillId="0" borderId="64" xfId="0" applyNumberFormat="1" applyFont="1" applyBorder="1"/>
    <xf numFmtId="0" fontId="18" fillId="0" borderId="0" xfId="0" applyFont="1" applyFill="1" applyBorder="1" applyAlignment="1">
      <alignment horizontal="right"/>
    </xf>
    <xf numFmtId="0" fontId="15" fillId="0" borderId="9"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10" xfId="0" applyFont="1" applyFill="1" applyBorder="1" applyAlignment="1">
      <alignment horizontal="center" vertical="center" wrapText="1"/>
    </xf>
    <xf numFmtId="177" fontId="13" fillId="0" borderId="43" xfId="1" applyNumberFormat="1" applyFont="1" applyFill="1" applyBorder="1"/>
    <xf numFmtId="177" fontId="13" fillId="0" borderId="0" xfId="1" applyNumberFormat="1" applyFont="1" applyFill="1" applyBorder="1"/>
    <xf numFmtId="176" fontId="15" fillId="0" borderId="43" xfId="0" applyNumberFormat="1" applyFont="1" applyFill="1" applyBorder="1"/>
    <xf numFmtId="176" fontId="15" fillId="0" borderId="3" xfId="0" applyNumberFormat="1" applyFont="1" applyFill="1" applyBorder="1"/>
    <xf numFmtId="176" fontId="15" fillId="0" borderId="0" xfId="0" applyNumberFormat="1" applyFont="1" applyFill="1" applyBorder="1"/>
    <xf numFmtId="0" fontId="15" fillId="0" borderId="4" xfId="0" applyNumberFormat="1" applyFont="1" applyBorder="1"/>
    <xf numFmtId="0" fontId="13" fillId="0" borderId="36" xfId="0" applyNumberFormat="1" applyFont="1" applyFill="1" applyBorder="1" applyAlignment="1">
      <alignment horizontal="center"/>
    </xf>
    <xf numFmtId="169" fontId="13" fillId="0" borderId="38" xfId="0" applyNumberFormat="1" applyFont="1" applyBorder="1"/>
    <xf numFmtId="169" fontId="13" fillId="0" borderId="3" xfId="0" applyNumberFormat="1" applyFont="1" applyBorder="1"/>
    <xf numFmtId="169" fontId="13" fillId="0" borderId="45" xfId="0" applyNumberFormat="1" applyFont="1" applyBorder="1"/>
    <xf numFmtId="0" fontId="17" fillId="0" borderId="3" xfId="0" applyFont="1" applyFill="1" applyBorder="1"/>
    <xf numFmtId="169" fontId="13" fillId="0" borderId="43" xfId="0" applyNumberFormat="1" applyFont="1" applyBorder="1"/>
    <xf numFmtId="169" fontId="13" fillId="0" borderId="47" xfId="0" applyNumberFormat="1" applyFont="1" applyBorder="1"/>
    <xf numFmtId="0" fontId="13" fillId="0" borderId="3" xfId="0" applyFont="1" applyFill="1" applyBorder="1"/>
    <xf numFmtId="176" fontId="15" fillId="0" borderId="47" xfId="0" applyNumberFormat="1" applyFont="1" applyBorder="1" applyAlignment="1">
      <alignment horizontal="center"/>
    </xf>
    <xf numFmtId="0" fontId="15" fillId="0" borderId="50" xfId="0" applyFont="1" applyBorder="1"/>
    <xf numFmtId="0" fontId="13" fillId="0" borderId="46" xfId="0" applyFont="1" applyBorder="1" applyAlignment="1">
      <alignment horizontal="center"/>
    </xf>
    <xf numFmtId="176" fontId="13" fillId="0" borderId="46" xfId="0" applyNumberFormat="1" applyFont="1" applyBorder="1"/>
    <xf numFmtId="176" fontId="13" fillId="0" borderId="49" xfId="0" applyNumberFormat="1" applyFont="1" applyBorder="1"/>
    <xf numFmtId="176" fontId="13" fillId="0" borderId="50" xfId="0" applyNumberFormat="1" applyFont="1" applyBorder="1"/>
    <xf numFmtId="176" fontId="13" fillId="0" borderId="48" xfId="0" applyNumberFormat="1" applyFont="1" applyBorder="1"/>
    <xf numFmtId="176" fontId="13" fillId="0" borderId="51" xfId="0" applyNumberFormat="1" applyFont="1" applyBorder="1"/>
    <xf numFmtId="0" fontId="16" fillId="0" borderId="3" xfId="0" applyFont="1" applyBorder="1" applyAlignment="1">
      <alignment horizontal="right"/>
    </xf>
    <xf numFmtId="0" fontId="20" fillId="0" borderId="3" xfId="0" applyFont="1" applyBorder="1" applyAlignment="1">
      <alignment horizontal="left" indent="1"/>
    </xf>
    <xf numFmtId="0" fontId="18" fillId="0" borderId="3" xfId="0" applyFont="1" applyBorder="1" applyAlignment="1">
      <alignment horizontal="left" indent="1"/>
    </xf>
    <xf numFmtId="0" fontId="15" fillId="0" borderId="3" xfId="0" applyFont="1" applyBorder="1" applyAlignment="1">
      <alignment horizontal="left" indent="1"/>
    </xf>
    <xf numFmtId="0" fontId="13" fillId="0" borderId="3" xfId="0" applyFont="1" applyBorder="1" applyAlignment="1">
      <alignment horizontal="left" indent="2"/>
    </xf>
    <xf numFmtId="0" fontId="15" fillId="0" borderId="38" xfId="0" applyFont="1" applyFill="1" applyBorder="1" applyAlignment="1">
      <alignment vertical="center"/>
    </xf>
    <xf numFmtId="176" fontId="15" fillId="0" borderId="11" xfId="0" applyNumberFormat="1" applyFont="1" applyBorder="1" applyAlignment="1">
      <alignment horizontal="center"/>
    </xf>
    <xf numFmtId="176" fontId="15" fillId="0" borderId="1" xfId="0" applyNumberFormat="1" applyFont="1" applyBorder="1"/>
    <xf numFmtId="176" fontId="15" fillId="0" borderId="44" xfId="0" applyNumberFormat="1" applyFont="1" applyBorder="1"/>
    <xf numFmtId="0" fontId="13" fillId="0" borderId="3" xfId="0" applyFont="1" applyBorder="1" applyAlignment="1">
      <alignment horizontal="left" wrapText="1" indent="1"/>
    </xf>
    <xf numFmtId="0" fontId="15" fillId="0" borderId="52" xfId="0" applyFont="1" applyBorder="1" applyAlignment="1">
      <alignment vertical="top" wrapText="1"/>
    </xf>
    <xf numFmtId="17" fontId="16" fillId="0" borderId="0" xfId="0" quotePrefix="1" applyNumberFormat="1" applyFont="1" applyAlignment="1">
      <alignment horizontal="center"/>
    </xf>
    <xf numFmtId="176" fontId="13" fillId="0" borderId="38" xfId="0" applyNumberFormat="1" applyFont="1" applyBorder="1"/>
    <xf numFmtId="176" fontId="13" fillId="0" borderId="45" xfId="0" applyNumberFormat="1" applyFont="1" applyBorder="1"/>
    <xf numFmtId="0" fontId="15" fillId="0" borderId="50" xfId="0" applyFont="1" applyFill="1" applyBorder="1"/>
    <xf numFmtId="0" fontId="15" fillId="0" borderId="52" xfId="0" applyFont="1" applyFill="1" applyBorder="1"/>
    <xf numFmtId="0" fontId="13" fillId="0" borderId="0" xfId="0" applyFont="1" applyFill="1" applyBorder="1" applyAlignment="1">
      <alignment horizontal="center"/>
    </xf>
    <xf numFmtId="0" fontId="13" fillId="0" borderId="12" xfId="0" applyFont="1" applyBorder="1"/>
    <xf numFmtId="0" fontId="13" fillId="0" borderId="6" xfId="0" applyFont="1" applyBorder="1" applyAlignment="1">
      <alignment horizontal="center"/>
    </xf>
    <xf numFmtId="176" fontId="13" fillId="0" borderId="36" xfId="0" applyNumberFormat="1" applyFont="1" applyBorder="1"/>
    <xf numFmtId="176" fontId="13" fillId="0" borderId="10" xfId="0" applyNumberFormat="1" applyFont="1" applyBorder="1"/>
    <xf numFmtId="176" fontId="13" fillId="0" borderId="4" xfId="0" applyNumberFormat="1" applyFont="1" applyBorder="1"/>
    <xf numFmtId="176" fontId="13" fillId="0" borderId="9" xfId="0" applyNumberFormat="1" applyFont="1" applyBorder="1"/>
    <xf numFmtId="0" fontId="18" fillId="0" borderId="0" xfId="0" applyFont="1" applyAlignment="1">
      <alignment horizontal="right"/>
    </xf>
    <xf numFmtId="43" fontId="13" fillId="0" borderId="0" xfId="1" applyFont="1" applyFill="1" applyBorder="1"/>
    <xf numFmtId="0" fontId="13" fillId="0" borderId="38" xfId="0" applyFont="1" applyBorder="1" applyAlignment="1">
      <alignment horizontal="center" vertical="top" wrapText="1"/>
    </xf>
    <xf numFmtId="168" fontId="13" fillId="0" borderId="0" xfId="12" applyNumberFormat="1" applyFont="1"/>
    <xf numFmtId="0" fontId="13" fillId="0" borderId="43" xfId="0" applyFont="1" applyBorder="1" applyAlignment="1">
      <alignment horizontal="center" vertical="top" wrapText="1"/>
    </xf>
    <xf numFmtId="0" fontId="15" fillId="0" borderId="36"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12" applyNumberFormat="1" applyFont="1" applyBorder="1"/>
    <xf numFmtId="165" fontId="13" fillId="0" borderId="0" xfId="1" applyNumberFormat="1" applyFont="1" applyBorder="1"/>
    <xf numFmtId="176"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8" xfId="0" applyFont="1" applyBorder="1" applyAlignment="1">
      <alignment horizontal="center" vertical="top" wrapText="1"/>
    </xf>
    <xf numFmtId="0" fontId="13" fillId="0" borderId="3" xfId="0" applyFont="1" applyBorder="1" applyAlignment="1">
      <alignment horizontal="center" vertical="top" wrapText="1"/>
    </xf>
    <xf numFmtId="2" fontId="13" fillId="0" borderId="8"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3" xfId="1" applyNumberFormat="1" applyFont="1" applyBorder="1" applyAlignment="1">
      <alignment horizontal="center" vertical="top" wrapText="1"/>
    </xf>
    <xf numFmtId="168" fontId="13" fillId="0" borderId="3"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7" fontId="13" fillId="0" borderId="43" xfId="0" applyNumberFormat="1" applyFont="1" applyBorder="1" applyAlignment="1">
      <alignment horizontal="center" vertical="top" wrapText="1"/>
    </xf>
    <xf numFmtId="177" fontId="13" fillId="0" borderId="8" xfId="0" applyNumberFormat="1" applyFont="1" applyBorder="1" applyAlignment="1">
      <alignment horizontal="center" vertical="top" wrapText="1"/>
    </xf>
    <xf numFmtId="177" fontId="13" fillId="0" borderId="3" xfId="0" applyNumberFormat="1" applyFont="1" applyBorder="1" applyAlignment="1">
      <alignment horizontal="center" vertical="top" wrapText="1"/>
    </xf>
    <xf numFmtId="177" fontId="13" fillId="0" borderId="0" xfId="0" applyNumberFormat="1" applyFont="1" applyBorder="1" applyAlignment="1">
      <alignment horizontal="center" vertical="top" wrapText="1"/>
    </xf>
    <xf numFmtId="0" fontId="13" fillId="0" borderId="66" xfId="0" applyFont="1" applyBorder="1" applyAlignment="1">
      <alignment horizontal="left" vertical="top" wrapText="1"/>
    </xf>
    <xf numFmtId="0" fontId="18" fillId="0" borderId="0" xfId="0" applyFont="1"/>
    <xf numFmtId="166" fontId="18" fillId="0" borderId="0" xfId="1" applyNumberFormat="1" applyFont="1" applyBorder="1" applyAlignment="1">
      <alignment vertical="top" wrapText="1"/>
    </xf>
    <xf numFmtId="166" fontId="18" fillId="0" borderId="0" xfId="1" applyNumberFormat="1" applyFont="1" applyFill="1" applyBorder="1" applyAlignment="1">
      <alignment vertical="top" wrapText="1"/>
    </xf>
    <xf numFmtId="0" fontId="20" fillId="0" borderId="0" xfId="0" applyFont="1"/>
    <xf numFmtId="0" fontId="17" fillId="0" borderId="12" xfId="0" applyFont="1" applyBorder="1" applyAlignment="1">
      <alignment horizontal="left" wrapText="1"/>
    </xf>
    <xf numFmtId="0" fontId="13" fillId="0" borderId="67" xfId="0" applyFont="1" applyBorder="1" applyAlignment="1">
      <alignment horizontal="left" vertical="top" wrapText="1"/>
    </xf>
    <xf numFmtId="0" fontId="13" fillId="0" borderId="45" xfId="0" applyFont="1" applyBorder="1" applyAlignment="1">
      <alignment horizontal="center" vertical="top" wrapText="1"/>
    </xf>
    <xf numFmtId="0" fontId="13" fillId="0" borderId="7" xfId="0" applyFont="1" applyBorder="1" applyAlignment="1">
      <alignment horizontal="center" vertical="top" wrapText="1"/>
    </xf>
    <xf numFmtId="0" fontId="13" fillId="0" borderId="12" xfId="0" applyFont="1" applyBorder="1" applyAlignment="1">
      <alignment horizontal="center" vertical="top" wrapText="1"/>
    </xf>
    <xf numFmtId="0" fontId="13" fillId="0" borderId="6" xfId="0" applyFont="1" applyBorder="1" applyAlignment="1">
      <alignment horizontal="center" vertical="top" wrapText="1"/>
    </xf>
    <xf numFmtId="0" fontId="13" fillId="0" borderId="68" xfId="0" applyFont="1" applyBorder="1" applyAlignment="1">
      <alignment horizontal="left" vertical="top" wrapText="1"/>
    </xf>
    <xf numFmtId="168" fontId="13" fillId="0" borderId="47" xfId="12" applyNumberFormat="1" applyFont="1" applyFill="1" applyBorder="1" applyAlignment="1">
      <alignment horizontal="center" vertical="top" wrapText="1"/>
    </xf>
    <xf numFmtId="168" fontId="13" fillId="0" borderId="43" xfId="12" applyNumberFormat="1" applyFont="1" applyFill="1" applyBorder="1" applyAlignment="1">
      <alignment horizontal="center" vertical="top" wrapText="1"/>
    </xf>
    <xf numFmtId="168" fontId="13" fillId="0" borderId="8" xfId="12" applyNumberFormat="1" applyFont="1" applyFill="1" applyBorder="1" applyAlignment="1">
      <alignment horizontal="center" vertical="top" wrapText="1"/>
    </xf>
    <xf numFmtId="168" fontId="13" fillId="0" borderId="3" xfId="12" applyNumberFormat="1" applyFont="1" applyFill="1" applyBorder="1" applyAlignment="1">
      <alignment horizontal="center" vertical="top" wrapText="1"/>
    </xf>
    <xf numFmtId="168" fontId="13" fillId="0" borderId="0" xfId="12" applyNumberFormat="1" applyFont="1" applyFill="1" applyBorder="1" applyAlignment="1">
      <alignment horizontal="center" vertical="top" wrapText="1"/>
    </xf>
    <xf numFmtId="0" fontId="13" fillId="0" borderId="3" xfId="0" applyFont="1" applyBorder="1" applyAlignment="1">
      <alignment horizontal="left" vertical="top" wrapText="1" indent="1"/>
    </xf>
    <xf numFmtId="0" fontId="13" fillId="0" borderId="47" xfId="12" applyNumberFormat="1" applyFont="1" applyFill="1" applyBorder="1" applyAlignment="1">
      <alignment horizontal="center" vertical="top" wrapText="1"/>
    </xf>
    <xf numFmtId="0" fontId="13" fillId="0" borderId="43" xfId="12" applyNumberFormat="1" applyFont="1" applyFill="1" applyBorder="1" applyAlignment="1">
      <alignment horizontal="center" vertical="top" wrapText="1"/>
    </xf>
    <xf numFmtId="0" fontId="13" fillId="0" borderId="8" xfId="12" applyNumberFormat="1" applyFont="1" applyFill="1" applyBorder="1" applyAlignment="1">
      <alignment horizontal="center" vertical="top" wrapText="1"/>
    </xf>
    <xf numFmtId="0" fontId="17" fillId="0" borderId="3" xfId="0" applyFont="1" applyBorder="1" applyAlignment="1">
      <alignment horizontal="left" wrapText="1"/>
    </xf>
    <xf numFmtId="0" fontId="13" fillId="0" borderId="47" xfId="0" applyFont="1" applyFill="1" applyBorder="1" applyAlignment="1">
      <alignment horizontal="center" vertical="top" wrapText="1"/>
    </xf>
    <xf numFmtId="0" fontId="13" fillId="0" borderId="43"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3" xfId="0" applyFont="1" applyFill="1" applyBorder="1" applyAlignment="1">
      <alignment horizontal="center" vertical="top" wrapText="1"/>
    </xf>
    <xf numFmtId="0" fontId="13" fillId="0" borderId="0" xfId="0" applyFont="1" applyFill="1" applyBorder="1" applyAlignment="1">
      <alignment horizontal="center" vertical="top" wrapText="1"/>
    </xf>
    <xf numFmtId="178" fontId="13" fillId="0" borderId="47" xfId="1" applyNumberFormat="1" applyFont="1" applyFill="1" applyBorder="1" applyAlignment="1">
      <alignment vertical="top" wrapText="1"/>
    </xf>
    <xf numFmtId="178" fontId="13" fillId="0" borderId="43" xfId="1" applyNumberFormat="1" applyFont="1" applyFill="1" applyBorder="1" applyAlignment="1">
      <alignment vertical="top" wrapText="1"/>
    </xf>
    <xf numFmtId="178" fontId="13" fillId="0" borderId="8" xfId="1" applyNumberFormat="1" applyFont="1" applyFill="1" applyBorder="1" applyAlignment="1">
      <alignment vertical="top" wrapText="1"/>
    </xf>
    <xf numFmtId="178" fontId="13" fillId="0" borderId="3" xfId="1" applyNumberFormat="1" applyFont="1" applyFill="1" applyBorder="1" applyAlignment="1">
      <alignment vertical="top" wrapText="1"/>
    </xf>
    <xf numFmtId="178" fontId="13" fillId="0" borderId="0" xfId="1" applyNumberFormat="1" applyFont="1" applyFill="1" applyBorder="1" applyAlignment="1">
      <alignment vertical="top" wrapText="1"/>
    </xf>
    <xf numFmtId="178" fontId="13" fillId="0" borderId="47" xfId="0" applyNumberFormat="1" applyFont="1" applyFill="1" applyBorder="1" applyAlignment="1">
      <alignment horizontal="center" vertical="top" wrapText="1"/>
    </xf>
    <xf numFmtId="178" fontId="13" fillId="0" borderId="43" xfId="0" applyNumberFormat="1" applyFont="1" applyFill="1" applyBorder="1" applyAlignment="1">
      <alignment horizontal="center" vertical="top" wrapText="1"/>
    </xf>
    <xf numFmtId="178" fontId="13" fillId="0" borderId="8" xfId="0" applyNumberFormat="1" applyFont="1" applyFill="1" applyBorder="1" applyAlignment="1">
      <alignment horizontal="center" vertical="top" wrapText="1"/>
    </xf>
    <xf numFmtId="178" fontId="13" fillId="0" borderId="3" xfId="0" applyNumberFormat="1" applyFont="1" applyFill="1" applyBorder="1" applyAlignment="1">
      <alignment horizontal="center" vertical="top" wrapText="1"/>
    </xf>
    <xf numFmtId="178" fontId="13" fillId="0" borderId="0" xfId="0" applyNumberFormat="1" applyFont="1" applyFill="1" applyBorder="1" applyAlignment="1">
      <alignment horizontal="center" vertical="top" wrapText="1"/>
    </xf>
    <xf numFmtId="168" fontId="13" fillId="0" borderId="47" xfId="0" applyNumberFormat="1" applyFont="1" applyFill="1" applyBorder="1" applyAlignment="1">
      <alignment horizontal="center" vertical="top" wrapText="1"/>
    </xf>
    <xf numFmtId="168" fontId="13" fillId="0" borderId="43" xfId="0" applyNumberFormat="1" applyFont="1" applyFill="1" applyBorder="1" applyAlignment="1">
      <alignment horizontal="center" vertical="top" wrapText="1"/>
    </xf>
    <xf numFmtId="168" fontId="13" fillId="0" borderId="8" xfId="0" applyNumberFormat="1" applyFont="1" applyFill="1" applyBorder="1" applyAlignment="1">
      <alignment horizontal="center" vertical="top" wrapText="1"/>
    </xf>
    <xf numFmtId="168" fontId="13" fillId="0" borderId="3"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3" xfId="0" applyFont="1" applyBorder="1" applyAlignment="1">
      <alignment horizontal="left" vertical="top" wrapText="1"/>
    </xf>
    <xf numFmtId="0" fontId="17" fillId="0" borderId="68" xfId="0" applyFont="1" applyBorder="1" applyAlignment="1">
      <alignment horizontal="left" vertical="top" wrapText="1"/>
    </xf>
    <xf numFmtId="9" fontId="13" fillId="0" borderId="47" xfId="0" applyNumberFormat="1" applyFont="1" applyFill="1" applyBorder="1" applyAlignment="1">
      <alignment horizontal="center" vertical="top" wrapText="1"/>
    </xf>
    <xf numFmtId="9" fontId="13" fillId="0" borderId="43" xfId="0" applyNumberFormat="1" applyFont="1" applyFill="1" applyBorder="1" applyAlignment="1">
      <alignment horizontal="center" vertical="top" wrapText="1"/>
    </xf>
    <xf numFmtId="9" fontId="13" fillId="0" borderId="8" xfId="0" applyNumberFormat="1" applyFont="1" applyFill="1" applyBorder="1" applyAlignment="1">
      <alignment horizontal="center" vertical="top" wrapText="1"/>
    </xf>
    <xf numFmtId="9" fontId="13" fillId="0" borderId="3"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69" xfId="0" applyFont="1" applyBorder="1" applyAlignment="1">
      <alignment horizontal="left" vertical="top" wrapText="1" indent="1"/>
    </xf>
    <xf numFmtId="0" fontId="13" fillId="0" borderId="70" xfId="0" applyFont="1" applyBorder="1" applyAlignment="1">
      <alignment horizontal="left" vertical="top" wrapText="1"/>
    </xf>
    <xf numFmtId="178" fontId="13" fillId="0" borderId="71" xfId="1" applyNumberFormat="1" applyFont="1" applyFill="1" applyBorder="1" applyAlignment="1">
      <alignment vertical="top" wrapText="1"/>
    </xf>
    <xf numFmtId="178" fontId="13" fillId="0" borderId="72" xfId="1" applyNumberFormat="1" applyFont="1" applyFill="1" applyBorder="1" applyAlignment="1">
      <alignment vertical="top" wrapText="1"/>
    </xf>
    <xf numFmtId="178" fontId="13" fillId="0" borderId="73" xfId="1" applyNumberFormat="1" applyFont="1" applyFill="1" applyBorder="1" applyAlignment="1">
      <alignment vertical="top" wrapText="1"/>
    </xf>
    <xf numFmtId="178" fontId="13" fillId="0" borderId="69" xfId="1" applyNumberFormat="1" applyFont="1" applyFill="1" applyBorder="1" applyAlignment="1">
      <alignment vertical="top" wrapText="1"/>
    </xf>
    <xf numFmtId="178" fontId="13" fillId="0" borderId="74" xfId="1" applyNumberFormat="1" applyFont="1" applyFill="1" applyBorder="1" applyAlignment="1">
      <alignment vertical="top" wrapText="1"/>
    </xf>
    <xf numFmtId="169" fontId="13" fillId="0" borderId="3" xfId="0" applyNumberFormat="1" applyFont="1" applyFill="1" applyBorder="1"/>
    <xf numFmtId="169" fontId="13" fillId="0" borderId="43" xfId="0" applyNumberFormat="1" applyFont="1" applyFill="1" applyBorder="1"/>
    <xf numFmtId="168" fontId="13" fillId="0" borderId="0" xfId="0" applyNumberFormat="1" applyFont="1" applyFill="1" applyAlignment="1">
      <alignment horizontal="center"/>
    </xf>
    <xf numFmtId="169" fontId="13" fillId="0" borderId="0" xfId="1" applyNumberFormat="1" applyFont="1"/>
    <xf numFmtId="0" fontId="15" fillId="0" borderId="12" xfId="0" applyFont="1" applyFill="1" applyBorder="1" applyAlignment="1">
      <alignment horizontal="center" vertical="top" wrapText="1"/>
    </xf>
    <xf numFmtId="0" fontId="15" fillId="0" borderId="75"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76" xfId="0" applyFont="1" applyFill="1" applyBorder="1" applyAlignment="1">
      <alignment horizontal="center" vertical="top" wrapText="1"/>
    </xf>
    <xf numFmtId="0" fontId="15" fillId="0" borderId="77" xfId="0" applyFont="1" applyFill="1" applyBorder="1" applyAlignment="1">
      <alignment horizontal="center" vertical="top" wrapText="1"/>
    </xf>
    <xf numFmtId="0" fontId="15" fillId="0" borderId="2" xfId="0" applyFont="1" applyFill="1" applyBorder="1" applyAlignment="1">
      <alignment horizontal="center" vertical="top" wrapText="1"/>
    </xf>
    <xf numFmtId="0" fontId="17" fillId="0" borderId="12" xfId="0" applyNumberFormat="1" applyFont="1" applyBorder="1" applyAlignment="1">
      <alignment horizontal="left" wrapText="1"/>
    </xf>
    <xf numFmtId="0" fontId="13" fillId="0" borderId="75" xfId="0" applyNumberFormat="1" applyFont="1" applyBorder="1" applyAlignment="1">
      <alignment horizontal="left" vertical="top" wrapText="1"/>
    </xf>
    <xf numFmtId="0" fontId="13" fillId="0" borderId="75" xfId="0" applyFont="1" applyBorder="1" applyAlignment="1">
      <alignment horizontal="left" vertical="top" wrapText="1"/>
    </xf>
    <xf numFmtId="0" fontId="13" fillId="0" borderId="67" xfId="0" applyFont="1" applyBorder="1" applyAlignment="1">
      <alignment horizontal="center" vertical="top" wrapText="1"/>
    </xf>
    <xf numFmtId="0" fontId="13" fillId="0" borderId="11" xfId="0" applyFont="1" applyBorder="1" applyAlignment="1">
      <alignment horizontal="center" vertical="top" wrapText="1"/>
    </xf>
    <xf numFmtId="0" fontId="13" fillId="0" borderId="78" xfId="0" applyNumberFormat="1" applyFont="1" applyBorder="1" applyAlignment="1">
      <alignment horizontal="left" vertical="top" wrapText="1"/>
    </xf>
    <xf numFmtId="0" fontId="13" fillId="0" borderId="3" xfId="0" applyNumberFormat="1" applyFont="1" applyBorder="1" applyAlignment="1">
      <alignment horizontal="left" vertical="top" wrapText="1" indent="1"/>
    </xf>
    <xf numFmtId="0" fontId="13" fillId="0" borderId="3" xfId="0" applyNumberFormat="1" applyFont="1" applyBorder="1" applyAlignment="1">
      <alignment horizontal="left" vertical="top" wrapText="1"/>
    </xf>
    <xf numFmtId="165" fontId="13" fillId="0" borderId="78" xfId="1" applyNumberFormat="1" applyFont="1" applyFill="1" applyBorder="1" applyAlignment="1">
      <alignment horizontal="left" vertical="top" wrapText="1"/>
    </xf>
    <xf numFmtId="0" fontId="17" fillId="0" borderId="3" xfId="0" applyNumberFormat="1" applyFont="1" applyBorder="1" applyAlignment="1">
      <alignment horizontal="left" wrapText="1"/>
    </xf>
    <xf numFmtId="0" fontId="17" fillId="0" borderId="78" xfId="0" applyNumberFormat="1" applyFont="1" applyBorder="1" applyAlignment="1">
      <alignment horizontal="left" wrapText="1"/>
    </xf>
    <xf numFmtId="0" fontId="13" fillId="0" borderId="68" xfId="0" applyFont="1" applyBorder="1" applyAlignment="1">
      <alignment horizontal="center" vertical="top" wrapText="1"/>
    </xf>
    <xf numFmtId="0" fontId="13" fillId="0" borderId="0" xfId="0" applyFont="1" applyBorder="1" applyAlignment="1">
      <alignment horizontal="center" vertical="top" wrapText="1"/>
    </xf>
    <xf numFmtId="177" fontId="13" fillId="0" borderId="78" xfId="1" applyNumberFormat="1" applyFont="1" applyFill="1" applyBorder="1" applyAlignment="1">
      <alignment horizontal="left" vertical="top" wrapText="1"/>
    </xf>
    <xf numFmtId="177" fontId="13" fillId="0" borderId="68" xfId="0" applyNumberFormat="1" applyFont="1" applyBorder="1" applyAlignment="1">
      <alignment horizontal="center" vertical="top" wrapText="1"/>
    </xf>
    <xf numFmtId="177" fontId="13" fillId="0" borderId="1" xfId="0" applyNumberFormat="1" applyFont="1" applyBorder="1" applyAlignment="1">
      <alignment horizontal="center" vertical="top" wrapText="1"/>
    </xf>
    <xf numFmtId="2" fontId="13" fillId="0" borderId="43" xfId="1" applyNumberFormat="1" applyFont="1" applyBorder="1" applyAlignment="1">
      <alignment horizontal="center" vertical="top" wrapText="1"/>
    </xf>
    <xf numFmtId="2" fontId="13" fillId="0" borderId="68"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3" xfId="0" applyNumberFormat="1" applyFont="1" applyBorder="1" applyAlignment="1">
      <alignment horizontal="left" vertical="top" wrapText="1"/>
    </xf>
    <xf numFmtId="165" fontId="13" fillId="0" borderId="78" xfId="1" applyNumberFormat="1" applyFont="1" applyBorder="1" applyAlignment="1">
      <alignment horizontal="left" vertical="top" wrapText="1"/>
    </xf>
    <xf numFmtId="168" fontId="13" fillId="0" borderId="68"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3" borderId="78" xfId="1" applyNumberFormat="1" applyFont="1" applyFill="1" applyBorder="1" applyAlignment="1">
      <alignment horizontal="left" vertical="top" wrapText="1"/>
    </xf>
    <xf numFmtId="165" fontId="17" fillId="3" borderId="78" xfId="1" applyNumberFormat="1" applyFont="1" applyFill="1" applyBorder="1" applyAlignment="1">
      <alignment horizontal="left" vertical="top" wrapText="1"/>
    </xf>
    <xf numFmtId="168" fontId="13" fillId="0" borderId="43" xfId="0" applyNumberFormat="1" applyFont="1" applyBorder="1" applyAlignment="1">
      <alignment horizontal="center" vertical="top" wrapText="1"/>
    </xf>
    <xf numFmtId="0" fontId="13" fillId="0" borderId="4" xfId="0" applyFont="1" applyBorder="1" applyAlignment="1">
      <alignment horizontal="left" vertical="top" wrapText="1"/>
    </xf>
    <xf numFmtId="165" fontId="13" fillId="0" borderId="66" xfId="1" applyNumberFormat="1" applyFont="1" applyBorder="1" applyAlignment="1">
      <alignment horizontal="left" vertical="top" wrapText="1"/>
    </xf>
    <xf numFmtId="166" fontId="13" fillId="0" borderId="4" xfId="1" applyNumberFormat="1" applyFont="1" applyBorder="1" applyAlignment="1">
      <alignment vertical="top" wrapText="1"/>
    </xf>
    <xf numFmtId="166" fontId="13" fillId="0" borderId="36" xfId="1" applyNumberFormat="1" applyFont="1" applyBorder="1" applyAlignment="1">
      <alignment vertical="top" wrapText="1"/>
    </xf>
    <xf numFmtId="166" fontId="13" fillId="0" borderId="37" xfId="1" applyNumberFormat="1" applyFont="1" applyBorder="1" applyAlignment="1">
      <alignment vertical="top" wrapText="1"/>
    </xf>
    <xf numFmtId="166" fontId="13" fillId="0" borderId="5" xfId="1" applyNumberFormat="1" applyFont="1" applyFill="1" applyBorder="1" applyAlignment="1">
      <alignment vertical="top" wrapText="1"/>
    </xf>
    <xf numFmtId="166" fontId="13" fillId="0" borderId="9" xfId="1" applyNumberFormat="1" applyFont="1" applyFill="1" applyBorder="1" applyAlignment="1">
      <alignment vertical="top" wrapText="1"/>
    </xf>
    <xf numFmtId="166" fontId="13" fillId="0" borderId="36" xfId="1" applyNumberFormat="1" applyFont="1" applyFill="1" applyBorder="1" applyAlignment="1">
      <alignment vertical="top" wrapText="1"/>
    </xf>
    <xf numFmtId="166" fontId="13" fillId="0" borderId="10" xfId="1" applyNumberFormat="1" applyFont="1" applyFill="1" applyBorder="1" applyAlignment="1">
      <alignment vertical="top" wrapText="1"/>
    </xf>
    <xf numFmtId="0" fontId="17" fillId="0" borderId="67" xfId="0" applyFont="1" applyBorder="1" applyAlignment="1">
      <alignment horizontal="center"/>
    </xf>
    <xf numFmtId="0" fontId="17" fillId="0" borderId="43" xfId="0" applyFont="1" applyBorder="1" applyAlignment="1">
      <alignment horizontal="center"/>
    </xf>
    <xf numFmtId="0" fontId="13" fillId="0" borderId="67" xfId="0" applyFont="1" applyBorder="1"/>
    <xf numFmtId="0" fontId="13" fillId="0" borderId="75" xfId="0" applyFont="1" applyBorder="1"/>
    <xf numFmtId="0" fontId="13" fillId="0" borderId="45" xfId="0" applyFont="1" applyBorder="1"/>
    <xf numFmtId="0" fontId="13" fillId="0" borderId="68" xfId="0" applyFont="1" applyBorder="1" applyAlignment="1">
      <alignment horizontal="center"/>
    </xf>
    <xf numFmtId="176" fontId="13" fillId="0" borderId="68" xfId="0" applyNumberFormat="1" applyFont="1" applyFill="1" applyBorder="1"/>
    <xf numFmtId="176" fontId="13" fillId="0" borderId="78" xfId="0" applyNumberFormat="1" applyFont="1" applyFill="1" applyBorder="1"/>
    <xf numFmtId="178" fontId="13" fillId="0" borderId="0" xfId="1" applyNumberFormat="1" applyFont="1" applyFill="1" applyBorder="1" applyAlignment="1"/>
    <xf numFmtId="178" fontId="13" fillId="0" borderId="68" xfId="1" applyNumberFormat="1" applyFont="1" applyFill="1" applyBorder="1" applyAlignment="1"/>
    <xf numFmtId="178" fontId="13" fillId="0" borderId="78" xfId="1" applyNumberFormat="1" applyFont="1" applyFill="1" applyBorder="1" applyAlignment="1"/>
    <xf numFmtId="178" fontId="13" fillId="0" borderId="3" xfId="1" applyNumberFormat="1" applyFont="1" applyFill="1" applyBorder="1" applyAlignment="1"/>
    <xf numFmtId="178" fontId="13" fillId="0" borderId="47" xfId="1" applyNumberFormat="1" applyFont="1" applyFill="1" applyBorder="1" applyAlignment="1"/>
    <xf numFmtId="0" fontId="13" fillId="0" borderId="68" xfId="0" applyFont="1" applyFill="1" applyBorder="1" applyAlignment="1">
      <alignment horizontal="center"/>
    </xf>
    <xf numFmtId="171" fontId="13" fillId="0" borderId="68" xfId="0" applyNumberFormat="1" applyFont="1" applyFill="1" applyBorder="1" applyAlignment="1">
      <alignment horizontal="center"/>
    </xf>
    <xf numFmtId="171" fontId="13" fillId="0" borderId="78" xfId="12" applyNumberFormat="1" applyFont="1" applyFill="1" applyBorder="1" applyAlignment="1">
      <alignment horizontal="center"/>
    </xf>
    <xf numFmtId="171" fontId="13" fillId="0" borderId="3" xfId="12" applyNumberFormat="1" applyFont="1" applyFill="1" applyBorder="1" applyAlignment="1">
      <alignment horizontal="center"/>
    </xf>
    <xf numFmtId="171" fontId="13" fillId="0" borderId="68" xfId="12" applyNumberFormat="1" applyFont="1" applyFill="1" applyBorder="1" applyAlignment="1">
      <alignment horizontal="center"/>
    </xf>
    <xf numFmtId="171" fontId="13" fillId="0" borderId="0" xfId="12" applyNumberFormat="1" applyFont="1" applyFill="1" applyBorder="1" applyAlignment="1">
      <alignment horizontal="center"/>
    </xf>
    <xf numFmtId="171" fontId="13" fillId="0" borderId="47" xfId="12" applyNumberFormat="1" applyFont="1" applyFill="1" applyBorder="1" applyAlignment="1">
      <alignment horizontal="center"/>
    </xf>
    <xf numFmtId="9" fontId="13" fillId="0" borderId="68" xfId="12" applyFont="1" applyBorder="1" applyAlignment="1">
      <alignment horizontal="center"/>
    </xf>
    <xf numFmtId="9" fontId="13" fillId="0" borderId="37" xfId="12" applyFont="1" applyBorder="1" applyAlignment="1">
      <alignment horizontal="center"/>
    </xf>
    <xf numFmtId="9" fontId="13" fillId="0" borderId="36" xfId="12" applyFont="1" applyBorder="1" applyAlignment="1">
      <alignment horizontal="center"/>
    </xf>
    <xf numFmtId="9" fontId="13" fillId="0" borderId="9" xfId="12" applyFont="1" applyBorder="1" applyAlignment="1">
      <alignment horizontal="center"/>
    </xf>
    <xf numFmtId="9" fontId="13" fillId="0" borderId="66" xfId="12" applyFont="1" applyBorder="1" applyAlignment="1">
      <alignment horizontal="center"/>
    </xf>
    <xf numFmtId="9" fontId="13" fillId="0" borderId="4" xfId="12" applyFont="1" applyBorder="1" applyAlignment="1">
      <alignment horizontal="center"/>
    </xf>
    <xf numFmtId="9" fontId="13" fillId="0" borderId="64" xfId="12" applyFont="1" applyBorder="1" applyAlignment="1">
      <alignment horizontal="center"/>
    </xf>
    <xf numFmtId="9" fontId="13" fillId="0" borderId="6" xfId="12" applyFont="1" applyBorder="1" applyAlignment="1">
      <alignment horizontal="center"/>
    </xf>
    <xf numFmtId="9" fontId="13" fillId="0" borderId="0" xfId="12"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8" xfId="0" applyFont="1" applyBorder="1" applyAlignment="1">
      <alignment horizontal="center"/>
    </xf>
    <xf numFmtId="171" fontId="13" fillId="0" borderId="1" xfId="12" applyNumberFormat="1" applyFont="1" applyFill="1" applyBorder="1" applyAlignment="1">
      <alignment horizontal="center"/>
    </xf>
    <xf numFmtId="171" fontId="13" fillId="0" borderId="8" xfId="12" applyNumberFormat="1" applyFont="1" applyFill="1" applyBorder="1" applyAlignment="1">
      <alignment horizontal="center"/>
    </xf>
    <xf numFmtId="176" fontId="13" fillId="0" borderId="1" xfId="0" applyNumberFormat="1" applyFont="1" applyBorder="1"/>
    <xf numFmtId="0" fontId="13" fillId="0" borderId="1" xfId="0" applyFont="1" applyBorder="1" applyAlignment="1">
      <alignment horizontal="left"/>
    </xf>
    <xf numFmtId="9" fontId="13" fillId="0" borderId="8" xfId="0" applyNumberFormat="1" applyFont="1" applyBorder="1" applyAlignment="1">
      <alignment horizontal="center"/>
    </xf>
    <xf numFmtId="0" fontId="13" fillId="0" borderId="32" xfId="0" applyFont="1" applyBorder="1" applyAlignment="1">
      <alignment horizontal="left"/>
    </xf>
    <xf numFmtId="0" fontId="13" fillId="0" borderId="79" xfId="0" applyFont="1" applyBorder="1" applyAlignment="1">
      <alignment horizontal="center"/>
    </xf>
    <xf numFmtId="0" fontId="17" fillId="0" borderId="0" xfId="0" applyFont="1"/>
    <xf numFmtId="176" fontId="13" fillId="0" borderId="0" xfId="0" applyNumberFormat="1" applyFont="1" applyAlignment="1">
      <alignment horizontal="center"/>
    </xf>
    <xf numFmtId="0" fontId="13" fillId="0" borderId="67" xfId="0" applyFont="1" applyBorder="1" applyAlignment="1">
      <alignment horizontal="center"/>
    </xf>
    <xf numFmtId="169" fontId="15" fillId="0" borderId="38" xfId="0" applyNumberFormat="1" applyFont="1" applyBorder="1"/>
    <xf numFmtId="169" fontId="15" fillId="0" borderId="3" xfId="0" applyNumberFormat="1" applyFont="1" applyBorder="1"/>
    <xf numFmtId="0" fontId="15" fillId="0" borderId="43" xfId="0" applyNumberFormat="1" applyFont="1" applyFill="1" applyBorder="1" applyAlignment="1">
      <alignment horizontal="center"/>
    </xf>
    <xf numFmtId="0" fontId="13" fillId="0" borderId="68" xfId="0" quotePrefix="1" applyFont="1" applyBorder="1" applyAlignment="1">
      <alignment horizontal="center"/>
    </xf>
    <xf numFmtId="0" fontId="13" fillId="0" borderId="68" xfId="0" quotePrefix="1" applyFont="1" applyFill="1" applyBorder="1" applyAlignment="1">
      <alignment horizontal="center"/>
    </xf>
    <xf numFmtId="165" fontId="13" fillId="0" borderId="43" xfId="1" applyNumberFormat="1" applyFont="1" applyFill="1" applyBorder="1"/>
    <xf numFmtId="165" fontId="13" fillId="0" borderId="8" xfId="1" applyNumberFormat="1" applyFont="1" applyFill="1" applyBorder="1"/>
    <xf numFmtId="165" fontId="13" fillId="0" borderId="3" xfId="1" applyNumberFormat="1" applyFont="1" applyFill="1" applyBorder="1"/>
    <xf numFmtId="165" fontId="13" fillId="0" borderId="78" xfId="1" applyNumberFormat="1" applyFont="1" applyFill="1" applyBorder="1"/>
    <xf numFmtId="165" fontId="13" fillId="0" borderId="0" xfId="1" applyNumberFormat="1" applyFont="1" applyFill="1" applyBorder="1"/>
    <xf numFmtId="175" fontId="15" fillId="0" borderId="46" xfId="1" applyNumberFormat="1" applyFont="1" applyFill="1" applyBorder="1"/>
    <xf numFmtId="175" fontId="15" fillId="0" borderId="49" xfId="1" applyNumberFormat="1" applyFont="1" applyFill="1" applyBorder="1"/>
    <xf numFmtId="175" fontId="15" fillId="0" borderId="50" xfId="1" applyNumberFormat="1" applyFont="1" applyFill="1" applyBorder="1"/>
    <xf numFmtId="175" fontId="15" fillId="0" borderId="80" xfId="1" applyNumberFormat="1" applyFont="1" applyFill="1" applyBorder="1"/>
    <xf numFmtId="175" fontId="15" fillId="0" borderId="48" xfId="1" applyNumberFormat="1" applyFont="1" applyFill="1" applyBorder="1"/>
    <xf numFmtId="175" fontId="15" fillId="0" borderId="46" xfId="0" applyNumberFormat="1" applyFont="1" applyFill="1" applyBorder="1"/>
    <xf numFmtId="175" fontId="15" fillId="0" borderId="49" xfId="0" applyNumberFormat="1" applyFont="1" applyFill="1" applyBorder="1"/>
    <xf numFmtId="175" fontId="13" fillId="0" borderId="0" xfId="0" applyNumberFormat="1" applyFont="1" applyFill="1" applyBorder="1"/>
    <xf numFmtId="175" fontId="15" fillId="0" borderId="43" xfId="0" applyNumberFormat="1" applyFont="1" applyFill="1" applyBorder="1"/>
    <xf numFmtId="175" fontId="15" fillId="0" borderId="8" xfId="0" applyNumberFormat="1" applyFont="1" applyFill="1" applyBorder="1"/>
    <xf numFmtId="0" fontId="17" fillId="0" borderId="50" xfId="0" applyFont="1" applyBorder="1"/>
    <xf numFmtId="0" fontId="13" fillId="0" borderId="81" xfId="0" applyFont="1" applyBorder="1" applyAlignment="1">
      <alignment horizontal="center"/>
    </xf>
    <xf numFmtId="169" fontId="13" fillId="0" borderId="46" xfId="0" applyNumberFormat="1" applyFont="1" applyFill="1" applyBorder="1"/>
    <xf numFmtId="169" fontId="13" fillId="0" borderId="49" xfId="0" applyNumberFormat="1" applyFont="1" applyFill="1" applyBorder="1"/>
    <xf numFmtId="169" fontId="13" fillId="0" borderId="50" xfId="0" applyNumberFormat="1" applyFont="1" applyFill="1" applyBorder="1"/>
    <xf numFmtId="169" fontId="13" fillId="0" borderId="80" xfId="0" applyNumberFormat="1" applyFont="1" applyFill="1" applyBorder="1"/>
    <xf numFmtId="169" fontId="13" fillId="0" borderId="48" xfId="0" applyNumberFormat="1" applyFont="1" applyFill="1" applyBorder="1"/>
    <xf numFmtId="0" fontId="13" fillId="0" borderId="0" xfId="1" applyNumberFormat="1" applyFont="1" applyFill="1" applyBorder="1" applyAlignment="1">
      <alignment horizontal="center"/>
    </xf>
    <xf numFmtId="171" fontId="13" fillId="0" borderId="43" xfId="0" applyNumberFormat="1" applyFont="1" applyFill="1" applyBorder="1" applyAlignment="1">
      <alignment horizontal="center"/>
    </xf>
    <xf numFmtId="171" fontId="13" fillId="0" borderId="43" xfId="12" applyNumberFormat="1" applyFont="1" applyFill="1" applyBorder="1" applyAlignment="1">
      <alignment horizontal="center"/>
    </xf>
    <xf numFmtId="176" fontId="15" fillId="0" borderId="78" xfId="0" applyNumberFormat="1" applyFont="1" applyFill="1" applyBorder="1"/>
    <xf numFmtId="0" fontId="13" fillId="0" borderId="37" xfId="0" applyFont="1" applyBorder="1" applyAlignment="1">
      <alignment horizontal="center"/>
    </xf>
    <xf numFmtId="169" fontId="13" fillId="0" borderId="36" xfId="0" applyNumberFormat="1" applyFont="1" applyBorder="1"/>
    <xf numFmtId="169" fontId="13" fillId="0" borderId="10" xfId="0" applyNumberFormat="1" applyFont="1" applyBorder="1"/>
    <xf numFmtId="169" fontId="13" fillId="0" borderId="4" xfId="0" applyNumberFormat="1" applyFont="1" applyBorder="1"/>
    <xf numFmtId="169" fontId="13" fillId="0" borderId="36" xfId="0" applyNumberFormat="1" applyFont="1" applyFill="1" applyBorder="1"/>
    <xf numFmtId="169" fontId="13" fillId="0" borderId="66" xfId="0" applyNumberFormat="1" applyFont="1" applyFill="1" applyBorder="1"/>
    <xf numFmtId="169" fontId="13" fillId="0" borderId="9" xfId="0" applyNumberFormat="1" applyFont="1" applyBorder="1"/>
    <xf numFmtId="0" fontId="15" fillId="0" borderId="38" xfId="0" applyFont="1" applyFill="1" applyBorder="1" applyAlignment="1">
      <alignment horizontal="center" vertical="center" wrapText="1"/>
    </xf>
    <xf numFmtId="0" fontId="10" fillId="0" borderId="9" xfId="0" applyNumberFormat="1" applyFont="1" applyFill="1" applyBorder="1" applyAlignment="1">
      <alignment horizontal="left"/>
    </xf>
    <xf numFmtId="0" fontId="15" fillId="0" borderId="17" xfId="0" applyFont="1" applyFill="1" applyBorder="1" applyAlignment="1">
      <alignment horizontal="center" vertical="center"/>
    </xf>
    <xf numFmtId="0" fontId="15" fillId="0" borderId="76" xfId="0" applyNumberFormat="1" applyFont="1" applyFill="1" applyBorder="1" applyAlignment="1">
      <alignment horizontal="center" vertical="center"/>
    </xf>
    <xf numFmtId="0" fontId="15" fillId="0" borderId="82" xfId="0" applyFont="1" applyFill="1" applyBorder="1" applyAlignment="1">
      <alignment horizontal="center" vertical="top" wrapText="1"/>
    </xf>
    <xf numFmtId="169" fontId="15" fillId="0" borderId="43" xfId="0" applyNumberFormat="1" applyFont="1" applyFill="1" applyBorder="1"/>
    <xf numFmtId="169" fontId="15" fillId="0" borderId="78" xfId="0" applyNumberFormat="1" applyFont="1" applyFill="1" applyBorder="1"/>
    <xf numFmtId="0" fontId="13" fillId="0" borderId="43" xfId="0" quotePrefix="1" applyNumberFormat="1" applyFont="1" applyBorder="1" applyAlignment="1">
      <alignment horizontal="center"/>
    </xf>
    <xf numFmtId="175" fontId="13" fillId="0" borderId="46" xfId="1" applyNumberFormat="1" applyFont="1" applyFill="1" applyBorder="1"/>
    <xf numFmtId="175" fontId="13" fillId="0" borderId="80" xfId="1" applyNumberFormat="1" applyFont="1" applyFill="1" applyBorder="1"/>
    <xf numFmtId="0" fontId="17" fillId="0" borderId="50" xfId="0" applyNumberFormat="1" applyFont="1" applyBorder="1"/>
    <xf numFmtId="0" fontId="15" fillId="0" borderId="46" xfId="0" applyNumberFormat="1" applyFont="1" applyBorder="1" applyAlignment="1">
      <alignment horizontal="center"/>
    </xf>
    <xf numFmtId="170" fontId="15" fillId="0" borderId="46" xfId="0" applyNumberFormat="1" applyFont="1" applyFill="1" applyBorder="1"/>
    <xf numFmtId="170" fontId="15" fillId="0" borderId="80" xfId="0" applyNumberFormat="1" applyFont="1" applyFill="1" applyBorder="1"/>
    <xf numFmtId="0" fontId="13" fillId="0" borderId="43" xfId="0" quotePrefix="1" applyNumberFormat="1" applyFont="1" applyFill="1" applyBorder="1" applyAlignment="1">
      <alignment horizontal="center"/>
    </xf>
    <xf numFmtId="176" fontId="13" fillId="0" borderId="34" xfId="0" applyNumberFormat="1" applyFont="1" applyBorder="1"/>
    <xf numFmtId="176" fontId="13" fillId="0" borderId="46" xfId="1" applyNumberFormat="1" applyFont="1" applyFill="1" applyBorder="1"/>
    <xf numFmtId="176" fontId="13" fillId="0" borderId="80" xfId="1" applyNumberFormat="1" applyFont="1" applyFill="1" applyBorder="1"/>
    <xf numFmtId="0" fontId="15" fillId="0" borderId="3" xfId="0" applyNumberFormat="1" applyFont="1" applyFill="1" applyBorder="1"/>
    <xf numFmtId="0" fontId="13" fillId="0" borderId="4"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12" xfId="0" applyFont="1" applyFill="1" applyBorder="1" applyAlignment="1">
      <alignment horizontal="centerContinuous" vertical="center" wrapText="1"/>
    </xf>
    <xf numFmtId="0" fontId="15" fillId="0" borderId="40" xfId="0" applyFont="1" applyFill="1" applyBorder="1" applyAlignment="1">
      <alignment horizontal="centerContinuous" vertical="center" wrapText="1"/>
    </xf>
    <xf numFmtId="0" fontId="15" fillId="0" borderId="41" xfId="0" applyFont="1" applyFill="1" applyBorder="1" applyAlignment="1">
      <alignment horizontal="centerContinuous" vertical="center" wrapText="1"/>
    </xf>
    <xf numFmtId="0" fontId="15" fillId="0" borderId="83" xfId="0" applyFont="1" applyFill="1" applyBorder="1" applyAlignment="1">
      <alignment horizontal="centerContinuous" vertical="center" wrapText="1"/>
    </xf>
    <xf numFmtId="0" fontId="15" fillId="0" borderId="11"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13" fillId="0" borderId="38" xfId="0" applyNumberFormat="1" applyFont="1" applyBorder="1" applyAlignment="1">
      <alignment horizontal="center" vertical="top" wrapText="1"/>
    </xf>
    <xf numFmtId="180" fontId="13" fillId="0" borderId="38" xfId="0" applyNumberFormat="1" applyFont="1" applyBorder="1" applyAlignment="1">
      <alignment vertical="top" wrapText="1"/>
    </xf>
    <xf numFmtId="180" fontId="13" fillId="0" borderId="7" xfId="0" applyNumberFormat="1" applyFont="1" applyBorder="1" applyAlignment="1">
      <alignment vertical="top" wrapText="1"/>
    </xf>
    <xf numFmtId="180" fontId="13" fillId="0" borderId="12" xfId="0" applyNumberFormat="1" applyFont="1" applyBorder="1" applyAlignment="1">
      <alignment vertical="top" wrapText="1"/>
    </xf>
    <xf numFmtId="180" fontId="13" fillId="0" borderId="6" xfId="0" applyNumberFormat="1" applyFont="1" applyBorder="1" applyAlignment="1">
      <alignment vertical="top" wrapText="1"/>
    </xf>
    <xf numFmtId="181" fontId="13" fillId="0" borderId="11" xfId="0" applyNumberFormat="1" applyFont="1" applyBorder="1" applyAlignment="1">
      <alignment vertical="top" wrapText="1"/>
    </xf>
    <xf numFmtId="0" fontId="13" fillId="0" borderId="43" xfId="0" applyNumberFormat="1" applyFont="1" applyBorder="1" applyAlignment="1">
      <alignment horizontal="center" vertical="top" wrapText="1"/>
    </xf>
    <xf numFmtId="180" fontId="13" fillId="0" borderId="43" xfId="1" applyNumberFormat="1" applyFont="1" applyBorder="1" applyAlignment="1">
      <alignment vertical="top" wrapText="1"/>
    </xf>
    <xf numFmtId="180" fontId="13" fillId="0" borderId="8" xfId="1" applyNumberFormat="1" applyFont="1" applyBorder="1" applyAlignment="1">
      <alignment vertical="top" wrapText="1"/>
    </xf>
    <xf numFmtId="180" fontId="13" fillId="0" borderId="3" xfId="1" applyNumberFormat="1" applyFont="1" applyBorder="1" applyAlignment="1">
      <alignment vertical="top" wrapText="1"/>
    </xf>
    <xf numFmtId="180" fontId="13" fillId="0" borderId="0" xfId="1" applyNumberFormat="1" applyFont="1" applyBorder="1" applyAlignment="1">
      <alignment vertical="top" wrapText="1"/>
    </xf>
    <xf numFmtId="181" fontId="13" fillId="0" borderId="1" xfId="1" applyNumberFormat="1" applyFont="1" applyBorder="1" applyAlignment="1">
      <alignment vertical="top" wrapText="1"/>
    </xf>
    <xf numFmtId="0" fontId="15" fillId="0" borderId="3" xfId="0" applyNumberFormat="1" applyFont="1" applyBorder="1" applyAlignment="1">
      <alignment horizontal="right" wrapText="1"/>
    </xf>
    <xf numFmtId="180" fontId="15" fillId="0" borderId="46" xfId="1" applyNumberFormat="1" applyFont="1" applyBorder="1" applyAlignment="1">
      <alignment vertical="top" wrapText="1"/>
    </xf>
    <xf numFmtId="180" fontId="15" fillId="0" borderId="49" xfId="1" applyNumberFormat="1" applyFont="1" applyBorder="1" applyAlignment="1">
      <alignment vertical="top" wrapText="1"/>
    </xf>
    <xf numFmtId="180" fontId="15" fillId="0" borderId="50" xfId="1" applyNumberFormat="1" applyFont="1" applyBorder="1" applyAlignment="1">
      <alignment vertical="top" wrapText="1"/>
    </xf>
    <xf numFmtId="180" fontId="15" fillId="0" borderId="48" xfId="1" applyNumberFormat="1" applyFont="1" applyBorder="1" applyAlignment="1">
      <alignment vertical="top" wrapText="1"/>
    </xf>
    <xf numFmtId="181" fontId="15" fillId="0" borderId="44" xfId="12" applyNumberFormat="1" applyFont="1" applyBorder="1" applyAlignment="1">
      <alignment vertical="top" wrapText="1"/>
    </xf>
    <xf numFmtId="0" fontId="15" fillId="0" borderId="3" xfId="0" applyNumberFormat="1" applyFont="1" applyBorder="1" applyAlignment="1">
      <alignment horizontal="left" wrapText="1" indent="1"/>
    </xf>
    <xf numFmtId="181" fontId="15" fillId="0" borderId="43" xfId="1" applyNumberFormat="1" applyFont="1" applyBorder="1" applyAlignment="1">
      <alignment vertical="top" wrapText="1"/>
    </xf>
    <xf numFmtId="181" fontId="15" fillId="0" borderId="43" xfId="12" applyNumberFormat="1" applyFont="1" applyBorder="1" applyAlignment="1">
      <alignment vertical="top" wrapText="1"/>
    </xf>
    <xf numFmtId="181" fontId="15" fillId="0" borderId="8" xfId="12" applyNumberFormat="1" applyFont="1" applyBorder="1" applyAlignment="1">
      <alignment vertical="top" wrapText="1"/>
    </xf>
    <xf numFmtId="181" fontId="15" fillId="0" borderId="3" xfId="12" applyNumberFormat="1" applyFont="1" applyBorder="1" applyAlignment="1">
      <alignment vertical="top" wrapText="1"/>
    </xf>
    <xf numFmtId="181" fontId="15" fillId="0" borderId="0" xfId="12" applyNumberFormat="1" applyFont="1" applyBorder="1" applyAlignment="1">
      <alignment vertical="top" wrapText="1"/>
    </xf>
    <xf numFmtId="181" fontId="15" fillId="0" borderId="1" xfId="12" applyNumberFormat="1" applyFont="1" applyBorder="1" applyAlignment="1">
      <alignment vertical="top" wrapText="1"/>
    </xf>
    <xf numFmtId="43" fontId="13" fillId="0" borderId="43" xfId="1" applyFont="1" applyBorder="1" applyAlignment="1">
      <alignment horizontal="center" vertical="top" wrapText="1"/>
    </xf>
    <xf numFmtId="43" fontId="13" fillId="0" borderId="8" xfId="1" applyFont="1" applyBorder="1" applyAlignment="1">
      <alignment horizontal="center" vertical="top" wrapText="1"/>
    </xf>
    <xf numFmtId="43" fontId="13" fillId="0" borderId="3" xfId="1" applyFont="1" applyBorder="1" applyAlignment="1">
      <alignment horizontal="center" vertical="top" wrapText="1"/>
    </xf>
    <xf numFmtId="43" fontId="13" fillId="0" borderId="0" xfId="1" applyFont="1" applyBorder="1" applyAlignment="1">
      <alignment horizontal="center" vertical="top" wrapText="1"/>
    </xf>
    <xf numFmtId="0" fontId="17" fillId="0" borderId="50" xfId="0" applyNumberFormat="1" applyFont="1" applyBorder="1" applyAlignment="1">
      <alignment horizontal="left" wrapText="1"/>
    </xf>
    <xf numFmtId="0" fontId="13" fillId="0" borderId="46" xfId="0" applyNumberFormat="1" applyFont="1" applyBorder="1" applyAlignment="1">
      <alignment horizontal="center" vertical="top" wrapText="1"/>
    </xf>
    <xf numFmtId="180" fontId="13" fillId="0" borderId="46" xfId="1" applyNumberFormat="1" applyFont="1" applyBorder="1" applyAlignment="1">
      <alignment vertical="top" wrapText="1"/>
    </xf>
    <xf numFmtId="180" fontId="13" fillId="0" borderId="49" xfId="1" applyNumberFormat="1" applyFont="1" applyBorder="1" applyAlignment="1">
      <alignment vertical="top" wrapText="1"/>
    </xf>
    <xf numFmtId="180" fontId="13" fillId="0" borderId="50" xfId="1" applyNumberFormat="1" applyFont="1" applyBorder="1" applyAlignment="1">
      <alignment vertical="top" wrapText="1"/>
    </xf>
    <xf numFmtId="180" fontId="13" fillId="0" borderId="48" xfId="1" applyNumberFormat="1" applyFont="1" applyBorder="1" applyAlignment="1">
      <alignment vertical="top" wrapText="1"/>
    </xf>
    <xf numFmtId="181" fontId="13" fillId="0" borderId="44" xfId="1" applyNumberFormat="1" applyFont="1" applyBorder="1" applyAlignment="1">
      <alignment vertical="top" wrapText="1"/>
    </xf>
    <xf numFmtId="0" fontId="15" fillId="0" borderId="43" xfId="0" applyNumberFormat="1" applyFont="1" applyBorder="1" applyAlignment="1">
      <alignment horizontal="center" vertical="top" wrapText="1"/>
    </xf>
    <xf numFmtId="0" fontId="17" fillId="0" borderId="4" xfId="0" applyNumberFormat="1" applyFont="1" applyBorder="1" applyAlignment="1">
      <alignment horizontal="left" wrapText="1"/>
    </xf>
    <xf numFmtId="0" fontId="13" fillId="0" borderId="36" xfId="0" applyFont="1" applyBorder="1" applyAlignment="1">
      <alignment horizontal="center" vertical="top" wrapText="1"/>
    </xf>
    <xf numFmtId="0" fontId="13" fillId="0" borderId="10" xfId="0" applyFont="1" applyBorder="1" applyAlignment="1">
      <alignment horizontal="center" vertical="top" wrapText="1"/>
    </xf>
    <xf numFmtId="0" fontId="13" fillId="0" borderId="4" xfId="0" applyFont="1" applyBorder="1" applyAlignment="1">
      <alignment horizontal="center" vertical="top" wrapText="1"/>
    </xf>
    <xf numFmtId="0" fontId="13" fillId="0" borderId="9" xfId="0" applyFont="1" applyBorder="1" applyAlignment="1">
      <alignment horizontal="center" vertical="top" wrapText="1"/>
    </xf>
    <xf numFmtId="181" fontId="13" fillId="0" borderId="5"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6" fontId="13" fillId="0" borderId="38" xfId="0" applyNumberFormat="1" applyFont="1" applyBorder="1" applyAlignment="1"/>
    <xf numFmtId="176" fontId="13" fillId="0" borderId="8" xfId="0" applyNumberFormat="1" applyFont="1" applyBorder="1" applyAlignment="1"/>
    <xf numFmtId="176" fontId="13" fillId="0" borderId="3" xfId="0" applyNumberFormat="1" applyFont="1" applyBorder="1" applyAlignment="1"/>
    <xf numFmtId="176" fontId="13" fillId="0" borderId="0" xfId="0" applyNumberFormat="1" applyFont="1" applyBorder="1" applyAlignment="1"/>
    <xf numFmtId="176" fontId="13" fillId="0" borderId="45" xfId="0" applyNumberFormat="1" applyFont="1" applyBorder="1" applyAlignment="1"/>
    <xf numFmtId="176" fontId="13" fillId="0" borderId="43" xfId="0" applyNumberFormat="1" applyFont="1" applyBorder="1" applyAlignment="1"/>
    <xf numFmtId="176" fontId="13" fillId="0" borderId="47" xfId="0" applyNumberFormat="1" applyFont="1" applyBorder="1" applyAlignment="1"/>
    <xf numFmtId="176" fontId="15" fillId="0" borderId="46" xfId="0" applyNumberFormat="1" applyFont="1" applyBorder="1" applyAlignment="1"/>
    <xf numFmtId="176" fontId="15" fillId="0" borderId="49" xfId="0" applyNumberFormat="1" applyFont="1" applyBorder="1" applyAlignment="1"/>
    <xf numFmtId="176" fontId="15" fillId="0" borderId="50" xfId="0" applyNumberFormat="1" applyFont="1" applyBorder="1" applyAlignment="1"/>
    <xf numFmtId="176" fontId="15" fillId="0" borderId="48" xfId="0" applyNumberFormat="1" applyFont="1" applyBorder="1" applyAlignment="1"/>
    <xf numFmtId="176" fontId="15" fillId="0" borderId="51" xfId="0" applyNumberFormat="1" applyFont="1" applyBorder="1" applyAlignment="1"/>
    <xf numFmtId="176" fontId="13" fillId="0" borderId="46" xfId="0" applyNumberFormat="1" applyFont="1" applyBorder="1" applyAlignment="1"/>
    <xf numFmtId="176" fontId="13" fillId="0" borderId="49" xfId="0" applyNumberFormat="1" applyFont="1" applyBorder="1" applyAlignment="1"/>
    <xf numFmtId="176" fontId="13" fillId="0" borderId="50" xfId="0" applyNumberFormat="1" applyFont="1" applyBorder="1" applyAlignment="1"/>
    <xf numFmtId="176" fontId="13" fillId="0" borderId="48" xfId="0" applyNumberFormat="1" applyFont="1" applyBorder="1" applyAlignment="1"/>
    <xf numFmtId="176" fontId="13" fillId="0" borderId="51" xfId="0" applyNumberFormat="1" applyFont="1" applyBorder="1" applyAlignment="1"/>
    <xf numFmtId="0" fontId="13" fillId="0" borderId="53" xfId="0" applyFont="1" applyBorder="1"/>
    <xf numFmtId="176" fontId="15" fillId="0" borderId="53" xfId="0" applyNumberFormat="1" applyFont="1" applyBorder="1" applyAlignment="1"/>
    <xf numFmtId="176" fontId="15" fillId="0" borderId="55" xfId="0" applyNumberFormat="1" applyFont="1" applyBorder="1" applyAlignment="1"/>
    <xf numFmtId="176" fontId="15" fillId="0" borderId="52" xfId="0" applyNumberFormat="1" applyFont="1" applyBorder="1" applyAlignment="1"/>
    <xf numFmtId="176" fontId="15" fillId="0" borderId="54" xfId="0" applyNumberFormat="1" applyFont="1" applyBorder="1" applyAlignment="1"/>
    <xf numFmtId="176" fontId="15" fillId="0" borderId="56" xfId="0" applyNumberFormat="1" applyFont="1" applyBorder="1" applyAlignment="1"/>
    <xf numFmtId="0" fontId="15" fillId="0" borderId="67" xfId="0" applyFont="1" applyFill="1" applyBorder="1" applyAlignment="1">
      <alignment horizontal="center" vertical="center"/>
    </xf>
    <xf numFmtId="0" fontId="15" fillId="0" borderId="84" xfId="0" applyFont="1" applyFill="1" applyBorder="1" applyAlignment="1">
      <alignment horizontal="center" vertical="center" wrapText="1"/>
    </xf>
    <xf numFmtId="0" fontId="15" fillId="0" borderId="37" xfId="0" applyFont="1" applyFill="1" applyBorder="1" applyAlignment="1">
      <alignment horizontal="center" vertical="center"/>
    </xf>
    <xf numFmtId="0" fontId="15" fillId="0" borderId="4" xfId="0" applyFont="1" applyFill="1" applyBorder="1" applyAlignment="1">
      <alignment horizontal="centerContinuous" vertical="top" wrapText="1"/>
    </xf>
    <xf numFmtId="0" fontId="15" fillId="0" borderId="66" xfId="0" applyFont="1" applyFill="1" applyBorder="1" applyAlignment="1">
      <alignment horizontal="centerContinuous" vertical="top" wrapText="1"/>
    </xf>
    <xf numFmtId="0" fontId="13" fillId="0" borderId="68" xfId="0" applyNumberFormat="1" applyFont="1" applyBorder="1" applyAlignment="1">
      <alignment horizontal="center"/>
    </xf>
    <xf numFmtId="169" fontId="13" fillId="0" borderId="78" xfId="0" applyNumberFormat="1" applyFont="1" applyBorder="1" applyAlignment="1">
      <alignment horizontal="center"/>
    </xf>
    <xf numFmtId="169" fontId="13" fillId="0" borderId="3" xfId="0" applyNumberFormat="1" applyFont="1" applyBorder="1" applyAlignment="1"/>
    <xf numFmtId="169" fontId="13" fillId="0" borderId="78" xfId="0" applyNumberFormat="1" applyFont="1" applyBorder="1" applyAlignment="1"/>
    <xf numFmtId="182" fontId="13" fillId="0" borderId="78" xfId="0" applyNumberFormat="1" applyFont="1" applyBorder="1" applyAlignment="1">
      <alignment horizontal="center"/>
    </xf>
    <xf numFmtId="176" fontId="13" fillId="0" borderId="78" xfId="0" applyNumberFormat="1" applyFont="1" applyBorder="1" applyAlignment="1"/>
    <xf numFmtId="176" fontId="15" fillId="0" borderId="80" xfId="0" applyNumberFormat="1" applyFont="1" applyBorder="1" applyAlignment="1"/>
    <xf numFmtId="0" fontId="13" fillId="0" borderId="37" xfId="0" applyNumberFormat="1" applyFont="1" applyBorder="1" applyAlignment="1">
      <alignment horizontal="center"/>
    </xf>
    <xf numFmtId="182" fontId="13" fillId="0" borderId="66" xfId="0" applyNumberFormat="1" applyFont="1" applyBorder="1" applyAlignment="1">
      <alignment horizontal="center"/>
    </xf>
    <xf numFmtId="176" fontId="15" fillId="0" borderId="85" xfId="0" applyNumberFormat="1" applyFont="1" applyBorder="1" applyAlignment="1"/>
    <xf numFmtId="177" fontId="13" fillId="0" borderId="0" xfId="1" applyNumberFormat="1" applyFont="1"/>
    <xf numFmtId="0" fontId="13" fillId="0" borderId="38" xfId="0" applyNumberFormat="1" applyFont="1" applyBorder="1" applyAlignment="1">
      <alignment horizontal="center"/>
    </xf>
    <xf numFmtId="176" fontId="13" fillId="0" borderId="8" xfId="0" applyNumberFormat="1" applyFont="1" applyFill="1" applyBorder="1" applyAlignment="1"/>
    <xf numFmtId="176" fontId="15" fillId="0" borderId="43" xfId="0" applyNumberFormat="1" applyFont="1" applyBorder="1" applyAlignment="1"/>
    <xf numFmtId="176" fontId="15" fillId="0" borderId="8" xfId="0" applyNumberFormat="1" applyFont="1" applyBorder="1" applyAlignment="1"/>
    <xf numFmtId="176" fontId="15" fillId="0" borderId="3" xfId="0" applyNumberFormat="1" applyFont="1" applyBorder="1" applyAlignment="1"/>
    <xf numFmtId="176" fontId="15" fillId="0" borderId="0" xfId="0" applyNumberFormat="1" applyFont="1" applyBorder="1" applyAlignment="1"/>
    <xf numFmtId="176" fontId="15" fillId="0" borderId="47" xfId="0" applyNumberFormat="1" applyFont="1" applyBorder="1" applyAlignment="1"/>
    <xf numFmtId="0" fontId="15" fillId="0" borderId="86" xfId="0" applyFont="1" applyFill="1" applyBorder="1" applyAlignment="1">
      <alignment horizontal="center" vertical="center" wrapText="1"/>
    </xf>
    <xf numFmtId="176" fontId="15" fillId="0" borderId="38" xfId="0" applyNumberFormat="1" applyFont="1" applyBorder="1" applyAlignment="1"/>
    <xf numFmtId="176" fontId="15" fillId="0" borderId="7" xfId="0" applyNumberFormat="1" applyFont="1" applyBorder="1" applyAlignment="1"/>
    <xf numFmtId="176" fontId="15" fillId="0" borderId="12" xfId="0" applyNumberFormat="1" applyFont="1" applyBorder="1" applyAlignment="1"/>
    <xf numFmtId="176" fontId="15" fillId="0" borderId="6" xfId="0" applyNumberFormat="1" applyFont="1" applyBorder="1" applyAlignment="1"/>
    <xf numFmtId="176" fontId="15" fillId="0" borderId="45" xfId="0" applyNumberFormat="1" applyFont="1" applyBorder="1" applyAlignment="1"/>
    <xf numFmtId="0" fontId="15" fillId="0" borderId="62" xfId="0" applyNumberFormat="1" applyFont="1" applyBorder="1" applyAlignment="1">
      <alignment vertical="center"/>
    </xf>
    <xf numFmtId="0" fontId="13" fillId="0" borderId="60" xfId="0" applyNumberFormat="1" applyFont="1" applyBorder="1" applyAlignment="1">
      <alignment horizontal="center" vertical="center"/>
    </xf>
    <xf numFmtId="176" fontId="15" fillId="0" borderId="60" xfId="0" applyNumberFormat="1" applyFont="1" applyBorder="1" applyAlignment="1">
      <alignment vertical="center"/>
    </xf>
    <xf numFmtId="176" fontId="15" fillId="0" borderId="61" xfId="0" applyNumberFormat="1" applyFont="1" applyBorder="1" applyAlignment="1">
      <alignment vertical="center"/>
    </xf>
    <xf numFmtId="176" fontId="15" fillId="0" borderId="62" xfId="0" applyNumberFormat="1" applyFont="1" applyBorder="1" applyAlignment="1">
      <alignment vertical="center"/>
    </xf>
    <xf numFmtId="176" fontId="15" fillId="0" borderId="59" xfId="0" applyNumberFormat="1" applyFont="1" applyBorder="1" applyAlignment="1">
      <alignment vertical="center"/>
    </xf>
    <xf numFmtId="176" fontId="15" fillId="0" borderId="63" xfId="0" applyNumberFormat="1" applyFont="1" applyBorder="1" applyAlignment="1">
      <alignment vertical="center"/>
    </xf>
    <xf numFmtId="0" fontId="13" fillId="0" borderId="0" xfId="0" applyFont="1" applyAlignment="1">
      <alignment vertical="center"/>
    </xf>
    <xf numFmtId="0" fontId="15" fillId="0" borderId="3" xfId="0" quotePrefix="1" applyNumberFormat="1" applyFont="1" applyBorder="1" applyAlignment="1">
      <alignment horizontal="left" indent="1"/>
    </xf>
    <xf numFmtId="0" fontId="15" fillId="0" borderId="50" xfId="0" applyNumberFormat="1" applyFont="1" applyBorder="1" applyAlignment="1">
      <alignment horizontal="left"/>
    </xf>
    <xf numFmtId="0" fontId="13" fillId="0" borderId="46" xfId="0" applyNumberFormat="1" applyFont="1" applyBorder="1" applyAlignment="1">
      <alignment horizontal="center"/>
    </xf>
    <xf numFmtId="0" fontId="15" fillId="0" borderId="52" xfId="0" applyNumberFormat="1" applyFont="1" applyBorder="1" applyAlignment="1">
      <alignment vertical="center"/>
    </xf>
    <xf numFmtId="0" fontId="13" fillId="0" borderId="53" xfId="0" applyNumberFormat="1" applyFont="1" applyBorder="1" applyAlignment="1">
      <alignment horizontal="center" vertical="center"/>
    </xf>
    <xf numFmtId="176" fontId="15" fillId="0" borderId="53" xfId="0" applyNumberFormat="1" applyFont="1" applyBorder="1" applyAlignment="1">
      <alignment vertical="center"/>
    </xf>
    <xf numFmtId="176" fontId="15" fillId="0" borderId="55" xfId="0" applyNumberFormat="1" applyFont="1" applyBorder="1" applyAlignment="1">
      <alignment vertical="center"/>
    </xf>
    <xf numFmtId="176" fontId="15" fillId="0" borderId="52" xfId="0" applyNumberFormat="1" applyFont="1" applyBorder="1" applyAlignment="1">
      <alignment vertical="center"/>
    </xf>
    <xf numFmtId="176" fontId="15" fillId="0" borderId="54" xfId="0" applyNumberFormat="1" applyFont="1" applyBorder="1" applyAlignment="1">
      <alignment vertical="center"/>
    </xf>
    <xf numFmtId="176" fontId="15" fillId="0" borderId="56" xfId="0" applyNumberFormat="1" applyFont="1" applyBorder="1" applyAlignment="1">
      <alignment vertical="center"/>
    </xf>
    <xf numFmtId="176" fontId="13" fillId="0" borderId="43" xfId="1" applyNumberFormat="1" applyFont="1" applyBorder="1" applyAlignment="1"/>
    <xf numFmtId="176" fontId="13" fillId="0" borderId="0" xfId="1" applyNumberFormat="1" applyFont="1" applyBorder="1" applyAlignment="1"/>
    <xf numFmtId="176" fontId="13" fillId="0" borderId="3" xfId="1" applyNumberFormat="1" applyFont="1" applyBorder="1" applyAlignment="1"/>
    <xf numFmtId="176" fontId="13" fillId="0" borderId="47" xfId="1" applyNumberFormat="1" applyFont="1" applyBorder="1" applyAlignment="1"/>
    <xf numFmtId="176" fontId="13" fillId="0" borderId="8" xfId="1" applyNumberFormat="1" applyFont="1" applyBorder="1" applyAlignment="1"/>
    <xf numFmtId="176" fontId="13" fillId="0" borderId="43" xfId="1" applyNumberFormat="1" applyFont="1" applyFill="1" applyBorder="1" applyAlignment="1"/>
    <xf numFmtId="0" fontId="15" fillId="0" borderId="3" xfId="0" applyNumberFormat="1" applyFont="1" applyBorder="1" applyAlignment="1">
      <alignment horizontal="left" indent="2"/>
    </xf>
    <xf numFmtId="176" fontId="15" fillId="0" borderId="60" xfId="1" applyNumberFormat="1" applyFont="1" applyFill="1" applyBorder="1" applyAlignment="1"/>
    <xf numFmtId="176" fontId="15" fillId="0" borderId="60" xfId="1" applyNumberFormat="1" applyFont="1" applyBorder="1" applyAlignment="1"/>
    <xf numFmtId="176" fontId="15" fillId="0" borderId="61" xfId="1" applyNumberFormat="1" applyFont="1" applyBorder="1" applyAlignment="1"/>
    <xf numFmtId="176" fontId="15" fillId="0" borderId="62" xfId="1" applyNumberFormat="1" applyFont="1" applyBorder="1" applyAlignment="1"/>
    <xf numFmtId="176" fontId="15" fillId="0" borderId="59" xfId="1" applyNumberFormat="1" applyFont="1" applyBorder="1" applyAlignment="1"/>
    <xf numFmtId="176" fontId="15" fillId="0" borderId="63" xfId="1" applyNumberFormat="1" applyFont="1" applyBorder="1" applyAlignment="1"/>
    <xf numFmtId="176" fontId="15" fillId="0" borderId="43" xfId="0" applyNumberFormat="1" applyFont="1" applyFill="1" applyBorder="1" applyAlignment="1"/>
    <xf numFmtId="0" fontId="13" fillId="0" borderId="3" xfId="0" quotePrefix="1" applyNumberFormat="1" applyFont="1" applyBorder="1" applyAlignment="1">
      <alignment horizontal="left" indent="2"/>
    </xf>
    <xf numFmtId="176" fontId="13" fillId="0" borderId="0" xfId="1" applyNumberFormat="1" applyFont="1" applyFill="1" applyBorder="1" applyAlignment="1"/>
    <xf numFmtId="0" fontId="15" fillId="0" borderId="3" xfId="0" quotePrefix="1" applyNumberFormat="1" applyFont="1" applyBorder="1" applyAlignment="1">
      <alignment horizontal="left" indent="2"/>
    </xf>
    <xf numFmtId="0" fontId="15" fillId="0" borderId="62" xfId="0" applyNumberFormat="1" applyFont="1" applyBorder="1"/>
    <xf numFmtId="0" fontId="13" fillId="0" borderId="60" xfId="0" applyNumberFormat="1" applyFont="1" applyBorder="1" applyAlignment="1">
      <alignment horizontal="center"/>
    </xf>
    <xf numFmtId="176" fontId="15" fillId="0" borderId="60" xfId="0" applyNumberFormat="1" applyFont="1" applyBorder="1" applyAlignment="1"/>
    <xf numFmtId="176" fontId="15" fillId="0" borderId="61" xfId="0" applyNumberFormat="1" applyFont="1" applyBorder="1" applyAlignment="1"/>
    <xf numFmtId="176" fontId="15" fillId="0" borderId="62" xfId="0" applyNumberFormat="1" applyFont="1" applyBorder="1" applyAlignment="1"/>
    <xf numFmtId="176" fontId="15" fillId="0" borderId="59" xfId="0" applyNumberFormat="1" applyFont="1" applyBorder="1" applyAlignment="1"/>
    <xf numFmtId="176" fontId="15" fillId="0" borderId="63" xfId="0" applyNumberFormat="1" applyFont="1" applyBorder="1" applyAlignment="1"/>
    <xf numFmtId="0" fontId="15" fillId="0" borderId="3"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43" fontId="13" fillId="0" borderId="0" xfId="1" applyFont="1"/>
    <xf numFmtId="176" fontId="13" fillId="0" borderId="78" xfId="0" applyNumberFormat="1" applyFont="1" applyBorder="1"/>
    <xf numFmtId="176" fontId="15" fillId="0" borderId="87" xfId="0" applyNumberFormat="1" applyFont="1" applyBorder="1"/>
    <xf numFmtId="0" fontId="17" fillId="0" borderId="3" xfId="0" applyNumberFormat="1" applyFont="1" applyFill="1" applyBorder="1"/>
    <xf numFmtId="0" fontId="15" fillId="0" borderId="62" xfId="0" applyNumberFormat="1" applyFont="1" applyFill="1" applyBorder="1"/>
    <xf numFmtId="0" fontId="13" fillId="0" borderId="60" xfId="0" applyNumberFormat="1" applyFont="1" applyFill="1" applyBorder="1" applyAlignment="1">
      <alignment horizontal="center"/>
    </xf>
    <xf numFmtId="176" fontId="15" fillId="0" borderId="60" xfId="0" applyNumberFormat="1" applyFont="1" applyFill="1" applyBorder="1"/>
    <xf numFmtId="176" fontId="15" fillId="0" borderId="61" xfId="0" applyNumberFormat="1" applyFont="1" applyFill="1" applyBorder="1"/>
    <xf numFmtId="176" fontId="15" fillId="0" borderId="62" xfId="0" applyNumberFormat="1" applyFont="1" applyFill="1" applyBorder="1"/>
    <xf numFmtId="176" fontId="15" fillId="0" borderId="87" xfId="0" applyNumberFormat="1" applyFont="1" applyFill="1" applyBorder="1"/>
    <xf numFmtId="176" fontId="15" fillId="0" borderId="59" xfId="0" applyNumberFormat="1" applyFont="1" applyFill="1" applyBorder="1"/>
    <xf numFmtId="0" fontId="13" fillId="0" borderId="3" xfId="0" applyNumberFormat="1" applyFont="1" applyFill="1" applyBorder="1"/>
    <xf numFmtId="0" fontId="15" fillId="0" borderId="52" xfId="0" applyNumberFormat="1" applyFont="1" applyFill="1" applyBorder="1"/>
    <xf numFmtId="176" fontId="15" fillId="0" borderId="85" xfId="0" applyNumberFormat="1" applyFont="1" applyFill="1" applyBorder="1"/>
    <xf numFmtId="0" fontId="13" fillId="0" borderId="8" xfId="0" applyNumberFormat="1" applyFont="1" applyBorder="1" applyAlignment="1">
      <alignment horizontal="center"/>
    </xf>
    <xf numFmtId="0" fontId="13" fillId="0" borderId="3" xfId="0" applyNumberFormat="1" applyFont="1" applyBorder="1" applyAlignment="1">
      <alignment horizontal="center"/>
    </xf>
    <xf numFmtId="181" fontId="15" fillId="0" borderId="43" xfId="0" applyNumberFormat="1" applyFont="1" applyFill="1" applyBorder="1"/>
    <xf numFmtId="181" fontId="15" fillId="0" borderId="43" xfId="12" applyNumberFormat="1" applyFont="1" applyBorder="1" applyAlignment="1">
      <alignment horizontal="center"/>
    </xf>
    <xf numFmtId="181" fontId="15" fillId="0" borderId="8" xfId="12" applyNumberFormat="1" applyFont="1" applyBorder="1" applyAlignment="1">
      <alignment horizontal="center"/>
    </xf>
    <xf numFmtId="181" fontId="15" fillId="0" borderId="3" xfId="12" applyNumberFormat="1" applyFont="1" applyBorder="1" applyAlignment="1">
      <alignment horizontal="center"/>
    </xf>
    <xf numFmtId="181" fontId="15" fillId="0" borderId="0" xfId="12" applyNumberFormat="1" applyFont="1" applyBorder="1" applyAlignment="1">
      <alignment horizontal="center"/>
    </xf>
    <xf numFmtId="181" fontId="15" fillId="0" borderId="43" xfId="0" applyNumberFormat="1" applyFont="1" applyBorder="1"/>
    <xf numFmtId="181" fontId="13" fillId="0" borderId="43" xfId="0" applyNumberFormat="1" applyFont="1" applyBorder="1"/>
    <xf numFmtId="9" fontId="15" fillId="0" borderId="43" xfId="12" applyFont="1" applyBorder="1" applyAlignment="1">
      <alignment horizontal="center"/>
    </xf>
    <xf numFmtId="9" fontId="15" fillId="0" borderId="8" xfId="12" applyFont="1" applyBorder="1" applyAlignment="1">
      <alignment horizontal="center"/>
    </xf>
    <xf numFmtId="9" fontId="15" fillId="0" borderId="3" xfId="12" applyFont="1" applyBorder="1" applyAlignment="1">
      <alignment horizontal="center"/>
    </xf>
    <xf numFmtId="9" fontId="15" fillId="0" borderId="0" xfId="12" applyFont="1" applyBorder="1" applyAlignment="1">
      <alignment horizontal="center"/>
    </xf>
    <xf numFmtId="0" fontId="18" fillId="0" borderId="0" xfId="0" applyNumberFormat="1" applyFont="1"/>
    <xf numFmtId="169" fontId="13" fillId="0" borderId="0" xfId="0" applyNumberFormat="1" applyFont="1" applyFill="1"/>
    <xf numFmtId="0" fontId="15" fillId="0" borderId="7" xfId="0" applyFont="1" applyFill="1" applyBorder="1" applyAlignment="1">
      <alignment horizontal="center" vertical="top" wrapText="1"/>
    </xf>
    <xf numFmtId="177" fontId="13" fillId="0" borderId="43" xfId="1" applyNumberFormat="1" applyFont="1" applyBorder="1" applyAlignment="1">
      <alignment horizontal="center"/>
    </xf>
    <xf numFmtId="177" fontId="13" fillId="0" borderId="43" xfId="1" applyNumberFormat="1" applyFont="1" applyBorder="1"/>
    <xf numFmtId="177" fontId="13" fillId="0" borderId="1" xfId="1" applyNumberFormat="1" applyFont="1" applyBorder="1"/>
    <xf numFmtId="177" fontId="13" fillId="0" borderId="43" xfId="1" applyNumberFormat="1" applyFont="1" applyFill="1" applyBorder="1" applyAlignment="1">
      <alignment horizontal="center"/>
    </xf>
    <xf numFmtId="177" fontId="15" fillId="0" borderId="60" xfId="1" applyNumberFormat="1" applyFont="1" applyFill="1" applyBorder="1" applyAlignment="1">
      <alignment horizontal="center"/>
    </xf>
    <xf numFmtId="177" fontId="15" fillId="0" borderId="60" xfId="1" applyNumberFormat="1" applyFont="1" applyFill="1" applyBorder="1"/>
    <xf numFmtId="177" fontId="15" fillId="0" borderId="60" xfId="1" applyNumberFormat="1" applyFont="1" applyBorder="1"/>
    <xf numFmtId="177" fontId="15" fillId="0" borderId="88" xfId="1" applyNumberFormat="1" applyFont="1" applyBorder="1"/>
    <xf numFmtId="0" fontId="18" fillId="0" borderId="3" xfId="0" applyNumberFormat="1" applyFont="1" applyBorder="1"/>
    <xf numFmtId="177" fontId="15" fillId="0" borderId="60" xfId="1" applyNumberFormat="1" applyFont="1" applyBorder="1" applyAlignment="1">
      <alignment horizontal="center"/>
    </xf>
    <xf numFmtId="177" fontId="15" fillId="0" borderId="61" xfId="1" applyNumberFormat="1" applyFont="1" applyFill="1" applyBorder="1"/>
    <xf numFmtId="177" fontId="13" fillId="0" borderId="1" xfId="1" applyNumberFormat="1" applyFont="1" applyFill="1" applyBorder="1"/>
    <xf numFmtId="177" fontId="13" fillId="0" borderId="0" xfId="1" applyNumberFormat="1" applyFont="1" applyBorder="1"/>
    <xf numFmtId="0" fontId="15" fillId="0" borderId="52" xfId="0" applyNumberFormat="1" applyFont="1" applyBorder="1" applyAlignment="1">
      <alignment vertical="center" wrapText="1"/>
    </xf>
    <xf numFmtId="177" fontId="15" fillId="0" borderId="53" xfId="1" applyNumberFormat="1" applyFont="1" applyBorder="1" applyAlignment="1">
      <alignment horizontal="center" vertical="center"/>
    </xf>
    <xf numFmtId="177" fontId="15" fillId="0" borderId="53" xfId="1" applyNumberFormat="1" applyFont="1" applyBorder="1" applyAlignment="1">
      <alignment vertical="center"/>
    </xf>
    <xf numFmtId="177" fontId="15" fillId="0" borderId="55" xfId="1" applyNumberFormat="1" applyFont="1" applyBorder="1" applyAlignment="1">
      <alignment vertical="center"/>
    </xf>
    <xf numFmtId="177" fontId="15" fillId="0" borderId="89" xfId="1" applyNumberFormat="1" applyFont="1" applyBorder="1" applyAlignment="1">
      <alignment vertical="center"/>
    </xf>
    <xf numFmtId="177" fontId="13" fillId="0" borderId="8" xfId="1" applyNumberFormat="1" applyFont="1" applyBorder="1"/>
    <xf numFmtId="177" fontId="13" fillId="0" borderId="3" xfId="1" applyNumberFormat="1" applyFont="1" applyBorder="1"/>
    <xf numFmtId="177" fontId="13" fillId="0" borderId="78" xfId="1" applyNumberFormat="1" applyFont="1" applyBorder="1"/>
    <xf numFmtId="181" fontId="15" fillId="0" borderId="43" xfId="1" applyNumberFormat="1" applyFont="1" applyBorder="1"/>
    <xf numFmtId="181" fontId="15" fillId="0" borderId="78" xfId="12" applyNumberFormat="1" applyFont="1" applyBorder="1" applyAlignment="1">
      <alignment horizontal="center"/>
    </xf>
    <xf numFmtId="177" fontId="15" fillId="0" borderId="53" xfId="1" applyNumberFormat="1" applyFont="1" applyBorder="1"/>
    <xf numFmtId="177" fontId="15" fillId="0" borderId="85" xfId="1" applyNumberFormat="1" applyFont="1" applyBorder="1"/>
    <xf numFmtId="0" fontId="17" fillId="0" borderId="12" xfId="0" applyNumberFormat="1" applyFont="1" applyBorder="1"/>
    <xf numFmtId="0" fontId="17" fillId="0" borderId="75" xfId="0" applyNumberFormat="1" applyFont="1" applyBorder="1" applyAlignment="1">
      <alignment horizontal="center"/>
    </xf>
    <xf numFmtId="176" fontId="15" fillId="0" borderId="75" xfId="0" applyNumberFormat="1" applyFont="1" applyBorder="1" applyAlignment="1">
      <alignment horizontal="center"/>
    </xf>
    <xf numFmtId="0" fontId="13" fillId="0" borderId="78" xfId="0" applyNumberFormat="1" applyFont="1" applyBorder="1" applyAlignment="1">
      <alignment horizontal="center"/>
    </xf>
    <xf numFmtId="0" fontId="15" fillId="0" borderId="78" xfId="0" applyNumberFormat="1" applyFont="1" applyBorder="1" applyAlignment="1">
      <alignment horizontal="center"/>
    </xf>
    <xf numFmtId="176" fontId="15" fillId="0" borderId="80" xfId="0" applyNumberFormat="1" applyFont="1" applyBorder="1"/>
    <xf numFmtId="0" fontId="17" fillId="0" borderId="78" xfId="0" applyNumberFormat="1" applyFont="1" applyBorder="1" applyAlignment="1">
      <alignment horizontal="center"/>
    </xf>
    <xf numFmtId="0" fontId="15" fillId="0" borderId="50" xfId="0" applyNumberFormat="1" applyFont="1" applyBorder="1"/>
    <xf numFmtId="0" fontId="15" fillId="0" borderId="80" xfId="0" applyNumberFormat="1" applyFont="1" applyBorder="1" applyAlignment="1">
      <alignment horizontal="center"/>
    </xf>
    <xf numFmtId="0" fontId="15" fillId="0" borderId="50" xfId="0" applyNumberFormat="1" applyFont="1" applyBorder="1" applyAlignment="1">
      <alignment vertical="center" wrapText="1"/>
    </xf>
    <xf numFmtId="0" fontId="15" fillId="0" borderId="80" xfId="0" applyNumberFormat="1" applyFont="1" applyBorder="1" applyAlignment="1">
      <alignment horizontal="center" vertical="center" wrapText="1"/>
    </xf>
    <xf numFmtId="176" fontId="15" fillId="0" borderId="50" xfId="0" applyNumberFormat="1" applyFont="1" applyBorder="1" applyAlignment="1">
      <alignment vertical="center"/>
    </xf>
    <xf numFmtId="176" fontId="15" fillId="0" borderId="46" xfId="0" applyNumberFormat="1" applyFont="1" applyBorder="1" applyAlignment="1">
      <alignment vertical="center"/>
    </xf>
    <xf numFmtId="176" fontId="15" fillId="0" borderId="80" xfId="0" applyNumberFormat="1" applyFont="1" applyBorder="1" applyAlignment="1">
      <alignment vertical="center"/>
    </xf>
    <xf numFmtId="176" fontId="15" fillId="0" borderId="49" xfId="0" applyNumberFormat="1" applyFont="1" applyBorder="1" applyAlignment="1">
      <alignment vertical="center"/>
    </xf>
    <xf numFmtId="0" fontId="13" fillId="0" borderId="78" xfId="0" applyNumberFormat="1" applyFont="1" applyBorder="1" applyAlignment="1">
      <alignment horizontal="center" vertical="top" wrapText="1"/>
    </xf>
    <xf numFmtId="0" fontId="15" fillId="0" borderId="85"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85" xfId="0" quotePrefix="1" applyNumberFormat="1" applyFont="1" applyBorder="1" applyAlignment="1">
      <alignment horizontal="center" vertical="center" wrapText="1"/>
    </xf>
    <xf numFmtId="0" fontId="13" fillId="0" borderId="3" xfId="0" applyNumberFormat="1" applyFont="1" applyFill="1" applyBorder="1" applyAlignment="1"/>
    <xf numFmtId="0" fontId="18" fillId="0" borderId="0" xfId="0" applyFont="1" applyFill="1" applyAlignment="1">
      <alignment horizontal="center"/>
    </xf>
    <xf numFmtId="0" fontId="15" fillId="0" borderId="69" xfId="0" applyNumberFormat="1" applyFont="1" applyFill="1" applyBorder="1" applyAlignment="1">
      <alignment vertical="center" wrapText="1"/>
    </xf>
    <xf numFmtId="176" fontId="15" fillId="0" borderId="69" xfId="0" applyNumberFormat="1" applyFont="1" applyFill="1" applyBorder="1" applyAlignment="1">
      <alignment vertical="center"/>
    </xf>
    <xf numFmtId="176" fontId="15" fillId="0" borderId="72" xfId="0" applyNumberFormat="1" applyFont="1" applyFill="1" applyBorder="1" applyAlignment="1">
      <alignment vertical="center"/>
    </xf>
    <xf numFmtId="176" fontId="15" fillId="0" borderId="73" xfId="0" applyNumberFormat="1" applyFont="1" applyFill="1" applyBorder="1" applyAlignment="1">
      <alignment vertical="center"/>
    </xf>
    <xf numFmtId="169" fontId="15" fillId="0" borderId="90" xfId="0" applyNumberFormat="1" applyFont="1" applyFill="1" applyBorder="1" applyAlignment="1">
      <alignment vertical="center"/>
    </xf>
    <xf numFmtId="169" fontId="15" fillId="0" borderId="91" xfId="0" applyNumberFormat="1" applyFont="1" applyFill="1" applyBorder="1" applyAlignment="1">
      <alignment vertical="center"/>
    </xf>
    <xf numFmtId="169" fontId="15" fillId="0" borderId="92" xfId="0" applyNumberFormat="1" applyFont="1" applyFill="1" applyBorder="1" applyAlignment="1">
      <alignment vertical="center"/>
    </xf>
    <xf numFmtId="0" fontId="13" fillId="0" borderId="0" xfId="0" applyFont="1" applyFill="1" applyAlignment="1">
      <alignment vertical="center"/>
    </xf>
    <xf numFmtId="0" fontId="13" fillId="0" borderId="5" xfId="0" applyNumberFormat="1" applyFont="1" applyFill="1" applyBorder="1"/>
    <xf numFmtId="176" fontId="13" fillId="0" borderId="4" xfId="0" applyNumberFormat="1" applyFont="1" applyFill="1" applyBorder="1"/>
    <xf numFmtId="176" fontId="13" fillId="0" borderId="36" xfId="0" applyNumberFormat="1" applyFont="1" applyFill="1" applyBorder="1"/>
    <xf numFmtId="176" fontId="13" fillId="0" borderId="10" xfId="0" applyNumberFormat="1" applyFont="1" applyFill="1" applyBorder="1"/>
    <xf numFmtId="0" fontId="15" fillId="0" borderId="93" xfId="0" applyFont="1" applyFill="1" applyBorder="1" applyAlignment="1">
      <alignment horizontal="center" vertical="center" wrapText="1"/>
    </xf>
    <xf numFmtId="0" fontId="17" fillId="0" borderId="11" xfId="0" applyNumberFormat="1" applyFont="1" applyBorder="1"/>
    <xf numFmtId="175" fontId="13" fillId="0" borderId="47" xfId="0" applyNumberFormat="1" applyFont="1" applyFill="1" applyBorder="1"/>
    <xf numFmtId="175" fontId="13" fillId="0" borderId="45"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5" fontId="15" fillId="0" borderId="51" xfId="0" applyNumberFormat="1" applyFont="1" applyFill="1" applyBorder="1"/>
    <xf numFmtId="175" fontId="15" fillId="0" borderId="50" xfId="0" applyNumberFormat="1" applyFont="1" applyFill="1" applyBorder="1"/>
    <xf numFmtId="175" fontId="15" fillId="0" borderId="48" xfId="0" applyNumberFormat="1" applyFont="1" applyFill="1" applyBorder="1"/>
    <xf numFmtId="175" fontId="15" fillId="0" borderId="63" xfId="0" applyNumberFormat="1" applyFont="1" applyFill="1" applyBorder="1"/>
    <xf numFmtId="175" fontId="15" fillId="0" borderId="60" xfId="0" applyNumberFormat="1" applyFont="1" applyFill="1" applyBorder="1"/>
    <xf numFmtId="175" fontId="15" fillId="0" borderId="61" xfId="0" applyNumberFormat="1" applyFont="1" applyFill="1" applyBorder="1"/>
    <xf numFmtId="175" fontId="15" fillId="0" borderId="62" xfId="0" applyNumberFormat="1" applyFont="1" applyFill="1" applyBorder="1"/>
    <xf numFmtId="175" fontId="15" fillId="0" borderId="59" xfId="0" applyNumberFormat="1" applyFont="1" applyFill="1" applyBorder="1"/>
    <xf numFmtId="175" fontId="15" fillId="0" borderId="47" xfId="0" applyNumberFormat="1" applyFont="1" applyFill="1" applyBorder="1"/>
    <xf numFmtId="175" fontId="15" fillId="0" borderId="3" xfId="0" applyNumberFormat="1" applyFont="1" applyFill="1" applyBorder="1"/>
    <xf numFmtId="175" fontId="15" fillId="0" borderId="0" xfId="0" applyNumberFormat="1" applyFont="1" applyFill="1" applyBorder="1"/>
    <xf numFmtId="0" fontId="13" fillId="0" borderId="5" xfId="0" applyNumberFormat="1" applyFont="1" applyBorder="1"/>
    <xf numFmtId="175" fontId="13" fillId="0" borderId="64" xfId="0" applyNumberFormat="1" applyFont="1" applyFill="1" applyBorder="1"/>
    <xf numFmtId="175" fontId="13" fillId="0" borderId="36" xfId="0" applyNumberFormat="1" applyFont="1" applyFill="1" applyBorder="1"/>
    <xf numFmtId="175" fontId="13" fillId="0" borderId="10" xfId="0" applyNumberFormat="1" applyFont="1" applyFill="1" applyBorder="1"/>
    <xf numFmtId="175" fontId="13" fillId="0" borderId="4" xfId="0" applyNumberFormat="1" applyFont="1" applyFill="1" applyBorder="1"/>
    <xf numFmtId="175" fontId="13" fillId="0" borderId="9"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5" fontId="13" fillId="0" borderId="38" xfId="0" applyNumberFormat="1" applyFont="1" applyFill="1" applyBorder="1"/>
    <xf numFmtId="175" fontId="13" fillId="0" borderId="7" xfId="0" applyNumberFormat="1" applyFont="1" applyFill="1" applyBorder="1"/>
    <xf numFmtId="175" fontId="13" fillId="0" borderId="12" xfId="0" applyNumberFormat="1" applyFont="1" applyFill="1" applyBorder="1"/>
    <xf numFmtId="175" fontId="13" fillId="0" borderId="6" xfId="0" applyNumberFormat="1" applyFont="1" applyFill="1" applyBorder="1"/>
    <xf numFmtId="0" fontId="13" fillId="0" borderId="5" xfId="0" applyFont="1" applyBorder="1"/>
    <xf numFmtId="0" fontId="15" fillId="0" borderId="7" xfId="0" applyFont="1" applyFill="1" applyBorder="1" applyAlignment="1">
      <alignment horizontal="center" vertical="center" wrapText="1"/>
    </xf>
    <xf numFmtId="0" fontId="15" fillId="0" borderId="53" xfId="0" applyFont="1" applyFill="1" applyBorder="1" applyAlignment="1">
      <alignment horizontal="center" vertical="center" wrapText="1"/>
    </xf>
    <xf numFmtId="0" fontId="15" fillId="0" borderId="85" xfId="0" applyFont="1" applyFill="1" applyBorder="1" applyAlignment="1">
      <alignment horizontal="center" vertical="center" wrapText="1"/>
    </xf>
    <xf numFmtId="0" fontId="15" fillId="0" borderId="83" xfId="0" applyFont="1" applyFill="1" applyBorder="1" applyAlignment="1">
      <alignment horizontal="center" vertical="center" wrapText="1"/>
    </xf>
    <xf numFmtId="0" fontId="13" fillId="0" borderId="36" xfId="0" applyNumberFormat="1" applyFont="1" applyFill="1" applyBorder="1" applyAlignment="1">
      <alignment horizontal="center" vertical="center"/>
    </xf>
    <xf numFmtId="176" fontId="15" fillId="0" borderId="1" xfId="0" applyNumberFormat="1" applyFont="1" applyBorder="1" applyAlignment="1">
      <alignment horizontal="center"/>
    </xf>
    <xf numFmtId="176" fontId="13" fillId="0" borderId="44" xfId="0" applyNumberFormat="1" applyFont="1" applyBorder="1"/>
    <xf numFmtId="176" fontId="13" fillId="0" borderId="89" xfId="0" applyNumberFormat="1" applyFont="1" applyBorder="1"/>
    <xf numFmtId="0" fontId="10" fillId="0" borderId="0" xfId="0" applyFont="1" applyFill="1" applyBorder="1" applyAlignment="1">
      <alignment horizontal="left"/>
    </xf>
    <xf numFmtId="176" fontId="15" fillId="0" borderId="38" xfId="0" applyNumberFormat="1" applyFont="1" applyFill="1" applyBorder="1" applyAlignment="1">
      <alignment horizontal="center"/>
    </xf>
    <xf numFmtId="176" fontId="15" fillId="0" borderId="6" xfId="0" applyNumberFormat="1" applyFont="1" applyFill="1" applyBorder="1" applyAlignment="1">
      <alignment horizontal="center"/>
    </xf>
    <xf numFmtId="176" fontId="13" fillId="0" borderId="43" xfId="0" applyNumberFormat="1" applyFont="1" applyFill="1" applyBorder="1" applyAlignment="1">
      <alignment horizontal="right"/>
    </xf>
    <xf numFmtId="176" fontId="13" fillId="0" borderId="0" xfId="0" applyNumberFormat="1" applyFont="1" applyFill="1" applyBorder="1" applyAlignment="1">
      <alignment horizontal="right"/>
    </xf>
    <xf numFmtId="176" fontId="13" fillId="0" borderId="3" xfId="0" applyNumberFormat="1" applyFont="1" applyFill="1" applyBorder="1" applyAlignment="1">
      <alignment horizontal="right"/>
    </xf>
    <xf numFmtId="176" fontId="13" fillId="0" borderId="8" xfId="0" applyNumberFormat="1" applyFont="1" applyFill="1" applyBorder="1" applyAlignment="1">
      <alignment horizontal="right"/>
    </xf>
    <xf numFmtId="176" fontId="15" fillId="0" borderId="43" xfId="0" applyNumberFormat="1" applyFont="1" applyFill="1" applyBorder="1" applyAlignment="1">
      <alignment horizontal="right"/>
    </xf>
    <xf numFmtId="176" fontId="15" fillId="0" borderId="0" xfId="0" applyNumberFormat="1" applyFont="1" applyFill="1" applyBorder="1" applyAlignment="1">
      <alignment horizontal="right"/>
    </xf>
    <xf numFmtId="176" fontId="15" fillId="0" borderId="3" xfId="0" applyNumberFormat="1" applyFont="1" applyFill="1" applyBorder="1" applyAlignment="1">
      <alignment horizontal="right"/>
    </xf>
    <xf numFmtId="176" fontId="15" fillId="0" borderId="8" xfId="0" applyNumberFormat="1" applyFont="1" applyFill="1" applyBorder="1" applyAlignment="1">
      <alignment horizontal="right"/>
    </xf>
    <xf numFmtId="0" fontId="15" fillId="0" borderId="12" xfId="0" applyNumberFormat="1" applyFont="1" applyFill="1" applyBorder="1"/>
    <xf numFmtId="0" fontId="13" fillId="0" borderId="38" xfId="0" applyNumberFormat="1" applyFont="1" applyFill="1" applyBorder="1" applyAlignment="1">
      <alignment horizontal="center"/>
    </xf>
    <xf numFmtId="0" fontId="15" fillId="0" borderId="38" xfId="0" applyNumberFormat="1" applyFont="1" applyFill="1" applyBorder="1" applyAlignment="1">
      <alignment horizontal="center"/>
    </xf>
    <xf numFmtId="177" fontId="15" fillId="0" borderId="38" xfId="1" applyNumberFormat="1" applyFont="1" applyFill="1" applyBorder="1" applyAlignment="1">
      <alignment horizontal="center"/>
    </xf>
    <xf numFmtId="0" fontId="18" fillId="0" borderId="38" xfId="0" applyNumberFormat="1" applyFont="1" applyFill="1" applyBorder="1" applyAlignment="1">
      <alignment horizontal="center"/>
    </xf>
    <xf numFmtId="0" fontId="18" fillId="0" borderId="6" xfId="0" applyNumberFormat="1" applyFont="1" applyFill="1" applyBorder="1" applyAlignment="1">
      <alignment horizontal="center"/>
    </xf>
    <xf numFmtId="0" fontId="15" fillId="0" borderId="6" xfId="0" applyNumberFormat="1" applyFont="1" applyBorder="1" applyAlignment="1">
      <alignment horizontal="center"/>
    </xf>
    <xf numFmtId="0" fontId="15" fillId="0" borderId="75" xfId="0" applyNumberFormat="1" applyFont="1" applyBorder="1" applyAlignment="1">
      <alignment horizontal="center"/>
    </xf>
    <xf numFmtId="177" fontId="15" fillId="0" borderId="43" xfId="1" applyNumberFormat="1" applyFont="1" applyFill="1" applyBorder="1" applyAlignment="1">
      <alignment horizontal="center"/>
    </xf>
    <xf numFmtId="0" fontId="18" fillId="0" borderId="43" xfId="0" applyNumberFormat="1" applyFont="1" applyFill="1" applyBorder="1" applyAlignment="1">
      <alignment horizontal="center"/>
    </xf>
    <xf numFmtId="0" fontId="18" fillId="0" borderId="0" xfId="0" applyNumberFormat="1" applyFont="1" applyFill="1" applyBorder="1" applyAlignment="1">
      <alignment horizontal="center"/>
    </xf>
    <xf numFmtId="0" fontId="15" fillId="0" borderId="0" xfId="0" applyNumberFormat="1" applyFont="1" applyBorder="1" applyAlignment="1">
      <alignment horizontal="center"/>
    </xf>
    <xf numFmtId="0" fontId="18" fillId="0" borderId="3" xfId="0" applyNumberFormat="1" applyFont="1" applyFill="1" applyBorder="1"/>
    <xf numFmtId="0" fontId="13" fillId="0" borderId="78" xfId="0" applyNumberFormat="1" applyFont="1" applyBorder="1"/>
    <xf numFmtId="0" fontId="13" fillId="0" borderId="43" xfId="0" applyNumberFormat="1" applyFont="1" applyFill="1" applyBorder="1"/>
    <xf numFmtId="169" fontId="15" fillId="0" borderId="72" xfId="0" applyNumberFormat="1" applyFont="1" applyBorder="1"/>
    <xf numFmtId="177" fontId="15" fillId="0" borderId="72" xfId="0" applyNumberFormat="1" applyFont="1" applyBorder="1"/>
    <xf numFmtId="0" fontId="15" fillId="0" borderId="72" xfId="0" applyNumberFormat="1" applyFont="1" applyBorder="1"/>
    <xf numFmtId="0" fontId="15" fillId="0" borderId="74" xfId="0" applyNumberFormat="1" applyFont="1" applyBorder="1"/>
    <xf numFmtId="169" fontId="15" fillId="0" borderId="71" xfId="0" applyNumberFormat="1" applyFont="1" applyBorder="1"/>
    <xf numFmtId="169" fontId="15" fillId="0" borderId="73" xfId="0" applyNumberFormat="1" applyFont="1" applyBorder="1"/>
    <xf numFmtId="0" fontId="13" fillId="0" borderId="94" xfId="0" applyNumberFormat="1" applyFont="1" applyBorder="1" applyAlignment="1">
      <alignment horizontal="center"/>
    </xf>
    <xf numFmtId="169" fontId="15" fillId="0" borderId="12" xfId="0" applyNumberFormat="1" applyFont="1" applyBorder="1"/>
    <xf numFmtId="0" fontId="15" fillId="0" borderId="81" xfId="0" applyFont="1" applyFill="1" applyBorder="1" applyAlignment="1">
      <alignment horizontal="center" vertical="center" wrapText="1"/>
    </xf>
    <xf numFmtId="0" fontId="15" fillId="0" borderId="56" xfId="0" applyFont="1" applyFill="1" applyBorder="1" applyAlignment="1">
      <alignment horizontal="center" vertical="top" wrapText="1"/>
    </xf>
    <xf numFmtId="0" fontId="18" fillId="0" borderId="7" xfId="0" applyNumberFormat="1" applyFont="1" applyFill="1" applyBorder="1" applyAlignment="1">
      <alignment horizontal="center"/>
    </xf>
    <xf numFmtId="0" fontId="15" fillId="0" borderId="6" xfId="1" applyNumberFormat="1" applyFont="1" applyFill="1" applyBorder="1" applyAlignment="1">
      <alignment horizontal="center"/>
    </xf>
    <xf numFmtId="176" fontId="15" fillId="0" borderId="67" xfId="0" applyNumberFormat="1" applyFont="1" applyFill="1" applyBorder="1" applyAlignment="1">
      <alignment horizontal="center"/>
    </xf>
    <xf numFmtId="176" fontId="15" fillId="0" borderId="12" xfId="0" applyNumberFormat="1" applyFont="1" applyFill="1" applyBorder="1" applyAlignment="1">
      <alignment horizontal="center"/>
    </xf>
    <xf numFmtId="176" fontId="15" fillId="0" borderId="7" xfId="0" applyNumberFormat="1" applyFont="1" applyFill="1" applyBorder="1" applyAlignment="1">
      <alignment horizontal="center"/>
    </xf>
    <xf numFmtId="0" fontId="18" fillId="0" borderId="8" xfId="0" applyNumberFormat="1" applyFont="1" applyFill="1" applyBorder="1" applyAlignment="1">
      <alignment horizontal="center"/>
    </xf>
    <xf numFmtId="0" fontId="15" fillId="0" borderId="0" xfId="1" applyNumberFormat="1" applyFont="1" applyFill="1" applyBorder="1" applyAlignment="1">
      <alignment horizontal="center"/>
    </xf>
    <xf numFmtId="176" fontId="15" fillId="0" borderId="43" xfId="0" applyNumberFormat="1" applyFont="1" applyFill="1" applyBorder="1" applyAlignment="1">
      <alignment horizontal="center"/>
    </xf>
    <xf numFmtId="176" fontId="15" fillId="0" borderId="68" xfId="0" applyNumberFormat="1" applyFont="1" applyFill="1" applyBorder="1" applyAlignment="1">
      <alignment horizontal="center"/>
    </xf>
    <xf numFmtId="176" fontId="15" fillId="0" borderId="3" xfId="0" applyNumberFormat="1" applyFont="1" applyFill="1" applyBorder="1" applyAlignment="1">
      <alignment horizontal="center"/>
    </xf>
    <xf numFmtId="176" fontId="15" fillId="0" borderId="8" xfId="0" applyNumberFormat="1" applyFont="1" applyFill="1" applyBorder="1" applyAlignment="1">
      <alignment horizontal="center"/>
    </xf>
    <xf numFmtId="0" fontId="13" fillId="0" borderId="8" xfId="0" applyNumberFormat="1" applyFont="1" applyFill="1" applyBorder="1"/>
    <xf numFmtId="0" fontId="15" fillId="0" borderId="3" xfId="0" applyNumberFormat="1" applyFont="1" applyFill="1" applyBorder="1" applyAlignment="1">
      <alignment horizontal="left" indent="1"/>
    </xf>
    <xf numFmtId="0" fontId="13" fillId="0" borderId="43" xfId="0" applyFont="1" applyBorder="1"/>
    <xf numFmtId="178" fontId="13" fillId="0" borderId="43" xfId="1" applyNumberFormat="1" applyFont="1" applyFill="1" applyBorder="1" applyAlignment="1"/>
    <xf numFmtId="0" fontId="19" fillId="0" borderId="6" xfId="0" applyFont="1" applyBorder="1"/>
    <xf numFmtId="0" fontId="15" fillId="0" borderId="45" xfId="0" applyFont="1" applyFill="1" applyBorder="1" applyAlignment="1">
      <alignment horizontal="center" vertical="center"/>
    </xf>
    <xf numFmtId="176" fontId="15" fillId="0" borderId="43" xfId="0" applyNumberFormat="1" applyFont="1" applyBorder="1" applyAlignment="1">
      <alignment horizontal="right"/>
    </xf>
    <xf numFmtId="176" fontId="15" fillId="0" borderId="8" xfId="0" applyNumberFormat="1" applyFont="1" applyBorder="1" applyAlignment="1">
      <alignment horizontal="right"/>
    </xf>
    <xf numFmtId="176" fontId="15" fillId="0" borderId="3" xfId="0" applyNumberFormat="1" applyFont="1" applyBorder="1" applyAlignment="1">
      <alignment horizontal="right"/>
    </xf>
    <xf numFmtId="176" fontId="15" fillId="0" borderId="0" xfId="0" applyNumberFormat="1" applyFont="1" applyBorder="1" applyAlignment="1">
      <alignment horizontal="right"/>
    </xf>
    <xf numFmtId="176" fontId="15" fillId="0" borderId="47" xfId="0" applyNumberFormat="1" applyFont="1" applyBorder="1" applyAlignment="1">
      <alignment horizontal="right"/>
    </xf>
    <xf numFmtId="0" fontId="15" fillId="0" borderId="43" xfId="0" applyFont="1" applyBorder="1" applyAlignment="1">
      <alignment horizontal="center"/>
    </xf>
    <xf numFmtId="176" fontId="15" fillId="0" borderId="3" xfId="1" applyNumberFormat="1" applyFont="1" applyBorder="1" applyAlignment="1">
      <alignment horizontal="right"/>
    </xf>
    <xf numFmtId="176" fontId="15" fillId="0" borderId="8" xfId="1" applyNumberFormat="1" applyFont="1" applyBorder="1" applyAlignment="1">
      <alignment horizontal="right"/>
    </xf>
    <xf numFmtId="0" fontId="15" fillId="0" borderId="38" xfId="0" applyFont="1" applyFill="1" applyBorder="1" applyAlignment="1">
      <alignment horizontal="center" vertical="center"/>
    </xf>
    <xf numFmtId="49" fontId="15" fillId="0" borderId="45" xfId="0" applyNumberFormat="1" applyFont="1" applyFill="1" applyBorder="1" applyAlignment="1">
      <alignment horizontal="center" vertical="center" wrapText="1"/>
    </xf>
    <xf numFmtId="0" fontId="15" fillId="0" borderId="36" xfId="0" applyFont="1" applyFill="1" applyBorder="1" applyAlignment="1">
      <alignment horizontal="center" vertical="center"/>
    </xf>
    <xf numFmtId="0" fontId="15" fillId="0" borderId="37" xfId="0" applyFont="1" applyFill="1" applyBorder="1" applyAlignment="1">
      <alignment horizontal="center" vertical="center" wrapText="1"/>
    </xf>
    <xf numFmtId="0" fontId="15" fillId="0" borderId="64" xfId="0" applyFont="1" applyFill="1" applyBorder="1" applyAlignment="1">
      <alignment horizontal="center" vertical="center" wrapText="1"/>
    </xf>
    <xf numFmtId="165" fontId="13" fillId="0" borderId="2" xfId="1" applyNumberFormat="1" applyFont="1" applyBorder="1"/>
    <xf numFmtId="0" fontId="15" fillId="0" borderId="36" xfId="0" applyFont="1" applyFill="1" applyBorder="1" applyAlignment="1">
      <alignment vertical="center"/>
    </xf>
    <xf numFmtId="0" fontId="15" fillId="0" borderId="64" xfId="0" applyFont="1" applyFill="1" applyBorder="1" applyAlignment="1"/>
    <xf numFmtId="49" fontId="15" fillId="0" borderId="64" xfId="0" applyNumberFormat="1" applyFont="1" applyFill="1" applyBorder="1" applyAlignment="1">
      <alignment vertical="center" wrapText="1"/>
    </xf>
    <xf numFmtId="176" fontId="15" fillId="0" borderId="78" xfId="0" applyNumberFormat="1" applyFont="1" applyBorder="1" applyAlignment="1">
      <alignment horizontal="center"/>
    </xf>
    <xf numFmtId="0" fontId="13" fillId="0" borderId="78" xfId="0" quotePrefix="1" applyNumberFormat="1" applyFont="1" applyBorder="1" applyAlignment="1">
      <alignment horizontal="center"/>
    </xf>
    <xf numFmtId="0" fontId="5" fillId="2" borderId="9" xfId="0" applyFont="1" applyFill="1" applyBorder="1" applyAlignment="1">
      <alignment horizontal="center" vertical="center"/>
    </xf>
    <xf numFmtId="49" fontId="15" fillId="0" borderId="45" xfId="0" applyNumberFormat="1" applyFont="1" applyFill="1" applyBorder="1" applyAlignment="1">
      <alignment vertical="center" wrapText="1"/>
    </xf>
    <xf numFmtId="0" fontId="15" fillId="0" borderId="75" xfId="0" applyFont="1" applyFill="1" applyBorder="1" applyAlignment="1">
      <alignment vertical="center"/>
    </xf>
    <xf numFmtId="0" fontId="15" fillId="0" borderId="66" xfId="0" applyFont="1" applyFill="1" applyBorder="1" applyAlignment="1">
      <alignment vertical="center"/>
    </xf>
    <xf numFmtId="0" fontId="15" fillId="0" borderId="95" xfId="0" applyFont="1" applyFill="1" applyBorder="1" applyAlignment="1">
      <alignment horizontal="center" vertical="center" wrapText="1"/>
    </xf>
    <xf numFmtId="0" fontId="15" fillId="0" borderId="36" xfId="0" quotePrefix="1" applyFont="1" applyFill="1" applyBorder="1" applyAlignment="1">
      <alignment horizontal="center" vertical="center" wrapText="1"/>
    </xf>
    <xf numFmtId="0" fontId="15" fillId="0" borderId="10" xfId="0" quotePrefix="1" applyFont="1" applyFill="1" applyBorder="1" applyAlignment="1">
      <alignment horizontal="center" vertical="center" wrapText="1"/>
    </xf>
    <xf numFmtId="49" fontId="15" fillId="0" borderId="11" xfId="0" applyNumberFormat="1" applyFont="1" applyFill="1" applyBorder="1" applyAlignment="1">
      <alignment vertical="center" wrapText="1"/>
    </xf>
    <xf numFmtId="0" fontId="15" fillId="0" borderId="11" xfId="0"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52" xfId="0" applyFont="1" applyFill="1" applyBorder="1" applyAlignment="1">
      <alignment horizontal="center" vertical="top" wrapText="1"/>
    </xf>
    <xf numFmtId="0" fontId="15" fillId="0" borderId="53" xfId="0" applyFont="1" applyFill="1" applyBorder="1" applyAlignment="1">
      <alignment horizontal="center" vertical="top" wrapText="1"/>
    </xf>
    <xf numFmtId="0" fontId="15" fillId="0" borderId="55" xfId="0" applyFont="1" applyFill="1" applyBorder="1" applyAlignment="1">
      <alignment horizontal="center" vertical="top" wrapText="1"/>
    </xf>
    <xf numFmtId="0" fontId="15" fillId="0" borderId="54" xfId="0" applyFont="1" applyFill="1" applyBorder="1" applyAlignment="1">
      <alignment horizontal="center" vertical="center" wrapText="1"/>
    </xf>
    <xf numFmtId="0" fontId="14" fillId="7" borderId="12" xfId="0" applyFont="1" applyFill="1" applyBorder="1"/>
    <xf numFmtId="0" fontId="14" fillId="7" borderId="6" xfId="0" applyFont="1" applyFill="1" applyBorder="1" applyAlignment="1">
      <alignment horizontal="left"/>
    </xf>
    <xf numFmtId="174" fontId="2" fillId="0" borderId="6" xfId="0" applyNumberFormat="1" applyFont="1" applyBorder="1"/>
    <xf numFmtId="174" fontId="2" fillId="0" borderId="0" xfId="0" applyNumberFormat="1" applyFont="1" applyBorder="1"/>
    <xf numFmtId="174" fontId="5" fillId="0" borderId="0" xfId="0" applyNumberFormat="1" applyFont="1" applyBorder="1"/>
    <xf numFmtId="174" fontId="4" fillId="0" borderId="96" xfId="0" applyNumberFormat="1" applyFont="1" applyBorder="1"/>
    <xf numFmtId="174" fontId="4" fillId="0" borderId="97" xfId="0" applyNumberFormat="1" applyFont="1" applyBorder="1"/>
    <xf numFmtId="174" fontId="2" fillId="0" borderId="96" xfId="0" applyNumberFormat="1" applyFont="1" applyBorder="1"/>
    <xf numFmtId="174" fontId="2" fillId="0" borderId="97" xfId="0" applyNumberFormat="1" applyFont="1" applyBorder="1"/>
    <xf numFmtId="174" fontId="4" fillId="0" borderId="0" xfId="0" applyNumberFormat="1" applyFont="1" applyBorder="1"/>
    <xf numFmtId="174" fontId="5" fillId="0" borderId="35" xfId="0" applyNumberFormat="1" applyFont="1" applyBorder="1"/>
    <xf numFmtId="174" fontId="5" fillId="0" borderId="96" xfId="0" applyNumberFormat="1" applyFont="1" applyBorder="1"/>
    <xf numFmtId="174" fontId="5" fillId="0" borderId="97" xfId="0" applyNumberFormat="1" applyFont="1" applyBorder="1"/>
    <xf numFmtId="174" fontId="2" fillId="0" borderId="98" xfId="0" applyNumberFormat="1" applyFont="1" applyBorder="1"/>
    <xf numFmtId="0" fontId="22" fillId="0" borderId="0" xfId="0" applyFont="1"/>
    <xf numFmtId="176" fontId="13" fillId="0" borderId="36" xfId="1" applyNumberFormat="1" applyFont="1" applyBorder="1"/>
    <xf numFmtId="176" fontId="15" fillId="0" borderId="9" xfId="0" applyNumberFormat="1" applyFont="1" applyFill="1" applyBorder="1"/>
    <xf numFmtId="176" fontId="18" fillId="0" borderId="46" xfId="0" applyNumberFormat="1" applyFont="1" applyFill="1" applyBorder="1"/>
    <xf numFmtId="176" fontId="18" fillId="0" borderId="49" xfId="0" applyNumberFormat="1" applyFont="1" applyFill="1" applyBorder="1"/>
    <xf numFmtId="176" fontId="18" fillId="0" borderId="50" xfId="0" applyNumberFormat="1" applyFont="1" applyFill="1" applyBorder="1"/>
    <xf numFmtId="176" fontId="18" fillId="0" borderId="48" xfId="0" applyNumberFormat="1" applyFont="1" applyFill="1" applyBorder="1"/>
    <xf numFmtId="176" fontId="18" fillId="0" borderId="51" xfId="0" applyNumberFormat="1" applyFont="1" applyFill="1" applyBorder="1"/>
    <xf numFmtId="165" fontId="18" fillId="0" borderId="0" xfId="1" applyNumberFormat="1" applyFont="1" applyFill="1" applyBorder="1" applyAlignment="1">
      <alignment horizontal="right"/>
    </xf>
    <xf numFmtId="0" fontId="14" fillId="7" borderId="11" xfId="0" applyFont="1" applyFill="1" applyBorder="1" applyAlignment="1">
      <alignment horizontal="left"/>
    </xf>
    <xf numFmtId="0" fontId="14"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4" fillId="8" borderId="17" xfId="0" applyFont="1" applyFill="1" applyBorder="1" applyAlignment="1">
      <alignment horizontal="left"/>
    </xf>
    <xf numFmtId="0" fontId="5" fillId="8" borderId="35" xfId="0" applyFont="1" applyFill="1" applyBorder="1"/>
    <xf numFmtId="174" fontId="23" fillId="0" borderId="11" xfId="0" applyNumberFormat="1" applyFont="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43" xfId="0" applyNumberFormat="1" applyFont="1" applyBorder="1" applyAlignment="1" applyProtection="1">
      <alignment horizontal="center"/>
      <protection locked="0"/>
    </xf>
    <xf numFmtId="0" fontId="13" fillId="0" borderId="53"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6" fontId="13" fillId="9" borderId="43" xfId="0" applyNumberFormat="1" applyFont="1" applyFill="1" applyBorder="1" applyAlignment="1" applyProtection="1">
      <alignment horizontal="right"/>
      <protection locked="0"/>
    </xf>
    <xf numFmtId="176" fontId="13" fillId="9" borderId="8" xfId="0" applyNumberFormat="1" applyFont="1" applyFill="1" applyBorder="1" applyAlignment="1" applyProtection="1">
      <alignment horizontal="right"/>
      <protection locked="0"/>
    </xf>
    <xf numFmtId="176" fontId="13" fillId="9" borderId="3" xfId="0" applyNumberFormat="1" applyFont="1" applyFill="1" applyBorder="1" applyAlignment="1" applyProtection="1">
      <alignment horizontal="right"/>
      <protection locked="0"/>
    </xf>
    <xf numFmtId="176" fontId="13" fillId="9" borderId="0" xfId="0" applyNumberFormat="1" applyFont="1" applyFill="1" applyBorder="1" applyAlignment="1" applyProtection="1">
      <alignment horizontal="right"/>
      <protection locked="0"/>
    </xf>
    <xf numFmtId="176" fontId="13" fillId="9" borderId="43" xfId="0" applyNumberFormat="1" applyFont="1" applyFill="1" applyBorder="1" applyProtection="1">
      <protection locked="0"/>
    </xf>
    <xf numFmtId="176" fontId="13" fillId="9" borderId="8" xfId="0" applyNumberFormat="1" applyFont="1" applyFill="1" applyBorder="1" applyProtection="1">
      <protection locked="0"/>
    </xf>
    <xf numFmtId="176" fontId="13" fillId="9" borderId="3" xfId="0" applyNumberFormat="1" applyFont="1" applyFill="1" applyBorder="1" applyProtection="1">
      <protection locked="0"/>
    </xf>
    <xf numFmtId="176" fontId="13" fillId="9" borderId="0" xfId="0" applyNumberFormat="1" applyFont="1" applyFill="1" applyBorder="1" applyProtection="1">
      <protection locked="0"/>
    </xf>
    <xf numFmtId="176" fontId="13" fillId="9" borderId="47" xfId="0" applyNumberFormat="1" applyFont="1" applyFill="1" applyBorder="1" applyProtection="1">
      <protection locked="0"/>
    </xf>
    <xf numFmtId="0" fontId="15" fillId="0" borderId="4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6" fontId="13" fillId="0" borderId="43" xfId="0" applyNumberFormat="1" applyFont="1" applyFill="1" applyBorder="1" applyProtection="1"/>
    <xf numFmtId="176" fontId="13" fillId="0" borderId="8" xfId="0" applyNumberFormat="1" applyFont="1" applyFill="1" applyBorder="1" applyProtection="1"/>
    <xf numFmtId="176" fontId="13" fillId="0" borderId="3" xfId="0" applyNumberFormat="1" applyFont="1" applyFill="1" applyBorder="1" applyProtection="1"/>
    <xf numFmtId="176" fontId="13" fillId="0" borderId="0" xfId="0" applyNumberFormat="1" applyFont="1" applyFill="1" applyBorder="1" applyProtection="1"/>
    <xf numFmtId="176" fontId="13" fillId="0" borderId="47" xfId="0" applyNumberFormat="1" applyFont="1" applyFill="1" applyBorder="1" applyProtection="1"/>
    <xf numFmtId="0" fontId="20" fillId="0" borderId="0" xfId="0" applyFont="1" applyBorder="1" applyProtection="1">
      <protection locked="0"/>
    </xf>
    <xf numFmtId="176" fontId="13" fillId="0" borderId="1" xfId="0" applyNumberFormat="1" applyFont="1" applyFill="1" applyBorder="1"/>
    <xf numFmtId="176" fontId="13" fillId="0" borderId="43" xfId="0" applyNumberFormat="1" applyFont="1" applyFill="1" applyBorder="1" applyAlignment="1" applyProtection="1"/>
    <xf numFmtId="176" fontId="13" fillId="0" borderId="8" xfId="0" applyNumberFormat="1" applyFont="1" applyFill="1" applyBorder="1" applyAlignment="1" applyProtection="1"/>
    <xf numFmtId="176" fontId="13" fillId="0" borderId="3" xfId="0" applyNumberFormat="1" applyFont="1" applyFill="1" applyBorder="1" applyAlignment="1" applyProtection="1"/>
    <xf numFmtId="176" fontId="13" fillId="0" borderId="0" xfId="0" applyNumberFormat="1" applyFont="1" applyFill="1" applyBorder="1" applyAlignment="1" applyProtection="1"/>
    <xf numFmtId="176" fontId="13" fillId="0" borderId="47"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7"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43"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3" fillId="0" borderId="43" xfId="0" applyNumberFormat="1" applyFont="1" applyFill="1" applyBorder="1" applyAlignment="1" applyProtection="1">
      <alignment horizontal="center"/>
      <protection locked="0"/>
    </xf>
    <xf numFmtId="0" fontId="15" fillId="0" borderId="43" xfId="0" applyNumberFormat="1" applyFont="1" applyFill="1" applyBorder="1" applyAlignment="1" applyProtection="1">
      <alignment horizontal="center"/>
      <protection locked="0"/>
    </xf>
    <xf numFmtId="177" fontId="15" fillId="0" borderId="43" xfId="1" applyNumberFormat="1" applyFont="1" applyFill="1" applyBorder="1" applyAlignment="1" applyProtection="1">
      <alignment horizontal="center"/>
      <protection locked="0"/>
    </xf>
    <xf numFmtId="176" fontId="15" fillId="0" borderId="47" xfId="0" applyNumberFormat="1" applyFont="1" applyBorder="1" applyAlignment="1" applyProtection="1">
      <alignment horizontal="center"/>
      <protection locked="0"/>
    </xf>
    <xf numFmtId="176" fontId="15" fillId="0" borderId="43" xfId="0" applyNumberFormat="1" applyFont="1" applyBorder="1" applyAlignment="1" applyProtection="1">
      <alignment horizontal="center"/>
      <protection locked="0"/>
    </xf>
    <xf numFmtId="176" fontId="15" fillId="0" borderId="0" xfId="0" applyNumberFormat="1" applyFont="1" applyBorder="1" applyAlignment="1" applyProtection="1">
      <alignment horizontal="center"/>
      <protection locked="0"/>
    </xf>
    <xf numFmtId="176" fontId="15" fillId="0" borderId="3" xfId="0" applyNumberFormat="1" applyFont="1" applyBorder="1" applyAlignment="1" applyProtection="1">
      <alignment horizontal="center"/>
      <protection locked="0"/>
    </xf>
    <xf numFmtId="176" fontId="15" fillId="0" borderId="8" xfId="0" applyNumberFormat="1" applyFont="1" applyBorder="1" applyAlignment="1" applyProtection="1">
      <alignment horizontal="center"/>
      <protection locked="0"/>
    </xf>
    <xf numFmtId="0" fontId="15" fillId="0" borderId="0" xfId="0" applyNumberFormat="1" applyFont="1" applyBorder="1" applyAlignment="1" applyProtection="1">
      <alignment horizontal="center"/>
      <protection locked="0"/>
    </xf>
    <xf numFmtId="0" fontId="15" fillId="0" borderId="78" xfId="0" applyNumberFormat="1" applyFont="1" applyBorder="1" applyAlignment="1" applyProtection="1">
      <alignment horizontal="center"/>
      <protection locked="0"/>
    </xf>
    <xf numFmtId="176" fontId="15" fillId="0" borderId="38" xfId="0" applyNumberFormat="1" applyFont="1" applyBorder="1" applyAlignment="1" applyProtection="1">
      <alignment horizontal="center"/>
    </xf>
    <xf numFmtId="172" fontId="13" fillId="0" borderId="0" xfId="12" applyNumberFormat="1" applyFont="1" applyFill="1" applyBorder="1" applyAlignment="1">
      <alignment horizontal="center"/>
    </xf>
    <xf numFmtId="0" fontId="15" fillId="0" borderId="69" xfId="0" applyNumberFormat="1" applyFont="1" applyBorder="1"/>
    <xf numFmtId="0" fontId="13" fillId="0" borderId="72" xfId="0" applyNumberFormat="1" applyFont="1" applyBorder="1" applyAlignment="1">
      <alignment horizontal="center"/>
    </xf>
    <xf numFmtId="176" fontId="15" fillId="0" borderId="72" xfId="0" applyNumberFormat="1" applyFont="1" applyBorder="1" applyAlignment="1"/>
    <xf numFmtId="176" fontId="15" fillId="0" borderId="73" xfId="0" applyNumberFormat="1" applyFont="1" applyBorder="1" applyAlignment="1"/>
    <xf numFmtId="176" fontId="15" fillId="0" borderId="69" xfId="0" applyNumberFormat="1" applyFont="1" applyBorder="1" applyAlignment="1"/>
    <xf numFmtId="176" fontId="15" fillId="0" borderId="74" xfId="0" applyNumberFormat="1" applyFont="1" applyBorder="1" applyAlignment="1"/>
    <xf numFmtId="176" fontId="15" fillId="0" borderId="71" xfId="0" applyNumberFormat="1" applyFont="1" applyBorder="1" applyAlignment="1"/>
    <xf numFmtId="176" fontId="15" fillId="0" borderId="63" xfId="0" applyNumberFormat="1" applyFont="1" applyFill="1" applyBorder="1"/>
    <xf numFmtId="176" fontId="15" fillId="0" borderId="10" xfId="0" applyNumberFormat="1" applyFont="1" applyFill="1" applyBorder="1"/>
    <xf numFmtId="176" fontId="15" fillId="0" borderId="4" xfId="0" applyNumberFormat="1" applyFont="1" applyFill="1" applyBorder="1"/>
    <xf numFmtId="176" fontId="13" fillId="0" borderId="46" xfId="0" applyNumberFormat="1" applyFont="1" applyFill="1" applyBorder="1" applyProtection="1"/>
    <xf numFmtId="176" fontId="13" fillId="0" borderId="49" xfId="0" applyNumberFormat="1" applyFont="1" applyFill="1" applyBorder="1" applyProtection="1"/>
    <xf numFmtId="176" fontId="13" fillId="0" borderId="50" xfId="0" applyNumberFormat="1" applyFont="1" applyFill="1" applyBorder="1" applyProtection="1"/>
    <xf numFmtId="176" fontId="13" fillId="0" borderId="48" xfId="0" applyNumberFormat="1" applyFont="1" applyFill="1" applyBorder="1" applyProtection="1"/>
    <xf numFmtId="176" fontId="13" fillId="0" borderId="51" xfId="0" applyNumberFormat="1" applyFont="1" applyFill="1" applyBorder="1" applyProtection="1"/>
    <xf numFmtId="176" fontId="13" fillId="0" borderId="60" xfId="0" applyNumberFormat="1" applyFont="1" applyFill="1" applyBorder="1" applyProtection="1"/>
    <xf numFmtId="176" fontId="13" fillId="0" borderId="61" xfId="0" applyNumberFormat="1" applyFont="1" applyFill="1" applyBorder="1" applyProtection="1"/>
    <xf numFmtId="176" fontId="13" fillId="0" borderId="62" xfId="0" applyNumberFormat="1" applyFont="1" applyFill="1" applyBorder="1" applyProtection="1"/>
    <xf numFmtId="176" fontId="13" fillId="0" borderId="59" xfId="0" applyNumberFormat="1" applyFont="1" applyFill="1" applyBorder="1" applyProtection="1"/>
    <xf numFmtId="176" fontId="13" fillId="0" borderId="63" xfId="0" applyNumberFormat="1" applyFont="1" applyFill="1" applyBorder="1" applyProtection="1"/>
    <xf numFmtId="0" fontId="13" fillId="0" borderId="69" xfId="0" applyNumberFormat="1" applyFont="1" applyBorder="1" applyAlignment="1">
      <alignment horizontal="left" vertical="top" wrapText="1" indent="1"/>
    </xf>
    <xf numFmtId="0" fontId="13" fillId="0" borderId="69" xfId="0" applyNumberFormat="1" applyFont="1" applyFill="1" applyBorder="1" applyAlignment="1" applyProtection="1">
      <alignment horizontal="left" vertical="top" wrapText="1" indent="1"/>
    </xf>
    <xf numFmtId="0" fontId="13" fillId="0" borderId="99" xfId="0" applyNumberFormat="1" applyFont="1" applyFill="1" applyBorder="1" applyAlignment="1" applyProtection="1">
      <alignment horizontal="left" vertical="top" wrapText="1"/>
    </xf>
    <xf numFmtId="165" fontId="13" fillId="0" borderId="99" xfId="1" applyNumberFormat="1" applyFont="1" applyFill="1" applyBorder="1" applyAlignment="1" applyProtection="1">
      <alignment horizontal="left" vertical="top" wrapText="1"/>
    </xf>
    <xf numFmtId="2" fontId="13" fillId="0" borderId="69" xfId="1" applyNumberFormat="1" applyFont="1" applyFill="1" applyBorder="1" applyAlignment="1" applyProtection="1">
      <alignment horizontal="center" vertical="top" wrapText="1"/>
    </xf>
    <xf numFmtId="2" fontId="13" fillId="0" borderId="72" xfId="1" applyNumberFormat="1" applyFont="1" applyFill="1" applyBorder="1" applyAlignment="1" applyProtection="1">
      <alignment horizontal="center" vertical="top" wrapText="1"/>
    </xf>
    <xf numFmtId="2" fontId="13" fillId="0" borderId="70" xfId="1" applyNumberFormat="1" applyFont="1" applyFill="1" applyBorder="1" applyAlignment="1" applyProtection="1">
      <alignment horizontal="center" vertical="top" wrapText="1"/>
    </xf>
    <xf numFmtId="2" fontId="13" fillId="0" borderId="100" xfId="1" applyNumberFormat="1" applyFont="1" applyFill="1" applyBorder="1" applyAlignment="1" applyProtection="1">
      <alignment horizontal="center" vertical="top" wrapText="1"/>
    </xf>
    <xf numFmtId="2" fontId="13" fillId="0" borderId="74" xfId="1" applyNumberFormat="1" applyFont="1" applyFill="1" applyBorder="1" applyAlignment="1" applyProtection="1">
      <alignment horizontal="center" vertical="top" wrapText="1"/>
    </xf>
    <xf numFmtId="2" fontId="13" fillId="0" borderId="73" xfId="1" applyNumberFormat="1" applyFont="1" applyFill="1" applyBorder="1" applyAlignment="1" applyProtection="1">
      <alignment horizontal="center" vertical="top" wrapText="1"/>
    </xf>
    <xf numFmtId="0" fontId="10" fillId="0" borderId="9" xfId="0" applyFont="1" applyFill="1" applyBorder="1" applyAlignment="1" applyProtection="1">
      <alignment horizontal="left"/>
    </xf>
    <xf numFmtId="0" fontId="7" fillId="0" borderId="0" xfId="0" applyFont="1" applyProtection="1"/>
    <xf numFmtId="0" fontId="15" fillId="0" borderId="42" xfId="0" applyFont="1" applyFill="1" applyBorder="1" applyAlignment="1" applyProtection="1">
      <alignment horizontal="center" vertical="center" wrapText="1"/>
    </xf>
    <xf numFmtId="0" fontId="15" fillId="0" borderId="41" xfId="0" applyFont="1" applyFill="1" applyBorder="1" applyAlignment="1" applyProtection="1">
      <alignment horizontal="center" vertical="center" wrapText="1"/>
    </xf>
    <xf numFmtId="0" fontId="15" fillId="0" borderId="36"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7" fillId="0" borderId="3" xfId="0" applyNumberFormat="1" applyFont="1" applyBorder="1" applyProtection="1"/>
    <xf numFmtId="0" fontId="13" fillId="0" borderId="43" xfId="0" applyNumberFormat="1" applyFont="1" applyFill="1" applyBorder="1" applyAlignment="1" applyProtection="1">
      <alignment horizontal="center"/>
    </xf>
    <xf numFmtId="176" fontId="15" fillId="0" borderId="43" xfId="0" applyNumberFormat="1" applyFont="1" applyFill="1" applyBorder="1" applyProtection="1"/>
    <xf numFmtId="176" fontId="15" fillId="0" borderId="8" xfId="0" applyNumberFormat="1" applyFont="1" applyFill="1" applyBorder="1" applyProtection="1"/>
    <xf numFmtId="176" fontId="15" fillId="0" borderId="3" xfId="0" applyNumberFormat="1" applyFont="1" applyFill="1" applyBorder="1" applyProtection="1"/>
    <xf numFmtId="176" fontId="15" fillId="0" borderId="0" xfId="0" applyNumberFormat="1" applyFont="1" applyFill="1" applyBorder="1" applyProtection="1"/>
    <xf numFmtId="176" fontId="15" fillId="0" borderId="47" xfId="0" applyNumberFormat="1" applyFont="1" applyFill="1" applyBorder="1" applyProtection="1"/>
    <xf numFmtId="0" fontId="21" fillId="0" borderId="3" xfId="0" applyNumberFormat="1" applyFont="1" applyBorder="1" applyAlignment="1" applyProtection="1">
      <alignment horizontal="left"/>
    </xf>
    <xf numFmtId="0" fontId="13" fillId="0" borderId="3" xfId="0" applyNumberFormat="1" applyFont="1" applyBorder="1" applyAlignment="1" applyProtection="1">
      <alignment horizontal="left" indent="1"/>
    </xf>
    <xf numFmtId="0" fontId="15" fillId="0" borderId="3" xfId="0" applyNumberFormat="1" applyFont="1" applyBorder="1" applyAlignment="1" applyProtection="1">
      <alignment horizontal="left"/>
    </xf>
    <xf numFmtId="176" fontId="15" fillId="0" borderId="46" xfId="0" applyNumberFormat="1" applyFont="1" applyFill="1" applyBorder="1" applyProtection="1"/>
    <xf numFmtId="176" fontId="15" fillId="0" borderId="49" xfId="0" applyNumberFormat="1" applyFont="1" applyFill="1" applyBorder="1" applyProtection="1"/>
    <xf numFmtId="176" fontId="15" fillId="0" borderId="50" xfId="0" applyNumberFormat="1" applyFont="1" applyFill="1" applyBorder="1" applyProtection="1"/>
    <xf numFmtId="176" fontId="15" fillId="0" borderId="48" xfId="0" applyNumberFormat="1" applyFont="1" applyFill="1" applyBorder="1" applyProtection="1"/>
    <xf numFmtId="176" fontId="15" fillId="0" borderId="51" xfId="0" applyNumberFormat="1" applyFont="1" applyFill="1" applyBorder="1" applyProtection="1"/>
    <xf numFmtId="0" fontId="13" fillId="0" borderId="69" xfId="0" applyNumberFormat="1" applyFont="1" applyBorder="1" applyProtection="1"/>
    <xf numFmtId="0" fontId="13" fillId="0" borderId="72" xfId="0" applyNumberFormat="1" applyFont="1" applyFill="1" applyBorder="1" applyAlignment="1" applyProtection="1">
      <alignment horizontal="center"/>
    </xf>
    <xf numFmtId="176" fontId="13" fillId="0" borderId="72" xfId="0" applyNumberFormat="1" applyFont="1" applyFill="1" applyBorder="1" applyProtection="1"/>
    <xf numFmtId="176" fontId="13" fillId="0" borderId="73" xfId="0" applyNumberFormat="1" applyFont="1" applyFill="1" applyBorder="1" applyProtection="1"/>
    <xf numFmtId="176" fontId="13" fillId="0" borderId="69" xfId="0" applyNumberFormat="1" applyFont="1" applyFill="1" applyBorder="1" applyProtection="1"/>
    <xf numFmtId="176" fontId="13" fillId="0" borderId="74" xfId="0" applyNumberFormat="1" applyFont="1" applyFill="1" applyBorder="1" applyProtection="1"/>
    <xf numFmtId="176" fontId="13" fillId="0" borderId="71" xfId="0" applyNumberFormat="1" applyFont="1" applyFill="1" applyBorder="1" applyProtection="1"/>
    <xf numFmtId="176" fontId="13" fillId="0" borderId="80" xfId="0" applyNumberFormat="1" applyFont="1" applyFill="1" applyBorder="1" applyProtection="1"/>
    <xf numFmtId="0" fontId="13" fillId="0" borderId="69" xfId="0" applyNumberFormat="1" applyFont="1" applyBorder="1" applyAlignment="1" applyProtection="1">
      <alignment horizontal="left" indent="1"/>
    </xf>
    <xf numFmtId="0" fontId="13" fillId="0" borderId="3" xfId="0" applyNumberFormat="1" applyFont="1" applyBorder="1" applyProtection="1"/>
    <xf numFmtId="176" fontId="13" fillId="0" borderId="78" xfId="0" applyNumberFormat="1" applyFont="1" applyFill="1" applyBorder="1" applyProtection="1"/>
    <xf numFmtId="0" fontId="13" fillId="0" borderId="36" xfId="0" applyNumberFormat="1" applyFont="1" applyFill="1" applyBorder="1" applyAlignment="1" applyProtection="1">
      <alignment horizontal="center"/>
    </xf>
    <xf numFmtId="176" fontId="15" fillId="0" borderId="53" xfId="0" applyNumberFormat="1" applyFont="1" applyFill="1" applyBorder="1" applyProtection="1"/>
    <xf numFmtId="176" fontId="15" fillId="0" borderId="55" xfId="0" applyNumberFormat="1" applyFont="1" applyFill="1" applyBorder="1" applyProtection="1"/>
    <xf numFmtId="176" fontId="15" fillId="0" borderId="52" xfId="0" applyNumberFormat="1" applyFont="1" applyFill="1" applyBorder="1" applyProtection="1"/>
    <xf numFmtId="176" fontId="15" fillId="0" borderId="54" xfId="0" applyNumberFormat="1" applyFont="1" applyFill="1" applyBorder="1" applyProtection="1"/>
    <xf numFmtId="176" fontId="15" fillId="0" borderId="56"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5"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11" xfId="0" applyFont="1" applyBorder="1"/>
    <xf numFmtId="0" fontId="13" fillId="0" borderId="1" xfId="0" applyFont="1" applyBorder="1" applyAlignment="1">
      <alignment horizontal="left" indent="1"/>
    </xf>
    <xf numFmtId="0" fontId="13" fillId="0" borderId="5" xfId="0" applyFont="1" applyFill="1" applyBorder="1"/>
    <xf numFmtId="0" fontId="5" fillId="10" borderId="0" xfId="0" applyFont="1" applyFill="1"/>
    <xf numFmtId="0" fontId="15" fillId="0" borderId="3" xfId="0" applyFont="1" applyFill="1" applyBorder="1" applyAlignment="1" applyProtection="1">
      <alignment horizontal="left" indent="1"/>
    </xf>
    <xf numFmtId="0" fontId="13" fillId="0" borderId="3" xfId="0" applyFont="1" applyFill="1" applyBorder="1" applyAlignment="1" applyProtection="1">
      <alignment horizontal="left" indent="1"/>
    </xf>
    <xf numFmtId="0" fontId="13" fillId="0" borderId="0" xfId="0" applyFont="1" applyAlignment="1">
      <alignment horizontal="left"/>
    </xf>
    <xf numFmtId="43" fontId="13" fillId="0" borderId="0" xfId="1" applyFont="1" applyFill="1" applyBorder="1" applyAlignment="1">
      <alignment horizontal="left"/>
    </xf>
    <xf numFmtId="43" fontId="13" fillId="0" borderId="0" xfId="0" applyNumberFormat="1" applyFont="1" applyAlignment="1">
      <alignment horizontal="left"/>
    </xf>
    <xf numFmtId="0" fontId="13" fillId="0" borderId="3" xfId="0" applyNumberFormat="1" applyFont="1" applyFill="1" applyBorder="1" applyAlignment="1" applyProtection="1">
      <alignment horizontal="left" indent="1"/>
    </xf>
    <xf numFmtId="177" fontId="18" fillId="0" borderId="43" xfId="1" applyNumberFormat="1" applyFont="1" applyFill="1" applyBorder="1" applyProtection="1"/>
    <xf numFmtId="177" fontId="18" fillId="0" borderId="8" xfId="1" applyNumberFormat="1" applyFont="1" applyFill="1" applyBorder="1" applyProtection="1"/>
    <xf numFmtId="177" fontId="18" fillId="0" borderId="3" xfId="1" applyNumberFormat="1" applyFont="1" applyFill="1" applyBorder="1" applyProtection="1"/>
    <xf numFmtId="177" fontId="18" fillId="0" borderId="78" xfId="1" applyNumberFormat="1" applyFont="1" applyFill="1" applyBorder="1" applyProtection="1"/>
    <xf numFmtId="177" fontId="18" fillId="0" borderId="0" xfId="1" applyNumberFormat="1" applyFont="1" applyFill="1" applyBorder="1" applyProtection="1"/>
    <xf numFmtId="0" fontId="8" fillId="0" borderId="0" xfId="0" applyFont="1" applyProtection="1"/>
    <xf numFmtId="0" fontId="2" fillId="0" borderId="0" xfId="0" applyFont="1" applyProtection="1"/>
    <xf numFmtId="0" fontId="8" fillId="2" borderId="0" xfId="0" applyFont="1" applyFill="1" applyProtection="1"/>
    <xf numFmtId="0" fontId="2" fillId="2" borderId="0" xfId="0" applyFont="1" applyFill="1" applyProtection="1"/>
    <xf numFmtId="169" fontId="15" fillId="0" borderId="43" xfId="0" applyNumberFormat="1" applyFont="1" applyBorder="1"/>
    <xf numFmtId="169" fontId="15" fillId="0" borderId="47" xfId="0" applyNumberFormat="1" applyFont="1" applyBorder="1"/>
    <xf numFmtId="0" fontId="17" fillId="0" borderId="3" xfId="0" applyFont="1" applyFill="1" applyBorder="1" applyAlignment="1">
      <alignment horizontal="left"/>
    </xf>
    <xf numFmtId="0" fontId="23" fillId="0" borderId="0" xfId="0" applyFont="1"/>
    <xf numFmtId="181" fontId="15" fillId="0" borderId="101" xfId="12" applyNumberFormat="1" applyFont="1" applyBorder="1" applyAlignment="1">
      <alignment horizontal="center"/>
    </xf>
    <xf numFmtId="0" fontId="15" fillId="0" borderId="3" xfId="0" applyFont="1" applyBorder="1" applyAlignment="1"/>
    <xf numFmtId="0" fontId="17" fillId="0" borderId="3" xfId="0" applyFont="1" applyBorder="1" applyAlignment="1"/>
    <xf numFmtId="0" fontId="13" fillId="0" borderId="43" xfId="0" applyNumberFormat="1" applyFont="1" applyBorder="1" applyAlignment="1" applyProtection="1">
      <alignment horizontal="center"/>
    </xf>
    <xf numFmtId="0" fontId="15" fillId="0" borderId="3" xfId="0" applyNumberFormat="1" applyFont="1" applyBorder="1" applyProtection="1"/>
    <xf numFmtId="0" fontId="20" fillId="0" borderId="43" xfId="0" applyNumberFormat="1" applyFont="1" applyBorder="1" applyAlignment="1" applyProtection="1">
      <alignment horizontal="center"/>
    </xf>
    <xf numFmtId="0" fontId="15" fillId="0" borderId="52" xfId="0" applyNumberFormat="1" applyFont="1" applyBorder="1" applyProtection="1"/>
    <xf numFmtId="0" fontId="13" fillId="0" borderId="53"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45" xfId="0" applyFont="1" applyFill="1" applyBorder="1" applyAlignment="1" applyProtection="1">
      <alignment horizontal="center" vertical="center"/>
    </xf>
    <xf numFmtId="0" fontId="15" fillId="0" borderId="38" xfId="0" applyFont="1" applyFill="1" applyBorder="1" applyAlignment="1" applyProtection="1">
      <alignment vertical="center"/>
    </xf>
    <xf numFmtId="0" fontId="15" fillId="0" borderId="4" xfId="0" applyFont="1" applyFill="1" applyBorder="1" applyAlignment="1" applyProtection="1">
      <alignment horizontal="left" vertical="center"/>
    </xf>
    <xf numFmtId="0" fontId="15" fillId="0" borderId="36" xfId="0" applyFont="1" applyFill="1" applyBorder="1" applyAlignment="1" applyProtection="1">
      <alignment vertical="center"/>
    </xf>
    <xf numFmtId="0" fontId="17" fillId="0" borderId="3" xfId="0" applyFont="1" applyBorder="1" applyProtection="1"/>
    <xf numFmtId="0" fontId="15" fillId="0" borderId="38" xfId="0" applyFont="1" applyBorder="1" applyAlignment="1" applyProtection="1">
      <alignment horizontal="center"/>
    </xf>
    <xf numFmtId="0" fontId="15" fillId="0" borderId="7" xfId="0" applyFont="1" applyBorder="1" applyAlignment="1" applyProtection="1">
      <alignment horizontal="center"/>
    </xf>
    <xf numFmtId="0" fontId="15" fillId="0" borderId="12" xfId="0" applyFont="1" applyBorder="1" applyAlignment="1" applyProtection="1">
      <alignment horizontal="center"/>
    </xf>
    <xf numFmtId="0" fontId="15" fillId="0" borderId="6" xfId="0" applyFont="1" applyBorder="1" applyAlignment="1" applyProtection="1">
      <alignment horizontal="center"/>
    </xf>
    <xf numFmtId="0" fontId="15" fillId="0" borderId="45" xfId="0" applyFont="1" applyBorder="1" applyAlignment="1" applyProtection="1">
      <alignment horizontal="center"/>
    </xf>
    <xf numFmtId="0" fontId="13" fillId="0" borderId="3" xfId="0" applyFont="1" applyBorder="1" applyAlignment="1" applyProtection="1">
      <alignment horizontal="left" indent="1"/>
    </xf>
    <xf numFmtId="176" fontId="13" fillId="0" borderId="43" xfId="0" applyNumberFormat="1" applyFont="1" applyBorder="1" applyAlignment="1" applyProtection="1">
      <alignment horizontal="right"/>
    </xf>
    <xf numFmtId="176" fontId="13" fillId="0" borderId="8" xfId="0" applyNumberFormat="1" applyFont="1" applyBorder="1" applyAlignment="1" applyProtection="1">
      <alignment horizontal="right"/>
    </xf>
    <xf numFmtId="176" fontId="13" fillId="0" borderId="3" xfId="0" applyNumberFormat="1" applyFont="1" applyBorder="1" applyAlignment="1" applyProtection="1">
      <alignment horizontal="right"/>
    </xf>
    <xf numFmtId="176" fontId="13" fillId="0" borderId="0" xfId="0" applyNumberFormat="1" applyFont="1" applyBorder="1" applyAlignment="1" applyProtection="1">
      <alignment horizontal="right"/>
    </xf>
    <xf numFmtId="176" fontId="13" fillId="0" borderId="47" xfId="0" applyNumberFormat="1" applyFont="1" applyBorder="1" applyAlignment="1" applyProtection="1">
      <alignment horizontal="right"/>
    </xf>
    <xf numFmtId="0" fontId="15" fillId="0" borderId="3" xfId="0" applyFont="1" applyBorder="1" applyAlignment="1" applyProtection="1">
      <alignment horizontal="left"/>
    </xf>
    <xf numFmtId="176" fontId="15" fillId="0" borderId="46" xfId="0" applyNumberFormat="1" applyFont="1" applyBorder="1" applyAlignment="1" applyProtection="1">
      <alignment horizontal="right"/>
    </xf>
    <xf numFmtId="176" fontId="15" fillId="0" borderId="49" xfId="0" applyNumberFormat="1" applyFont="1" applyBorder="1" applyAlignment="1" applyProtection="1">
      <alignment horizontal="right"/>
    </xf>
    <xf numFmtId="176" fontId="15" fillId="0" borderId="50" xfId="0" applyNumberFormat="1" applyFont="1" applyBorder="1" applyAlignment="1" applyProtection="1">
      <alignment horizontal="right"/>
    </xf>
    <xf numFmtId="176" fontId="15" fillId="0" borderId="48" xfId="0" applyNumberFormat="1" applyFont="1" applyBorder="1" applyAlignment="1" applyProtection="1">
      <alignment horizontal="right"/>
    </xf>
    <xf numFmtId="176" fontId="15" fillId="0" borderId="51" xfId="0" applyNumberFormat="1" applyFont="1" applyBorder="1" applyAlignment="1" applyProtection="1">
      <alignment horizontal="right"/>
    </xf>
    <xf numFmtId="0" fontId="13" fillId="0" borderId="3" xfId="0" applyFont="1" applyBorder="1" applyProtection="1"/>
    <xf numFmtId="176" fontId="13" fillId="0" borderId="43" xfId="0" applyNumberFormat="1" applyFont="1" applyBorder="1" applyProtection="1"/>
    <xf numFmtId="176" fontId="13" fillId="0" borderId="8" xfId="0" applyNumberFormat="1" applyFont="1" applyBorder="1" applyProtection="1"/>
    <xf numFmtId="176" fontId="13" fillId="0" borderId="3" xfId="0" applyNumberFormat="1" applyFont="1" applyBorder="1" applyProtection="1"/>
    <xf numFmtId="176" fontId="13" fillId="0" borderId="0" xfId="0" applyNumberFormat="1" applyFont="1" applyBorder="1" applyProtection="1"/>
    <xf numFmtId="176" fontId="13" fillId="0" borderId="47" xfId="0" applyNumberFormat="1" applyFont="1" applyBorder="1" applyProtection="1"/>
    <xf numFmtId="0" fontId="15" fillId="0" borderId="52" xfId="0" applyFont="1" applyBorder="1" applyProtection="1"/>
    <xf numFmtId="176" fontId="15" fillId="0" borderId="55" xfId="0" applyNumberFormat="1" applyFont="1" applyBorder="1" applyProtection="1"/>
    <xf numFmtId="176" fontId="15" fillId="0" borderId="52" xfId="0" applyNumberFormat="1" applyFont="1" applyBorder="1" applyProtection="1"/>
    <xf numFmtId="176" fontId="15" fillId="0" borderId="53" xfId="0" applyNumberFormat="1" applyFont="1" applyBorder="1" applyProtection="1"/>
    <xf numFmtId="176" fontId="15" fillId="0" borderId="54" xfId="0" applyNumberFormat="1" applyFont="1" applyBorder="1" applyProtection="1"/>
    <xf numFmtId="176" fontId="15" fillId="0" borderId="56"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4" xfId="0" applyFont="1" applyBorder="1" applyProtection="1"/>
    <xf numFmtId="0" fontId="13" fillId="0" borderId="36" xfId="0" applyNumberFormat="1" applyFont="1" applyBorder="1" applyAlignment="1" applyProtection="1">
      <alignment horizontal="center"/>
    </xf>
    <xf numFmtId="176" fontId="13" fillId="0" borderId="36" xfId="0" applyNumberFormat="1" applyFont="1" applyBorder="1" applyProtection="1"/>
    <xf numFmtId="176" fontId="13" fillId="0" borderId="10" xfId="0" applyNumberFormat="1" applyFont="1" applyBorder="1" applyProtection="1"/>
    <xf numFmtId="176" fontId="13" fillId="0" borderId="4" xfId="0" applyNumberFormat="1" applyFont="1" applyBorder="1" applyProtection="1"/>
    <xf numFmtId="176" fontId="13" fillId="0" borderId="9" xfId="0" applyNumberFormat="1" applyFont="1" applyBorder="1" applyProtection="1"/>
    <xf numFmtId="176" fontId="13" fillId="0" borderId="64" xfId="0" applyNumberFormat="1" applyFont="1" applyBorder="1" applyProtection="1"/>
    <xf numFmtId="0" fontId="17" fillId="0" borderId="12" xfId="0" applyFont="1" applyBorder="1" applyProtection="1"/>
    <xf numFmtId="0" fontId="13" fillId="0" borderId="38" xfId="0" applyNumberFormat="1" applyFont="1" applyBorder="1" applyAlignment="1" applyProtection="1">
      <alignment horizontal="center"/>
    </xf>
    <xf numFmtId="176" fontId="13" fillId="0" borderId="38" xfId="0" applyNumberFormat="1" applyFont="1" applyBorder="1" applyProtection="1"/>
    <xf numFmtId="176" fontId="13" fillId="0" borderId="7" xfId="0" applyNumberFormat="1" applyFont="1" applyBorder="1" applyProtection="1"/>
    <xf numFmtId="176" fontId="13" fillId="0" borderId="12" xfId="0" applyNumberFormat="1" applyFont="1" applyBorder="1" applyProtection="1"/>
    <xf numFmtId="176" fontId="13" fillId="0" borderId="6" xfId="0" applyNumberFormat="1" applyFont="1" applyBorder="1" applyProtection="1"/>
    <xf numFmtId="176" fontId="13" fillId="0" borderId="45" xfId="0" applyNumberFormat="1" applyFont="1" applyBorder="1" applyProtection="1"/>
    <xf numFmtId="0" fontId="15" fillId="0" borderId="43" xfId="0" applyNumberFormat="1" applyFont="1" applyBorder="1" applyAlignment="1" applyProtection="1">
      <alignment horizontal="center"/>
    </xf>
    <xf numFmtId="176" fontId="15" fillId="0" borderId="43" xfId="0" applyNumberFormat="1" applyFont="1" applyBorder="1" applyAlignment="1" applyProtection="1">
      <alignment horizontal="right"/>
    </xf>
    <xf numFmtId="176" fontId="15" fillId="0" borderId="8" xfId="0" applyNumberFormat="1" applyFont="1" applyBorder="1" applyAlignment="1" applyProtection="1">
      <alignment horizontal="right"/>
    </xf>
    <xf numFmtId="176" fontId="15" fillId="0" borderId="3" xfId="0" applyNumberFormat="1" applyFont="1" applyBorder="1" applyAlignment="1" applyProtection="1">
      <alignment horizontal="right"/>
    </xf>
    <xf numFmtId="176" fontId="15" fillId="0" borderId="0" xfId="0" applyNumberFormat="1" applyFont="1" applyBorder="1" applyAlignment="1" applyProtection="1">
      <alignment horizontal="right"/>
    </xf>
    <xf numFmtId="176" fontId="15" fillId="0" borderId="47"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3"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43" fontId="13" fillId="0" borderId="0" xfId="1" applyFont="1" applyBorder="1" applyProtection="1"/>
    <xf numFmtId="176" fontId="13" fillId="0" borderId="0" xfId="1" applyNumberFormat="1" applyFont="1" applyBorder="1" applyProtection="1"/>
    <xf numFmtId="0" fontId="18" fillId="0" borderId="0" xfId="0" applyFont="1" applyFill="1" applyBorder="1" applyAlignment="1" applyProtection="1">
      <alignment horizontal="right"/>
    </xf>
    <xf numFmtId="0" fontId="16" fillId="0" borderId="3" xfId="0" applyNumberFormat="1" applyFont="1" applyFill="1" applyBorder="1" applyAlignment="1" applyProtection="1">
      <alignment horizontal="left" indent="1"/>
    </xf>
    <xf numFmtId="0" fontId="13" fillId="0" borderId="3" xfId="0" applyNumberFormat="1" applyFont="1" applyFill="1" applyBorder="1" applyAlignment="1" applyProtection="1">
      <alignment horizontal="left" indent="2"/>
    </xf>
    <xf numFmtId="176" fontId="13" fillId="0" borderId="47" xfId="0" applyNumberFormat="1" applyFont="1" applyBorder="1" applyAlignment="1">
      <alignment horizontal="right"/>
    </xf>
    <xf numFmtId="176" fontId="13" fillId="0" borderId="78" xfId="0" applyNumberFormat="1" applyFont="1" applyBorder="1" applyAlignment="1">
      <alignment horizontal="right"/>
    </xf>
    <xf numFmtId="0" fontId="13" fillId="0" borderId="76" xfId="0" applyFont="1" applyBorder="1" applyAlignment="1">
      <alignment horizontal="center"/>
    </xf>
    <xf numFmtId="176" fontId="15" fillId="0" borderId="76" xfId="0" applyNumberFormat="1" applyFont="1" applyBorder="1" applyAlignment="1">
      <alignment horizontal="right"/>
    </xf>
    <xf numFmtId="176" fontId="15" fillId="0" borderId="35" xfId="0" applyNumberFormat="1" applyFont="1" applyBorder="1"/>
    <xf numFmtId="176" fontId="15" fillId="0" borderId="17" xfId="0" applyNumberFormat="1" applyFont="1" applyBorder="1"/>
    <xf numFmtId="176" fontId="15" fillId="0" borderId="76" xfId="0" applyNumberFormat="1" applyFont="1" applyBorder="1"/>
    <xf numFmtId="176" fontId="15" fillId="0" borderId="34" xfId="0" applyNumberFormat="1" applyFont="1" applyBorder="1"/>
    <xf numFmtId="0" fontId="13" fillId="0" borderId="3" xfId="0" applyFont="1" applyFill="1" applyBorder="1" applyAlignment="1">
      <alignment horizontal="left" indent="2"/>
    </xf>
    <xf numFmtId="176" fontId="15" fillId="0" borderId="53" xfId="0" applyNumberFormat="1" applyFont="1" applyBorder="1" applyAlignment="1">
      <alignment vertical="top"/>
    </xf>
    <xf numFmtId="176" fontId="15" fillId="0" borderId="89"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3" xfId="0" applyNumberFormat="1" applyFont="1" applyBorder="1" applyAlignment="1">
      <alignment vertical="center" wrapText="1"/>
    </xf>
    <xf numFmtId="0" fontId="13" fillId="0" borderId="78" xfId="0" quotePrefix="1" applyNumberFormat="1" applyFont="1" applyBorder="1" applyAlignment="1">
      <alignment horizontal="center" vertical="center" wrapText="1"/>
    </xf>
    <xf numFmtId="0" fontId="13" fillId="0" borderId="80" xfId="0" quotePrefix="1" applyNumberFormat="1" applyFont="1" applyBorder="1" applyAlignment="1">
      <alignment horizontal="center" vertical="center" wrapText="1"/>
    </xf>
    <xf numFmtId="0" fontId="15" fillId="0" borderId="47" xfId="0" applyFont="1" applyBorder="1"/>
    <xf numFmtId="0" fontId="18" fillId="0" borderId="3" xfId="0" applyNumberFormat="1" applyFont="1" applyBorder="1" applyAlignment="1">
      <alignment horizontal="left" indent="2"/>
    </xf>
    <xf numFmtId="176" fontId="13" fillId="0" borderId="43" xfId="0" applyNumberFormat="1" applyFont="1" applyFill="1" applyBorder="1" applyProtection="1">
      <protection locked="0"/>
    </xf>
    <xf numFmtId="176" fontId="13" fillId="0" borderId="47" xfId="0" applyNumberFormat="1" applyFont="1" applyFill="1" applyBorder="1" applyProtection="1">
      <protection locked="0"/>
    </xf>
    <xf numFmtId="176" fontId="18" fillId="0" borderId="46" xfId="0" applyNumberFormat="1" applyFont="1" applyFill="1" applyBorder="1" applyProtection="1"/>
    <xf numFmtId="176" fontId="18" fillId="0" borderId="49" xfId="0" applyNumberFormat="1" applyFont="1" applyFill="1" applyBorder="1" applyProtection="1"/>
    <xf numFmtId="176" fontId="18" fillId="0" borderId="50" xfId="0" applyNumberFormat="1" applyFont="1" applyFill="1" applyBorder="1" applyProtection="1"/>
    <xf numFmtId="176" fontId="18" fillId="0" borderId="48" xfId="0" applyNumberFormat="1" applyFont="1" applyFill="1" applyBorder="1" applyProtection="1"/>
    <xf numFmtId="176" fontId="18" fillId="0" borderId="51" xfId="0" applyNumberFormat="1" applyFont="1" applyFill="1" applyBorder="1" applyProtection="1"/>
    <xf numFmtId="176" fontId="15" fillId="0" borderId="38" xfId="0" applyNumberFormat="1" applyFont="1" applyBorder="1"/>
    <xf numFmtId="176" fontId="15" fillId="0" borderId="7" xfId="0" applyNumberFormat="1" applyFont="1" applyBorder="1"/>
    <xf numFmtId="176" fontId="15" fillId="0" borderId="12" xfId="0" applyNumberFormat="1" applyFont="1" applyBorder="1"/>
    <xf numFmtId="176" fontId="15" fillId="0" borderId="6" xfId="0" applyNumberFormat="1" applyFont="1" applyBorder="1"/>
    <xf numFmtId="176" fontId="15" fillId="0" borderId="45" xfId="0" applyNumberFormat="1" applyFont="1" applyBorder="1"/>
    <xf numFmtId="0" fontId="17" fillId="0" borderId="3" xfId="0" applyNumberFormat="1" applyFont="1" applyFill="1" applyBorder="1" applyAlignment="1">
      <alignment horizontal="left" indent="1"/>
    </xf>
    <xf numFmtId="177" fontId="15" fillId="0" borderId="94" xfId="1" applyNumberFormat="1" applyFont="1" applyBorder="1"/>
    <xf numFmtId="177" fontId="15" fillId="0" borderId="56" xfId="1" applyNumberFormat="1" applyFont="1" applyBorder="1"/>
    <xf numFmtId="177" fontId="15" fillId="0" borderId="102" xfId="1" applyNumberFormat="1" applyFont="1" applyBorder="1"/>
    <xf numFmtId="181" fontId="13" fillId="0" borderId="38" xfId="12" applyNumberFormat="1" applyFont="1" applyBorder="1" applyAlignment="1">
      <alignment horizontal="center"/>
    </xf>
    <xf numFmtId="181" fontId="13" fillId="0" borderId="75" xfId="12" applyNumberFormat="1" applyFont="1" applyBorder="1" applyAlignment="1">
      <alignment horizontal="center"/>
    </xf>
    <xf numFmtId="181" fontId="13" fillId="0" borderId="3" xfId="12" applyNumberFormat="1" applyFont="1" applyBorder="1" applyAlignment="1">
      <alignment horizontal="center"/>
    </xf>
    <xf numFmtId="181" fontId="13" fillId="0" borderId="43" xfId="12" applyNumberFormat="1" applyFont="1" applyBorder="1" applyAlignment="1">
      <alignment horizontal="center"/>
    </xf>
    <xf numFmtId="181" fontId="13" fillId="0" borderId="78" xfId="12" applyNumberFormat="1" applyFont="1" applyBorder="1" applyAlignment="1">
      <alignment horizontal="center"/>
    </xf>
    <xf numFmtId="181" fontId="13" fillId="0" borderId="0" xfId="12" applyNumberFormat="1" applyFont="1" applyBorder="1" applyAlignment="1">
      <alignment horizontal="center"/>
    </xf>
    <xf numFmtId="181" fontId="13" fillId="0" borderId="8" xfId="12" applyNumberFormat="1" applyFont="1" applyBorder="1" applyAlignment="1">
      <alignment horizontal="center"/>
    </xf>
    <xf numFmtId="0" fontId="13" fillId="0" borderId="4" xfId="0" applyNumberFormat="1" applyFont="1" applyBorder="1" applyAlignment="1">
      <alignment horizontal="left" indent="1"/>
    </xf>
    <xf numFmtId="0" fontId="13" fillId="0" borderId="4" xfId="0" applyFont="1" applyBorder="1" applyAlignment="1">
      <alignment horizontal="left" indent="1"/>
    </xf>
    <xf numFmtId="176" fontId="13" fillId="0" borderId="51" xfId="0" applyNumberFormat="1" applyFont="1" applyFill="1" applyBorder="1"/>
    <xf numFmtId="176" fontId="13" fillId="0" borderId="81" xfId="0" applyNumberFormat="1" applyFont="1" applyFill="1" applyBorder="1"/>
    <xf numFmtId="176" fontId="13" fillId="0" borderId="80" xfId="0" applyNumberFormat="1" applyFont="1" applyFill="1" applyBorder="1"/>
    <xf numFmtId="176" fontId="13" fillId="0" borderId="48" xfId="0" applyNumberFormat="1" applyFont="1" applyFill="1" applyBorder="1"/>
    <xf numFmtId="176" fontId="13" fillId="0" borderId="63" xfId="0" applyNumberFormat="1" applyFont="1" applyFill="1" applyBorder="1"/>
    <xf numFmtId="176" fontId="13" fillId="0" borderId="60" xfId="0" applyNumberFormat="1" applyFont="1" applyFill="1" applyBorder="1"/>
    <xf numFmtId="176" fontId="13" fillId="0" borderId="103" xfId="0" applyNumberFormat="1" applyFont="1" applyFill="1" applyBorder="1"/>
    <xf numFmtId="176" fontId="13" fillId="0" borderId="87" xfId="0" applyNumberFormat="1" applyFont="1" applyFill="1" applyBorder="1"/>
    <xf numFmtId="176" fontId="13" fillId="0" borderId="59" xfId="0" applyNumberFormat="1" applyFont="1" applyFill="1" applyBorder="1"/>
    <xf numFmtId="176" fontId="13" fillId="0" borderId="71" xfId="0" applyNumberFormat="1" applyFont="1" applyFill="1" applyBorder="1"/>
    <xf numFmtId="176" fontId="13" fillId="0" borderId="72" xfId="0" applyNumberFormat="1" applyFont="1" applyFill="1" applyBorder="1"/>
    <xf numFmtId="176" fontId="13" fillId="0" borderId="70" xfId="0" applyNumberFormat="1" applyFont="1" applyFill="1" applyBorder="1"/>
    <xf numFmtId="176" fontId="13" fillId="0" borderId="99" xfId="0" applyNumberFormat="1" applyFont="1" applyFill="1" applyBorder="1"/>
    <xf numFmtId="176" fontId="13" fillId="0" borderId="74" xfId="0" applyNumberFormat="1" applyFont="1" applyFill="1" applyBorder="1"/>
    <xf numFmtId="0" fontId="13" fillId="0" borderId="47" xfId="0" applyNumberFormat="1" applyFont="1" applyFill="1" applyBorder="1" applyAlignment="1" applyProtection="1">
      <alignment horizontal="left" indent="2"/>
    </xf>
    <xf numFmtId="176" fontId="13" fillId="0" borderId="8" xfId="0" applyNumberFormat="1" applyFont="1" applyFill="1" applyBorder="1" applyProtection="1">
      <protection locked="0"/>
    </xf>
    <xf numFmtId="176" fontId="13" fillId="0" borderId="3" xfId="0" applyNumberFormat="1" applyFont="1" applyFill="1" applyBorder="1" applyProtection="1">
      <protection locked="0"/>
    </xf>
    <xf numFmtId="176" fontId="13" fillId="0" borderId="0" xfId="0" applyNumberFormat="1" applyFont="1" applyFill="1" applyBorder="1" applyProtection="1">
      <protection locked="0"/>
    </xf>
    <xf numFmtId="0" fontId="15" fillId="0" borderId="104" xfId="0" applyFont="1" applyBorder="1" applyAlignment="1">
      <alignment horizontal="center"/>
    </xf>
    <xf numFmtId="0" fontId="13" fillId="0" borderId="71" xfId="0" applyNumberFormat="1" applyFont="1" applyBorder="1" applyAlignment="1" applyProtection="1">
      <alignment horizontal="left" indent="1"/>
    </xf>
    <xf numFmtId="0" fontId="17" fillId="0" borderId="47" xfId="0" applyNumberFormat="1" applyFont="1" applyBorder="1" applyProtection="1"/>
    <xf numFmtId="0" fontId="15" fillId="0" borderId="69" xfId="0" applyNumberFormat="1" applyFont="1" applyBorder="1" applyProtection="1"/>
    <xf numFmtId="176" fontId="15" fillId="0" borderId="60" xfId="0" applyNumberFormat="1" applyFont="1" applyFill="1" applyBorder="1" applyProtection="1"/>
    <xf numFmtId="176" fontId="15" fillId="0" borderId="61" xfId="0" applyNumberFormat="1" applyFont="1" applyFill="1" applyBorder="1" applyProtection="1"/>
    <xf numFmtId="176" fontId="15" fillId="0" borderId="62" xfId="0" applyNumberFormat="1" applyFont="1" applyFill="1" applyBorder="1" applyProtection="1"/>
    <xf numFmtId="176" fontId="15" fillId="0" borderId="59" xfId="0" applyNumberFormat="1" applyFont="1" applyFill="1" applyBorder="1" applyProtection="1"/>
    <xf numFmtId="176" fontId="15" fillId="0" borderId="63" xfId="0" applyNumberFormat="1" applyFont="1" applyFill="1" applyBorder="1" applyProtection="1"/>
    <xf numFmtId="176" fontId="13" fillId="0" borderId="63" xfId="0" applyNumberFormat="1" applyFont="1" applyFill="1" applyBorder="1" applyAlignment="1">
      <alignment vertical="top"/>
    </xf>
    <xf numFmtId="176" fontId="13" fillId="0" borderId="60" xfId="0" applyNumberFormat="1" applyFont="1" applyFill="1" applyBorder="1" applyAlignment="1">
      <alignment vertical="top"/>
    </xf>
    <xf numFmtId="176" fontId="13" fillId="0" borderId="103" xfId="0" applyNumberFormat="1" applyFont="1" applyFill="1" applyBorder="1" applyAlignment="1">
      <alignment vertical="top"/>
    </xf>
    <xf numFmtId="176" fontId="13" fillId="0" borderId="87" xfId="0" applyNumberFormat="1" applyFont="1" applyFill="1" applyBorder="1" applyAlignment="1">
      <alignment vertical="top"/>
    </xf>
    <xf numFmtId="176" fontId="13" fillId="0" borderId="59" xfId="0" applyNumberFormat="1" applyFont="1" applyFill="1" applyBorder="1" applyAlignment="1">
      <alignment vertical="top"/>
    </xf>
    <xf numFmtId="0" fontId="13" fillId="0" borderId="1" xfId="0" applyFont="1" applyFill="1" applyBorder="1" applyAlignment="1">
      <alignment horizontal="left" indent="2"/>
    </xf>
    <xf numFmtId="0" fontId="13" fillId="0" borderId="102" xfId="0" applyNumberFormat="1" applyFont="1" applyBorder="1" applyAlignment="1">
      <alignment horizontal="center" vertical="center"/>
    </xf>
    <xf numFmtId="176" fontId="15" fillId="0" borderId="46" xfId="0" applyNumberFormat="1" applyFont="1" applyFill="1" applyBorder="1" applyAlignment="1">
      <alignment horizontal="center"/>
    </xf>
    <xf numFmtId="176" fontId="15" fillId="0" borderId="49" xfId="0" applyNumberFormat="1" applyFont="1" applyFill="1" applyBorder="1" applyAlignment="1">
      <alignment horizontal="right"/>
    </xf>
    <xf numFmtId="176" fontId="15" fillId="0" borderId="50" xfId="0" applyNumberFormat="1" applyFont="1" applyFill="1" applyBorder="1" applyAlignment="1">
      <alignment horizontal="right"/>
    </xf>
    <xf numFmtId="176" fontId="15" fillId="0" borderId="46" xfId="0" applyNumberFormat="1" applyFont="1" applyFill="1" applyBorder="1" applyAlignment="1">
      <alignment horizontal="right"/>
    </xf>
    <xf numFmtId="176" fontId="15" fillId="0" borderId="48" xfId="0" applyNumberFormat="1" applyFont="1" applyFill="1" applyBorder="1" applyAlignment="1">
      <alignment horizontal="right"/>
    </xf>
    <xf numFmtId="0" fontId="13" fillId="0" borderId="68" xfId="0" applyFont="1" applyFill="1" applyBorder="1" applyAlignment="1">
      <alignment horizontal="left" vertical="top" wrapText="1"/>
    </xf>
    <xf numFmtId="169" fontId="13" fillId="0" borderId="6" xfId="0" applyNumberFormat="1" applyFont="1" applyBorder="1"/>
    <xf numFmtId="0" fontId="13" fillId="0" borderId="51" xfId="0" applyNumberFormat="1" applyFont="1" applyBorder="1" applyAlignment="1">
      <alignment horizontal="center"/>
    </xf>
    <xf numFmtId="0" fontId="13" fillId="0" borderId="81" xfId="0" applyNumberFormat="1" applyFont="1" applyBorder="1" applyAlignment="1">
      <alignment horizontal="center"/>
    </xf>
    <xf numFmtId="182" fontId="13" fillId="0" borderId="80" xfId="0" applyNumberFormat="1" applyFont="1" applyBorder="1" applyAlignment="1">
      <alignment horizontal="center"/>
    </xf>
    <xf numFmtId="0" fontId="15" fillId="0" borderId="64" xfId="0" applyFont="1" applyBorder="1" applyAlignment="1">
      <alignment vertical="center" wrapText="1"/>
    </xf>
    <xf numFmtId="176" fontId="13" fillId="0" borderId="51" xfId="0" applyNumberFormat="1" applyFont="1" applyFill="1" applyBorder="1" applyAlignment="1">
      <alignment vertical="top"/>
    </xf>
    <xf numFmtId="176" fontId="13" fillId="0" borderId="46" xfId="0" applyNumberFormat="1" applyFont="1" applyFill="1" applyBorder="1" applyAlignment="1">
      <alignment vertical="top"/>
    </xf>
    <xf numFmtId="176" fontId="13" fillId="0" borderId="81" xfId="0" applyNumberFormat="1" applyFont="1" applyFill="1" applyBorder="1" applyAlignment="1">
      <alignment vertical="top"/>
    </xf>
    <xf numFmtId="176" fontId="13" fillId="0" borderId="80" xfId="0" applyNumberFormat="1" applyFont="1" applyFill="1" applyBorder="1" applyAlignment="1">
      <alignment vertical="top"/>
    </xf>
    <xf numFmtId="176" fontId="13" fillId="0" borderId="48" xfId="0" applyNumberFormat="1" applyFont="1" applyFill="1" applyBorder="1" applyAlignment="1">
      <alignment vertical="top"/>
    </xf>
    <xf numFmtId="0" fontId="15" fillId="0" borderId="62" xfId="0" applyNumberFormat="1" applyFont="1" applyBorder="1" applyProtection="1"/>
    <xf numFmtId="0" fontId="13" fillId="0" borderId="60" xfId="0" applyNumberFormat="1" applyFont="1" applyBorder="1" applyAlignment="1" applyProtection="1">
      <alignment horizontal="center"/>
    </xf>
    <xf numFmtId="0" fontId="15" fillId="0" borderId="62" xfId="0" applyFont="1" applyBorder="1" applyAlignment="1" applyProtection="1">
      <alignment horizontal="left"/>
    </xf>
    <xf numFmtId="176" fontId="15" fillId="0" borderId="60" xfId="0" applyNumberFormat="1" applyFont="1" applyBorder="1" applyAlignment="1" applyProtection="1">
      <alignment horizontal="right"/>
    </xf>
    <xf numFmtId="176" fontId="15" fillId="0" borderId="61" xfId="0" applyNumberFormat="1" applyFont="1" applyBorder="1" applyAlignment="1" applyProtection="1">
      <alignment horizontal="right"/>
    </xf>
    <xf numFmtId="176" fontId="15" fillId="0" borderId="62" xfId="0" applyNumberFormat="1" applyFont="1" applyBorder="1" applyAlignment="1" applyProtection="1">
      <alignment horizontal="right"/>
    </xf>
    <xf numFmtId="176" fontId="15" fillId="0" borderId="59" xfId="0" applyNumberFormat="1" applyFont="1" applyBorder="1" applyAlignment="1" applyProtection="1">
      <alignment horizontal="right"/>
    </xf>
    <xf numFmtId="176" fontId="15" fillId="0" borderId="63" xfId="0" applyNumberFormat="1" applyFont="1" applyBorder="1" applyAlignment="1" applyProtection="1">
      <alignment horizontal="right"/>
    </xf>
    <xf numFmtId="176" fontId="15" fillId="0" borderId="60" xfId="0" applyNumberFormat="1" applyFont="1" applyBorder="1" applyProtection="1"/>
    <xf numFmtId="176" fontId="15" fillId="0" borderId="61" xfId="0" applyNumberFormat="1" applyFont="1" applyBorder="1" applyProtection="1"/>
    <xf numFmtId="176" fontId="15" fillId="0" borderId="62" xfId="0" applyNumberFormat="1" applyFont="1" applyBorder="1" applyProtection="1"/>
    <xf numFmtId="176" fontId="15" fillId="0" borderId="59" xfId="0" applyNumberFormat="1" applyFont="1" applyBorder="1" applyProtection="1"/>
    <xf numFmtId="176" fontId="15" fillId="0" borderId="63" xfId="0" applyNumberFormat="1" applyFont="1" applyBorder="1" applyProtection="1"/>
    <xf numFmtId="0" fontId="15" fillId="0" borderId="62" xfId="0" applyNumberFormat="1" applyFont="1" applyBorder="1" applyAlignment="1">
      <alignment horizontal="left" vertical="top" wrapText="1"/>
    </xf>
    <xf numFmtId="0" fontId="13" fillId="0" borderId="60" xfId="0" applyFont="1" applyBorder="1" applyAlignment="1">
      <alignment horizontal="center" vertical="top"/>
    </xf>
    <xf numFmtId="176" fontId="15" fillId="0" borderId="60" xfId="0" applyNumberFormat="1" applyFont="1" applyBorder="1" applyAlignment="1">
      <alignment vertical="top"/>
    </xf>
    <xf numFmtId="176" fontId="15" fillId="0" borderId="61" xfId="0" applyNumberFormat="1" applyFont="1" applyBorder="1" applyAlignment="1">
      <alignment vertical="top"/>
    </xf>
    <xf numFmtId="176" fontId="15" fillId="0" borderId="62" xfId="0" applyNumberFormat="1" applyFont="1" applyBorder="1" applyAlignment="1">
      <alignment vertical="top"/>
    </xf>
    <xf numFmtId="176" fontId="15" fillId="0" borderId="63" xfId="0" applyNumberFormat="1" applyFont="1" applyBorder="1" applyAlignment="1">
      <alignment vertical="top"/>
    </xf>
    <xf numFmtId="0" fontId="15" fillId="0" borderId="62" xfId="0" applyNumberFormat="1" applyFont="1" applyBorder="1" applyAlignment="1">
      <alignment vertical="top"/>
    </xf>
    <xf numFmtId="176" fontId="15" fillId="0" borderId="105" xfId="0" applyNumberFormat="1" applyFont="1" applyBorder="1"/>
    <xf numFmtId="0" fontId="13" fillId="0" borderId="87" xfId="0" applyFont="1" applyBorder="1" applyAlignment="1">
      <alignment horizontal="center"/>
    </xf>
    <xf numFmtId="0" fontId="25" fillId="0" borderId="0" xfId="11"/>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8" fillId="0" borderId="0" xfId="0" applyFont="1" applyFill="1" applyBorder="1" applyAlignment="1" applyProtection="1">
      <alignment horizontal="left"/>
    </xf>
    <xf numFmtId="176" fontId="15" fillId="0" borderId="68" xfId="0" applyNumberFormat="1" applyFont="1" applyFill="1" applyBorder="1" applyProtection="1"/>
    <xf numFmtId="176" fontId="15" fillId="0" borderId="78" xfId="0" applyNumberFormat="1" applyFont="1" applyFill="1" applyBorder="1" applyProtection="1"/>
    <xf numFmtId="176" fontId="15" fillId="0" borderId="101" xfId="0" applyNumberFormat="1" applyFont="1" applyFill="1" applyBorder="1" applyProtection="1"/>
    <xf numFmtId="176" fontId="18" fillId="0" borderId="0" xfId="0" applyNumberFormat="1" applyFont="1" applyBorder="1" applyAlignment="1" applyProtection="1">
      <alignment horizontal="right"/>
    </xf>
    <xf numFmtId="176"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7"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6" fontId="13" fillId="0" borderId="81" xfId="0" applyNumberFormat="1" applyFont="1" applyFill="1" applyBorder="1" applyProtection="1"/>
    <xf numFmtId="176" fontId="13" fillId="0" borderId="105" xfId="0" applyNumberFormat="1" applyFont="1" applyFill="1" applyBorder="1" applyProtection="1"/>
    <xf numFmtId="176" fontId="13" fillId="0" borderId="68" xfId="0" applyNumberFormat="1" applyFont="1" applyFill="1" applyBorder="1" applyProtection="1"/>
    <xf numFmtId="176" fontId="13" fillId="0" borderId="101" xfId="0" applyNumberFormat="1" applyFont="1" applyFill="1" applyBorder="1" applyProtection="1"/>
    <xf numFmtId="0" fontId="18" fillId="0" borderId="0" xfId="0" applyNumberFormat="1" applyFont="1" applyBorder="1" applyAlignment="1" applyProtection="1">
      <alignment horizontal="left" vertical="top"/>
    </xf>
    <xf numFmtId="0" fontId="18" fillId="0" borderId="3" xfId="0" applyNumberFormat="1" applyFont="1" applyFill="1" applyBorder="1" applyAlignment="1" applyProtection="1">
      <alignment horizontal="left" indent="1"/>
    </xf>
    <xf numFmtId="0" fontId="18" fillId="0" borderId="4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64" xfId="0" applyFont="1" applyFill="1" applyBorder="1" applyAlignment="1">
      <alignment horizontal="left" vertical="center"/>
    </xf>
    <xf numFmtId="0" fontId="13" fillId="0" borderId="47" xfId="0" applyNumberFormat="1" applyFont="1" applyFill="1" applyBorder="1" applyAlignment="1">
      <alignment horizontal="left" indent="2"/>
    </xf>
    <xf numFmtId="0" fontId="13" fillId="0" borderId="47" xfId="0" applyNumberFormat="1" applyFont="1" applyBorder="1" applyAlignment="1">
      <alignment horizontal="left" indent="2"/>
    </xf>
    <xf numFmtId="0" fontId="13" fillId="0" borderId="47" xfId="0" applyFont="1" applyBorder="1"/>
    <xf numFmtId="0" fontId="15" fillId="0" borderId="4" xfId="0" applyNumberFormat="1" applyFont="1" applyBorder="1" applyAlignment="1" applyProtection="1">
      <alignment wrapText="1"/>
    </xf>
    <xf numFmtId="0" fontId="13" fillId="0" borderId="12" xfId="0" applyNumberFormat="1" applyFont="1" applyBorder="1" applyAlignment="1">
      <alignment horizontal="center"/>
    </xf>
    <xf numFmtId="0" fontId="31" fillId="0" borderId="0" xfId="0" applyFont="1" applyBorder="1" applyAlignment="1" applyProtection="1">
      <alignment horizontal="justify" vertical="top" wrapText="1"/>
    </xf>
    <xf numFmtId="0" fontId="28" fillId="0" borderId="9" xfId="0" applyFont="1" applyFill="1" applyBorder="1" applyAlignment="1" applyProtection="1">
      <alignment horizontal="left"/>
    </xf>
    <xf numFmtId="0" fontId="1" fillId="0" borderId="10" xfId="0" applyFont="1" applyBorder="1" applyProtection="1">
      <protection hidden="1"/>
    </xf>
    <xf numFmtId="0" fontId="1" fillId="0" borderId="0" xfId="0" applyFont="1" applyProtection="1">
      <protection hidden="1"/>
    </xf>
    <xf numFmtId="0" fontId="31" fillId="0" borderId="17" xfId="0" applyFont="1" applyBorder="1" applyAlignment="1" applyProtection="1">
      <alignment horizontal="justify" wrapText="1"/>
    </xf>
    <xf numFmtId="0" fontId="1" fillId="0" borderId="0" xfId="0" applyFont="1" applyProtection="1"/>
    <xf numFmtId="0" fontId="1" fillId="0" borderId="0" xfId="0" applyFont="1"/>
    <xf numFmtId="0" fontId="1" fillId="0" borderId="0" xfId="0" applyFont="1" applyBorder="1" applyProtection="1">
      <protection hidden="1"/>
    </xf>
    <xf numFmtId="0" fontId="1" fillId="0" borderId="8" xfId="0" applyFont="1" applyBorder="1" applyProtection="1">
      <protection hidden="1"/>
    </xf>
    <xf numFmtId="0" fontId="29" fillId="0" borderId="0" xfId="0" applyFont="1" applyBorder="1" applyProtection="1">
      <protection hidden="1"/>
    </xf>
    <xf numFmtId="0" fontId="30" fillId="0" borderId="8" xfId="0" applyFont="1" applyBorder="1" applyProtection="1">
      <protection hidden="1"/>
    </xf>
    <xf numFmtId="0" fontId="31" fillId="0" borderId="106" xfId="0" applyFont="1" applyBorder="1" applyAlignment="1" applyProtection="1">
      <alignment horizontal="left" vertical="top" wrapText="1"/>
    </xf>
    <xf numFmtId="0" fontId="1" fillId="0" borderId="0" xfId="0" applyFont="1" applyBorder="1" applyAlignment="1" applyProtection="1">
      <alignment horizontal="center" vertical="center" wrapText="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32" fillId="0" borderId="0" xfId="0" applyFont="1" applyProtection="1"/>
    <xf numFmtId="0" fontId="32" fillId="0" borderId="0" xfId="0" applyNumberFormat="1" applyFont="1" applyProtection="1"/>
    <xf numFmtId="0" fontId="31" fillId="0" borderId="4" xfId="0" applyFont="1" applyFill="1" applyBorder="1" applyAlignment="1" applyProtection="1">
      <alignment horizontal="left" vertical="top" wrapText="1"/>
    </xf>
    <xf numFmtId="0" fontId="31" fillId="0" borderId="10" xfId="0" applyFont="1" applyFill="1" applyBorder="1" applyAlignment="1" applyProtection="1">
      <alignment horizontal="justify" vertical="center" wrapText="1"/>
      <protection locked="0"/>
    </xf>
    <xf numFmtId="0" fontId="1" fillId="0" borderId="0" xfId="0" applyFont="1" applyBorder="1" applyAlignment="1">
      <alignment vertical="center"/>
    </xf>
    <xf numFmtId="0" fontId="1" fillId="0" borderId="0" xfId="0" applyFont="1" applyAlignment="1" applyProtection="1">
      <alignment vertical="center"/>
      <protection hidden="1"/>
    </xf>
    <xf numFmtId="0" fontId="32" fillId="0" borderId="0" xfId="0" applyFont="1" applyAlignment="1" applyProtection="1">
      <alignment vertical="center"/>
    </xf>
    <xf numFmtId="0" fontId="1" fillId="0" borderId="0" xfId="0" applyFont="1" applyAlignment="1">
      <alignment vertical="center"/>
    </xf>
    <xf numFmtId="0" fontId="1" fillId="0" borderId="4" xfId="0" applyFont="1" applyBorder="1" applyAlignment="1">
      <alignment vertical="center"/>
    </xf>
    <xf numFmtId="0" fontId="1" fillId="0" borderId="10" xfId="0" applyFont="1" applyBorder="1" applyAlignment="1">
      <alignment vertical="center"/>
    </xf>
    <xf numFmtId="0" fontId="3" fillId="0" borderId="12" xfId="0" applyFont="1" applyBorder="1" applyAlignment="1">
      <alignment vertical="center"/>
    </xf>
    <xf numFmtId="0" fontId="12" fillId="0" borderId="0" xfId="6" applyFont="1" applyAlignment="1" applyProtection="1"/>
    <xf numFmtId="0" fontId="31" fillId="0" borderId="3" xfId="0" applyFont="1" applyFill="1" applyBorder="1" applyAlignment="1" applyProtection="1">
      <alignment horizontal="justify" vertical="center" wrapText="1"/>
    </xf>
    <xf numFmtId="0" fontId="31" fillId="0" borderId="4" xfId="0" applyFont="1" applyFill="1" applyBorder="1" applyAlignment="1" applyProtection="1">
      <alignment horizontal="justify" vertical="center" wrapText="1"/>
    </xf>
    <xf numFmtId="0" fontId="31" fillId="0" borderId="10" xfId="0" applyFont="1" applyFill="1" applyBorder="1" applyAlignment="1" applyProtection="1">
      <alignment horizontal="justify" vertical="center" wrapText="1"/>
    </xf>
    <xf numFmtId="0" fontId="31" fillId="0" borderId="3" xfId="0" applyFont="1" applyFill="1" applyBorder="1" applyAlignment="1" applyProtection="1">
      <alignment horizontal="left" vertical="top" wrapText="1"/>
    </xf>
    <xf numFmtId="0" fontId="1" fillId="0" borderId="0" xfId="6" applyFont="1" applyBorder="1" applyAlignment="1" applyProtection="1"/>
    <xf numFmtId="0" fontId="31" fillId="0" borderId="0" xfId="0" applyFont="1" applyFill="1" applyBorder="1" applyAlignment="1" applyProtection="1">
      <alignment horizontal="left" vertical="top" wrapText="1"/>
      <protection locked="0"/>
    </xf>
    <xf numFmtId="0" fontId="31" fillId="0" borderId="4" xfId="0" applyFont="1" applyFill="1" applyBorder="1" applyAlignment="1" applyProtection="1">
      <alignment horizontal="justify" vertical="top" wrapText="1"/>
    </xf>
    <xf numFmtId="0" fontId="31" fillId="0" borderId="10" xfId="0" applyFont="1" applyBorder="1" applyAlignment="1" applyProtection="1">
      <alignment horizontal="justify" vertical="top" wrapText="1"/>
    </xf>
    <xf numFmtId="0" fontId="3" fillId="0" borderId="0" xfId="0" applyFont="1" applyAlignment="1" applyProtection="1">
      <alignment vertical="center"/>
    </xf>
    <xf numFmtId="0" fontId="31" fillId="0" borderId="0" xfId="0" applyFont="1" applyFill="1" applyBorder="1" applyAlignment="1" applyProtection="1">
      <alignment horizontal="justify" vertical="top" wrapText="1"/>
    </xf>
    <xf numFmtId="0" fontId="3" fillId="0" borderId="0" xfId="0" applyFont="1" applyProtection="1"/>
    <xf numFmtId="0" fontId="35" fillId="0" borderId="106" xfId="0" applyFont="1" applyBorder="1" applyAlignment="1" applyProtection="1">
      <alignment horizontal="justify" wrapText="1"/>
    </xf>
    <xf numFmtId="0" fontId="34" fillId="0" borderId="107" xfId="0" applyFont="1" applyBorder="1" applyAlignment="1" applyProtection="1">
      <alignment horizontal="justify" wrapText="1"/>
    </xf>
    <xf numFmtId="0" fontId="34" fillId="0" borderId="17" xfId="0" applyFont="1" applyBorder="1" applyAlignment="1" applyProtection="1">
      <alignment horizontal="justify" wrapText="1"/>
    </xf>
    <xf numFmtId="0" fontId="34" fillId="0" borderId="12" xfId="0" applyFont="1" applyBorder="1" applyAlignment="1" applyProtection="1">
      <alignment horizontal="justify" wrapText="1"/>
    </xf>
    <xf numFmtId="0" fontId="34" fillId="0" borderId="4" xfId="0" applyFont="1" applyFill="1" applyBorder="1" applyAlignment="1" applyProtection="1">
      <alignment horizontal="justify" wrapText="1"/>
    </xf>
    <xf numFmtId="183" fontId="34" fillId="0" borderId="10" xfId="0" applyNumberFormat="1" applyFont="1" applyFill="1" applyBorder="1" applyAlignment="1" applyProtection="1">
      <alignment horizontal="justify" wrapText="1"/>
      <protection locked="0"/>
    </xf>
    <xf numFmtId="0" fontId="35" fillId="0" borderId="17" xfId="0" applyFont="1" applyBorder="1" applyAlignment="1" applyProtection="1">
      <alignment horizontal="justify" wrapText="1"/>
    </xf>
    <xf numFmtId="0" fontId="34" fillId="0" borderId="34" xfId="0" applyFont="1" applyBorder="1" applyAlignment="1" applyProtection="1">
      <alignment horizontal="justify" wrapText="1"/>
    </xf>
    <xf numFmtId="0" fontId="34" fillId="0" borderId="34" xfId="0" applyFont="1" applyFill="1" applyBorder="1" applyAlignment="1" applyProtection="1">
      <alignment horizontal="justify" wrapText="1"/>
    </xf>
    <xf numFmtId="0" fontId="0" fillId="0" borderId="0" xfId="0" applyProtection="1"/>
    <xf numFmtId="0" fontId="34" fillId="0" borderId="10" xfId="0" applyFont="1" applyFill="1" applyBorder="1" applyAlignment="1" applyProtection="1">
      <alignment horizontal="justify" wrapText="1"/>
      <protection locked="0"/>
    </xf>
    <xf numFmtId="0" fontId="34" fillId="0" borderId="3" xfId="0" applyFont="1" applyBorder="1" applyAlignment="1" applyProtection="1">
      <alignment horizontal="justify" wrapText="1"/>
    </xf>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6" fillId="0" borderId="17" xfId="0" applyFont="1" applyBorder="1" applyAlignment="1" applyProtection="1">
      <alignment horizontal="justify" wrapText="1"/>
    </xf>
    <xf numFmtId="0" fontId="34" fillId="0" borderId="0" xfId="0" applyFont="1" applyProtection="1"/>
    <xf numFmtId="0" fontId="12" fillId="0" borderId="0" xfId="0" applyFont="1" applyProtection="1"/>
    <xf numFmtId="0" fontId="12" fillId="0" borderId="0" xfId="0" applyFont="1" applyProtection="1">
      <protection hidden="1"/>
    </xf>
    <xf numFmtId="0" fontId="0" fillId="0" borderId="0" xfId="0" applyProtection="1">
      <protection hidden="1"/>
    </xf>
    <xf numFmtId="0" fontId="32" fillId="0" borderId="0" xfId="6" applyFont="1" applyAlignment="1" applyProtection="1">
      <protection hidden="1"/>
    </xf>
    <xf numFmtId="0" fontId="6" fillId="0" borderId="0" xfId="6" applyFont="1" applyAlignment="1" applyProtection="1">
      <protection hidden="1"/>
    </xf>
    <xf numFmtId="0" fontId="1" fillId="0" borderId="0" xfId="0" applyFont="1" applyProtection="1">
      <protection locked="0" hidden="1"/>
    </xf>
    <xf numFmtId="0" fontId="1" fillId="0" borderId="0" xfId="0" applyFont="1" applyProtection="1">
      <protection locked="0"/>
    </xf>
    <xf numFmtId="0" fontId="6" fillId="0" borderId="0" xfId="6" applyFont="1" applyAlignment="1" applyProtection="1">
      <protection locked="0" hidden="1"/>
    </xf>
    <xf numFmtId="0" fontId="32" fillId="0" borderId="0" xfId="0" applyFont="1" applyFill="1" applyProtection="1"/>
    <xf numFmtId="0" fontId="13" fillId="0" borderId="0" xfId="0" applyFont="1" applyFill="1" applyProtection="1"/>
    <xf numFmtId="176" fontId="13" fillId="0" borderId="43" xfId="1" applyNumberFormat="1" applyFont="1" applyFill="1" applyBorder="1" applyProtection="1"/>
    <xf numFmtId="176" fontId="13" fillId="0" borderId="8" xfId="1" applyNumberFormat="1" applyFont="1" applyFill="1" applyBorder="1" applyProtection="1"/>
    <xf numFmtId="176" fontId="13" fillId="0" borderId="3" xfId="1" applyNumberFormat="1" applyFont="1" applyFill="1" applyBorder="1" applyProtection="1"/>
    <xf numFmtId="176" fontId="13" fillId="0" borderId="0" xfId="1" applyNumberFormat="1" applyFont="1" applyFill="1" applyBorder="1" applyProtection="1"/>
    <xf numFmtId="176" fontId="13" fillId="0" borderId="47" xfId="1" applyNumberFormat="1" applyFont="1" applyFill="1" applyBorder="1" applyProtection="1"/>
    <xf numFmtId="176" fontId="15" fillId="0" borderId="47" xfId="0" applyNumberFormat="1" applyFont="1" applyFill="1" applyBorder="1"/>
    <xf numFmtId="0" fontId="18" fillId="0" borderId="3" xfId="0" applyNumberFormat="1" applyFont="1" applyFill="1" applyBorder="1" applyAlignment="1">
      <alignment horizontal="left" indent="2"/>
    </xf>
    <xf numFmtId="176" fontId="13" fillId="0" borderId="43" xfId="0" applyNumberFormat="1" applyFont="1" applyFill="1" applyBorder="1" applyAlignment="1" applyProtection="1">
      <alignment horizontal="right"/>
    </xf>
    <xf numFmtId="176" fontId="13" fillId="0" borderId="0" xfId="0" applyNumberFormat="1" applyFont="1" applyFill="1" applyBorder="1" applyAlignment="1" applyProtection="1">
      <alignment horizontal="right"/>
    </xf>
    <xf numFmtId="176" fontId="13" fillId="0" borderId="46" xfId="0" applyNumberFormat="1" applyFont="1" applyFill="1" applyBorder="1" applyAlignment="1">
      <alignment horizontal="right"/>
    </xf>
    <xf numFmtId="176" fontId="13" fillId="0" borderId="48" xfId="0" applyNumberFormat="1" applyFont="1" applyFill="1" applyBorder="1" applyAlignment="1">
      <alignment horizontal="right"/>
    </xf>
    <xf numFmtId="176" fontId="13" fillId="0" borderId="50" xfId="0" applyNumberFormat="1" applyFont="1" applyFill="1" applyBorder="1" applyAlignment="1">
      <alignment horizontal="right"/>
    </xf>
    <xf numFmtId="176" fontId="13"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4" fillId="12" borderId="17" xfId="0" applyFont="1" applyFill="1" applyBorder="1" applyAlignment="1" applyProtection="1"/>
    <xf numFmtId="0" fontId="14" fillId="12" borderId="17" xfId="0" applyFont="1" applyFill="1" applyBorder="1" applyAlignment="1" applyProtection="1">
      <alignment horizontal="center"/>
    </xf>
    <xf numFmtId="0" fontId="14"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6" fontId="15" fillId="0" borderId="87" xfId="0" applyNumberFormat="1" applyFont="1" applyFill="1" applyBorder="1" applyProtection="1"/>
    <xf numFmtId="176" fontId="15" fillId="0" borderId="108" xfId="0" applyNumberFormat="1" applyFont="1" applyFill="1" applyBorder="1" applyProtection="1"/>
    <xf numFmtId="176" fontId="15" fillId="0" borderId="80" xfId="0" applyNumberFormat="1" applyFont="1" applyFill="1" applyBorder="1" applyProtection="1"/>
    <xf numFmtId="176" fontId="15" fillId="0" borderId="105" xfId="0" applyNumberFormat="1" applyFont="1" applyFill="1" applyBorder="1" applyProtection="1"/>
    <xf numFmtId="176" fontId="13" fillId="0" borderId="43" xfId="0" applyNumberFormat="1" applyFont="1" applyFill="1" applyBorder="1" applyAlignment="1" applyProtection="1">
      <alignment horizontal="center"/>
    </xf>
    <xf numFmtId="176" fontId="13" fillId="0" borderId="8" xfId="0" applyNumberFormat="1" applyFont="1" applyFill="1" applyBorder="1" applyAlignment="1" applyProtection="1">
      <alignment horizontal="right"/>
    </xf>
    <xf numFmtId="176" fontId="13" fillId="0" borderId="3" xfId="0" applyNumberFormat="1" applyFont="1" applyFill="1" applyBorder="1" applyAlignment="1" applyProtection="1">
      <alignment horizontal="right"/>
    </xf>
    <xf numFmtId="0" fontId="34" fillId="0" borderId="3" xfId="0" applyFont="1" applyFill="1" applyBorder="1" applyAlignment="1" applyProtection="1">
      <alignment horizontal="justify" wrapText="1"/>
    </xf>
    <xf numFmtId="0" fontId="34" fillId="0" borderId="8" xfId="0" applyFont="1" applyFill="1" applyBorder="1" applyAlignment="1" applyProtection="1">
      <alignment horizontal="justify" wrapText="1"/>
      <protection locked="0"/>
    </xf>
    <xf numFmtId="0" fontId="36" fillId="0" borderId="3" xfId="0" applyFont="1" applyFill="1" applyBorder="1" applyAlignment="1" applyProtection="1">
      <alignment horizontal="justify" wrapText="1"/>
    </xf>
    <xf numFmtId="0" fontId="18" fillId="0" borderId="0" xfId="0" applyNumberFormat="1" applyFont="1" applyFill="1" applyBorder="1" applyProtection="1"/>
    <xf numFmtId="176" fontId="15" fillId="0" borderId="80" xfId="0" applyNumberFormat="1" applyFont="1" applyFill="1" applyBorder="1"/>
    <xf numFmtId="176" fontId="15" fillId="0" borderId="105" xfId="0" applyNumberFormat="1" applyFont="1" applyFill="1" applyBorder="1"/>
    <xf numFmtId="0" fontId="31" fillId="0" borderId="8" xfId="0" applyFont="1" applyFill="1" applyBorder="1" applyAlignment="1" applyProtection="1">
      <alignment horizontal="justify" vertical="center" wrapText="1"/>
    </xf>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7" fillId="0" borderId="0" xfId="0" applyFont="1" applyFill="1" applyProtection="1"/>
    <xf numFmtId="0" fontId="5" fillId="6" borderId="2" xfId="0" applyFont="1" applyFill="1" applyBorder="1" applyProtection="1">
      <protection locked="0"/>
    </xf>
    <xf numFmtId="0" fontId="2" fillId="6" borderId="0" xfId="0" applyFont="1" applyFill="1" applyAlignment="1" applyProtection="1">
      <alignment horizontal="left" indent="1"/>
      <protection locked="0"/>
    </xf>
    <xf numFmtId="0" fontId="15" fillId="13" borderId="5" xfId="0" applyFont="1" applyFill="1" applyBorder="1" applyAlignment="1" applyProtection="1">
      <alignment horizontal="left" vertical="top" wrapText="1"/>
      <protection locked="0"/>
    </xf>
    <xf numFmtId="0" fontId="34" fillId="0" borderId="4" xfId="0" applyFont="1" applyBorder="1" applyAlignment="1" applyProtection="1">
      <alignment horizontal="justify" vertical="top" wrapText="1"/>
    </xf>
    <xf numFmtId="0" fontId="34" fillId="0" borderId="10" xfId="0" applyFont="1" applyBorder="1" applyAlignment="1" applyProtection="1">
      <alignment horizontal="justify" vertical="top" wrapText="1"/>
    </xf>
    <xf numFmtId="0" fontId="37" fillId="0" borderId="0" xfId="0" applyFont="1" applyAlignment="1">
      <alignment wrapText="1"/>
    </xf>
    <xf numFmtId="0" fontId="1" fillId="0" borderId="0" xfId="0" applyFont="1" applyBorder="1" applyAlignment="1" applyProtection="1">
      <alignment horizontal="left" vertical="center"/>
    </xf>
    <xf numFmtId="0" fontId="35" fillId="0" borderId="17" xfId="0" applyFont="1" applyBorder="1" applyAlignment="1" applyProtection="1">
      <alignment horizontal="left"/>
    </xf>
    <xf numFmtId="0" fontId="15" fillId="13" borderId="2" xfId="0" applyFont="1" applyFill="1" applyBorder="1" applyAlignment="1" applyProtection="1">
      <alignment horizontal="left" vertical="top" wrapText="1"/>
      <protection locked="0"/>
    </xf>
    <xf numFmtId="0" fontId="15" fillId="14" borderId="2" xfId="0" applyFont="1" applyFill="1" applyBorder="1" applyAlignment="1" applyProtection="1">
      <alignment horizontal="left" vertical="top" wrapText="1" indent="1"/>
      <protection locked="0"/>
    </xf>
    <xf numFmtId="0" fontId="15" fillId="15" borderId="2"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4" fillId="0" borderId="0" xfId="0" applyFont="1"/>
    <xf numFmtId="0" fontId="24" fillId="0" borderId="36" xfId="0" applyFont="1" applyBorder="1" applyAlignment="1"/>
    <xf numFmtId="0" fontId="15" fillId="0" borderId="89" xfId="0" applyNumberFormat="1" applyFont="1" applyBorder="1" applyAlignment="1">
      <alignment horizontal="left"/>
    </xf>
    <xf numFmtId="0" fontId="15" fillId="0" borderId="43" xfId="0" applyNumberFormat="1" applyFont="1" applyBorder="1" applyAlignment="1">
      <alignment horizontal="center"/>
    </xf>
    <xf numFmtId="0" fontId="20" fillId="0" borderId="3" xfId="0" applyFont="1" applyFill="1" applyBorder="1" applyAlignment="1">
      <alignment horizontal="left" indent="1"/>
    </xf>
    <xf numFmtId="0" fontId="18" fillId="0" borderId="3" xfId="0" applyFont="1" applyFill="1" applyBorder="1" applyAlignment="1">
      <alignment horizontal="left" indent="2"/>
    </xf>
    <xf numFmtId="0" fontId="16" fillId="0" borderId="3" xfId="0" applyFont="1" applyBorder="1" applyAlignment="1">
      <alignment horizontal="right" indent="1"/>
    </xf>
    <xf numFmtId="0" fontId="18" fillId="0" borderId="3" xfId="0" applyNumberFormat="1" applyFont="1" applyBorder="1" applyAlignment="1" applyProtection="1">
      <alignment horizontal="right" indent="1"/>
    </xf>
    <xf numFmtId="0" fontId="15" fillId="0" borderId="47" xfId="0" applyNumberFormat="1" applyFont="1" applyBorder="1"/>
    <xf numFmtId="0" fontId="17" fillId="0" borderId="47" xfId="0" applyNumberFormat="1" applyFont="1" applyBorder="1" applyAlignment="1">
      <alignment horizontal="left" indent="1"/>
    </xf>
    <xf numFmtId="0" fontId="18" fillId="0" borderId="47" xfId="0" applyNumberFormat="1" applyFont="1" applyFill="1" applyBorder="1" applyAlignment="1">
      <alignment horizontal="left" indent="2"/>
    </xf>
    <xf numFmtId="0" fontId="13" fillId="0" borderId="47" xfId="0" applyFont="1" applyBorder="1" applyAlignment="1">
      <alignment horizontal="left" indent="2"/>
    </xf>
    <xf numFmtId="0" fontId="15" fillId="0" borderId="56" xfId="0" applyFont="1" applyBorder="1"/>
    <xf numFmtId="0" fontId="15" fillId="0" borderId="12" xfId="0" applyFont="1" applyBorder="1"/>
    <xf numFmtId="0" fontId="15" fillId="0" borderId="17" xfId="0" applyFont="1" applyBorder="1"/>
    <xf numFmtId="0" fontId="15" fillId="0" borderId="3" xfId="0" applyFont="1" applyFill="1" applyBorder="1" applyAlignment="1">
      <alignment horizontal="left" indent="1"/>
    </xf>
    <xf numFmtId="0" fontId="15" fillId="2" borderId="7" xfId="0" applyFont="1" applyFill="1" applyBorder="1" applyAlignment="1">
      <alignment horizontal="center" vertical="top" wrapText="1"/>
    </xf>
    <xf numFmtId="0" fontId="15" fillId="2" borderId="11" xfId="0" applyFont="1" applyFill="1" applyBorder="1" applyAlignment="1">
      <alignment horizontal="center" vertical="top" wrapText="1"/>
    </xf>
    <xf numFmtId="0" fontId="12" fillId="0" borderId="47" xfId="0" applyFont="1" applyFill="1" applyBorder="1" applyAlignment="1">
      <alignment horizontal="left" vertical="top" wrapText="1" indent="3"/>
    </xf>
    <xf numFmtId="0" fontId="13" fillId="0" borderId="0" xfId="0" applyFont="1" applyFill="1" applyAlignment="1">
      <alignment horizontal="right"/>
    </xf>
    <xf numFmtId="167" fontId="13" fillId="0" borderId="0" xfId="0" applyNumberFormat="1" applyFont="1" applyFill="1"/>
    <xf numFmtId="0" fontId="13" fillId="0" borderId="0" xfId="0" applyFont="1" applyFill="1" applyBorder="1" applyAlignment="1" applyProtection="1">
      <protection locked="0"/>
    </xf>
    <xf numFmtId="0" fontId="24"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6" fontId="13" fillId="0" borderId="0" xfId="0" applyNumberFormat="1" applyFont="1" applyFill="1" applyProtection="1">
      <protection locked="0"/>
    </xf>
    <xf numFmtId="0" fontId="15" fillId="0" borderId="0" xfId="0" applyNumberFormat="1" applyFont="1" applyBorder="1"/>
    <xf numFmtId="0" fontId="17" fillId="0" borderId="12" xfId="0" applyFont="1" applyBorder="1"/>
    <xf numFmtId="0" fontId="13" fillId="0" borderId="11" xfId="0" applyFont="1" applyBorder="1" applyAlignment="1">
      <alignment horizontal="center"/>
    </xf>
    <xf numFmtId="176" fontId="15" fillId="0" borderId="75" xfId="0" applyNumberFormat="1" applyFont="1" applyBorder="1"/>
    <xf numFmtId="0" fontId="13" fillId="0" borderId="1" xfId="0" applyFont="1" applyBorder="1" applyAlignment="1">
      <alignment horizontal="center"/>
    </xf>
    <xf numFmtId="0" fontId="13" fillId="0" borderId="5" xfId="0" applyFont="1" applyBorder="1" applyAlignment="1">
      <alignment horizontal="center"/>
    </xf>
    <xf numFmtId="176" fontId="15" fillId="0" borderId="105" xfId="0" applyNumberFormat="1" applyFont="1" applyBorder="1" applyAlignment="1">
      <alignment horizontal="right"/>
    </xf>
    <xf numFmtId="176" fontId="15" fillId="0" borderId="80" xfId="0" applyNumberFormat="1" applyFont="1" applyBorder="1" applyAlignment="1">
      <alignment horizontal="right"/>
    </xf>
    <xf numFmtId="176" fontId="15" fillId="0" borderId="44" xfId="0" applyNumberFormat="1" applyFont="1" applyBorder="1" applyAlignment="1">
      <alignment horizontal="right"/>
    </xf>
    <xf numFmtId="176" fontId="15" fillId="0" borderId="85" xfId="0" applyNumberFormat="1" applyFont="1" applyBorder="1" applyAlignment="1">
      <alignment horizontal="right"/>
    </xf>
    <xf numFmtId="176" fontId="15" fillId="0" borderId="89" xfId="0" applyNumberFormat="1" applyFont="1" applyBorder="1" applyAlignment="1">
      <alignment horizontal="right"/>
    </xf>
    <xf numFmtId="0" fontId="15" fillId="0" borderId="62" xfId="0" applyNumberFormat="1" applyFont="1" applyFill="1" applyBorder="1" applyAlignment="1">
      <alignment wrapText="1"/>
    </xf>
    <xf numFmtId="171" fontId="13" fillId="0" borderId="101" xfId="12" applyNumberFormat="1" applyFont="1" applyFill="1" applyBorder="1" applyAlignment="1">
      <alignment horizontal="center"/>
    </xf>
    <xf numFmtId="0" fontId="13" fillId="0" borderId="8"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8" fontId="13" fillId="0" borderId="1" xfId="13" applyNumberFormat="1" applyFont="1" applyBorder="1" applyAlignment="1"/>
    <xf numFmtId="168" fontId="13" fillId="0" borderId="1" xfId="13" applyNumberFormat="1" applyFont="1" applyBorder="1"/>
    <xf numFmtId="10" fontId="13" fillId="0" borderId="1" xfId="13" applyNumberFormat="1" applyFont="1" applyFill="1" applyBorder="1" applyProtection="1"/>
    <xf numFmtId="0" fontId="13" fillId="0" borderId="0" xfId="0" applyFont="1" applyBorder="1" applyAlignment="1">
      <alignment wrapText="1"/>
    </xf>
    <xf numFmtId="176" fontId="13" fillId="0" borderId="1" xfId="0" applyNumberFormat="1" applyFont="1" applyBorder="1" applyAlignment="1">
      <alignment horizontal="left" wrapText="1"/>
    </xf>
    <xf numFmtId="176" fontId="13" fillId="0" borderId="11" xfId="0" applyNumberFormat="1" applyFont="1" applyBorder="1" applyAlignment="1">
      <alignment horizontal="left" wrapText="1"/>
    </xf>
    <xf numFmtId="0" fontId="13" fillId="0" borderId="7" xfId="0" applyFont="1" applyBorder="1" applyAlignment="1">
      <alignment horizontal="center"/>
    </xf>
    <xf numFmtId="0" fontId="17" fillId="0" borderId="7" xfId="0" applyFont="1" applyBorder="1"/>
    <xf numFmtId="0" fontId="13" fillId="0" borderId="11" xfId="0" applyFont="1" applyBorder="1"/>
    <xf numFmtId="0" fontId="13" fillId="0" borderId="9" xfId="0" applyFont="1" applyBorder="1"/>
    <xf numFmtId="0" fontId="13" fillId="0" borderId="10" xfId="0" applyFont="1" applyBorder="1"/>
    <xf numFmtId="168" fontId="13" fillId="0" borderId="5" xfId="13" applyNumberFormat="1" applyFont="1" applyBorder="1"/>
    <xf numFmtId="173" fontId="13" fillId="0" borderId="5" xfId="0" applyNumberFormat="1" applyFont="1" applyBorder="1"/>
    <xf numFmtId="0" fontId="13" fillId="0" borderId="9" xfId="0" applyFont="1" applyFill="1" applyBorder="1" applyAlignment="1"/>
    <xf numFmtId="176" fontId="13" fillId="0" borderId="5" xfId="0" applyNumberFormat="1" applyFont="1" applyFill="1" applyBorder="1"/>
    <xf numFmtId="0" fontId="13" fillId="0" borderId="78" xfId="0" applyFont="1" applyBorder="1"/>
    <xf numFmtId="171" fontId="13" fillId="0" borderId="36" xfId="0" applyNumberFormat="1" applyFont="1" applyBorder="1" applyAlignment="1">
      <alignment horizontal="center"/>
    </xf>
    <xf numFmtId="171" fontId="13" fillId="0" borderId="43" xfId="0" quotePrefix="1" applyNumberFormat="1" applyFont="1" applyBorder="1" applyAlignment="1">
      <alignment horizontal="center"/>
    </xf>
    <xf numFmtId="0" fontId="13" fillId="0" borderId="38" xfId="0" applyFont="1" applyBorder="1"/>
    <xf numFmtId="176" fontId="13" fillId="0" borderId="36" xfId="0" quotePrefix="1" applyNumberFormat="1" applyFont="1" applyBorder="1" applyAlignment="1">
      <alignment horizontal="center"/>
    </xf>
    <xf numFmtId="0" fontId="13" fillId="0" borderId="109" xfId="0" applyFont="1" applyBorder="1"/>
    <xf numFmtId="176" fontId="13" fillId="0" borderId="78" xfId="0" applyNumberFormat="1" applyFont="1" applyBorder="1" applyAlignment="1">
      <alignment horizontal="center"/>
    </xf>
    <xf numFmtId="0" fontId="13" fillId="0" borderId="101" xfId="0" applyFont="1" applyBorder="1"/>
    <xf numFmtId="171" fontId="13" fillId="0" borderId="66" xfId="0" applyNumberFormat="1" applyFont="1" applyBorder="1" applyAlignment="1">
      <alignment horizontal="center"/>
    </xf>
    <xf numFmtId="171" fontId="13" fillId="0" borderId="78" xfId="0" quotePrefix="1" applyNumberFormat="1" applyFont="1" applyBorder="1" applyAlignment="1">
      <alignment horizontal="center"/>
    </xf>
    <xf numFmtId="176" fontId="13" fillId="0" borderId="66"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0" fontId="31" fillId="17" borderId="107" xfId="0" applyFont="1" applyFill="1" applyBorder="1" applyAlignment="1" applyProtection="1">
      <alignment horizontal="justify" vertical="center" wrapText="1"/>
      <protection locked="0"/>
    </xf>
    <xf numFmtId="0" fontId="34" fillId="17" borderId="34" xfId="0" applyFont="1" applyFill="1" applyBorder="1" applyAlignment="1" applyProtection="1">
      <alignment horizontal="justify" wrapText="1"/>
      <protection locked="0"/>
    </xf>
    <xf numFmtId="0" fontId="34" fillId="17" borderId="34" xfId="0" applyNumberFormat="1" applyFont="1" applyFill="1" applyBorder="1" applyAlignment="1" applyProtection="1">
      <alignment horizontal="justify" wrapText="1"/>
      <protection locked="0"/>
    </xf>
    <xf numFmtId="176" fontId="13" fillId="17" borderId="43" xfId="0" applyNumberFormat="1" applyFont="1" applyFill="1" applyBorder="1" applyProtection="1">
      <protection locked="0"/>
    </xf>
    <xf numFmtId="176" fontId="13" fillId="17" borderId="68" xfId="0" applyNumberFormat="1" applyFont="1" applyFill="1" applyBorder="1" applyProtection="1">
      <protection locked="0"/>
    </xf>
    <xf numFmtId="176" fontId="13" fillId="17" borderId="47" xfId="0" applyNumberFormat="1" applyFont="1" applyFill="1" applyBorder="1" applyProtection="1">
      <protection locked="0"/>
    </xf>
    <xf numFmtId="176" fontId="13" fillId="17" borderId="78" xfId="0" applyNumberFormat="1" applyFont="1" applyFill="1" applyBorder="1" applyProtection="1">
      <protection locked="0"/>
    </xf>
    <xf numFmtId="176" fontId="13" fillId="17" borderId="101" xfId="0" applyNumberFormat="1" applyFont="1" applyFill="1" applyBorder="1" applyProtection="1">
      <protection locked="0"/>
    </xf>
    <xf numFmtId="176" fontId="13" fillId="17" borderId="46" xfId="0" applyNumberFormat="1" applyFont="1" applyFill="1" applyBorder="1" applyProtection="1">
      <protection locked="0"/>
    </xf>
    <xf numFmtId="176" fontId="13" fillId="17" borderId="81" xfId="0" applyNumberFormat="1" applyFont="1" applyFill="1" applyBorder="1" applyProtection="1">
      <protection locked="0"/>
    </xf>
    <xf numFmtId="176" fontId="13" fillId="17" borderId="51" xfId="0" applyNumberFormat="1" applyFont="1" applyFill="1" applyBorder="1" applyProtection="1">
      <protection locked="0"/>
    </xf>
    <xf numFmtId="176" fontId="13" fillId="17" borderId="80" xfId="0" applyNumberFormat="1" applyFont="1" applyFill="1" applyBorder="1" applyProtection="1">
      <protection locked="0"/>
    </xf>
    <xf numFmtId="176" fontId="15" fillId="17" borderId="46" xfId="0" applyNumberFormat="1" applyFont="1" applyFill="1" applyBorder="1" applyProtection="1">
      <protection locked="0"/>
    </xf>
    <xf numFmtId="176" fontId="15" fillId="17" borderId="81" xfId="0" applyNumberFormat="1" applyFont="1" applyFill="1" applyBorder="1" applyProtection="1">
      <protection locked="0"/>
    </xf>
    <xf numFmtId="176" fontId="15" fillId="17" borderId="51" xfId="0" applyNumberFormat="1" applyFont="1" applyFill="1" applyBorder="1" applyProtection="1">
      <protection locked="0"/>
    </xf>
    <xf numFmtId="176" fontId="15" fillId="17" borderId="80" xfId="0" applyNumberFormat="1" applyFont="1" applyFill="1" applyBorder="1" applyProtection="1">
      <protection locked="0"/>
    </xf>
    <xf numFmtId="176" fontId="13" fillId="17" borderId="43" xfId="0" applyNumberFormat="1" applyFont="1" applyFill="1" applyBorder="1" applyAlignment="1" applyProtection="1">
      <alignment horizontal="right"/>
      <protection locked="0"/>
    </xf>
    <xf numFmtId="176" fontId="13" fillId="17" borderId="8" xfId="0" applyNumberFormat="1" applyFont="1" applyFill="1" applyBorder="1" applyAlignment="1" applyProtection="1">
      <alignment horizontal="right"/>
      <protection locked="0"/>
    </xf>
    <xf numFmtId="176" fontId="13" fillId="17" borderId="3" xfId="0" applyNumberFormat="1" applyFont="1" applyFill="1" applyBorder="1" applyAlignment="1" applyProtection="1">
      <alignment horizontal="right"/>
      <protection locked="0"/>
    </xf>
    <xf numFmtId="176" fontId="13" fillId="17" borderId="0" xfId="0" applyNumberFormat="1" applyFont="1" applyFill="1" applyBorder="1" applyAlignment="1" applyProtection="1">
      <alignment horizontal="right"/>
      <protection locked="0"/>
    </xf>
    <xf numFmtId="176" fontId="13" fillId="17" borderId="47" xfId="0" applyNumberFormat="1" applyFont="1" applyFill="1" applyBorder="1" applyAlignment="1" applyProtection="1">
      <alignment horizontal="right"/>
      <protection locked="0"/>
    </xf>
    <xf numFmtId="0" fontId="15" fillId="17" borderId="3" xfId="0" applyFont="1" applyFill="1" applyBorder="1" applyAlignment="1" applyProtection="1">
      <alignment horizontal="left" indent="1"/>
      <protection locked="0"/>
    </xf>
    <xf numFmtId="0" fontId="13" fillId="17" borderId="3" xfId="0" applyFont="1" applyFill="1" applyBorder="1" applyAlignment="1" applyProtection="1">
      <alignment horizontal="left" indent="1"/>
      <protection locked="0"/>
    </xf>
    <xf numFmtId="0" fontId="13" fillId="17" borderId="47" xfId="0" applyFont="1" applyFill="1" applyBorder="1" applyAlignment="1" applyProtection="1">
      <alignment horizontal="left" indent="1"/>
      <protection locked="0"/>
    </xf>
    <xf numFmtId="0" fontId="15" fillId="17" borderId="47" xfId="0" applyFont="1" applyFill="1" applyBorder="1" applyAlignment="1" applyProtection="1">
      <alignment horizontal="left" indent="1"/>
      <protection locked="0"/>
    </xf>
    <xf numFmtId="176" fontId="13" fillId="17" borderId="8" xfId="0" applyNumberFormat="1" applyFont="1" applyFill="1" applyBorder="1" applyProtection="1">
      <protection locked="0"/>
    </xf>
    <xf numFmtId="176" fontId="13" fillId="17" borderId="3" xfId="0" applyNumberFormat="1" applyFont="1" applyFill="1" applyBorder="1" applyProtection="1">
      <protection locked="0"/>
    </xf>
    <xf numFmtId="176" fontId="13" fillId="17" borderId="0" xfId="0" applyNumberFormat="1" applyFont="1" applyFill="1" applyBorder="1" applyProtection="1">
      <protection locked="0"/>
    </xf>
    <xf numFmtId="176" fontId="13" fillId="17" borderId="43" xfId="1" applyNumberFormat="1" applyFont="1" applyFill="1" applyBorder="1" applyProtection="1">
      <protection locked="0"/>
    </xf>
    <xf numFmtId="176" fontId="13" fillId="17" borderId="8" xfId="1" applyNumberFormat="1" applyFont="1" applyFill="1" applyBorder="1" applyProtection="1">
      <protection locked="0"/>
    </xf>
    <xf numFmtId="176" fontId="13" fillId="17" borderId="3" xfId="1" applyNumberFormat="1" applyFont="1" applyFill="1" applyBorder="1" applyProtection="1">
      <protection locked="0"/>
    </xf>
    <xf numFmtId="176" fontId="13" fillId="17" borderId="0" xfId="1" applyNumberFormat="1" applyFont="1" applyFill="1" applyBorder="1" applyProtection="1">
      <protection locked="0"/>
    </xf>
    <xf numFmtId="176" fontId="13" fillId="17" borderId="47" xfId="1" applyNumberFormat="1" applyFont="1" applyFill="1" applyBorder="1" applyProtection="1">
      <protection locked="0"/>
    </xf>
    <xf numFmtId="176" fontId="15" fillId="17" borderId="3" xfId="1" applyNumberFormat="1" applyFont="1" applyFill="1" applyBorder="1" applyProtection="1">
      <protection locked="0"/>
    </xf>
    <xf numFmtId="176" fontId="15" fillId="17" borderId="43" xfId="1" applyNumberFormat="1" applyFont="1" applyFill="1" applyBorder="1" applyProtection="1">
      <protection locked="0"/>
    </xf>
    <xf numFmtId="176" fontId="15" fillId="17" borderId="8" xfId="1" applyNumberFormat="1" applyFont="1" applyFill="1" applyBorder="1" applyProtection="1">
      <protection locked="0"/>
    </xf>
    <xf numFmtId="176" fontId="15" fillId="17" borderId="47" xfId="1" applyNumberFormat="1" applyFont="1" applyFill="1" applyBorder="1" applyProtection="1">
      <protection locked="0"/>
    </xf>
    <xf numFmtId="176" fontId="13" fillId="17" borderId="78" xfId="1" applyNumberFormat="1" applyFont="1" applyFill="1" applyBorder="1" applyProtection="1">
      <protection locked="0"/>
    </xf>
    <xf numFmtId="176" fontId="15" fillId="17" borderId="43" xfId="0" applyNumberFormat="1" applyFont="1" applyFill="1" applyBorder="1" applyProtection="1">
      <protection locked="0"/>
    </xf>
    <xf numFmtId="176" fontId="15" fillId="17" borderId="8" xfId="0" applyNumberFormat="1" applyFont="1" applyFill="1" applyBorder="1" applyProtection="1">
      <protection locked="0"/>
    </xf>
    <xf numFmtId="176" fontId="15" fillId="17" borderId="3" xfId="0" applyNumberFormat="1" applyFont="1" applyFill="1" applyBorder="1" applyProtection="1">
      <protection locked="0"/>
    </xf>
    <xf numFmtId="176" fontId="15" fillId="17" borderId="0" xfId="0" applyNumberFormat="1" applyFont="1" applyFill="1" applyBorder="1" applyProtection="1">
      <protection locked="0"/>
    </xf>
    <xf numFmtId="176" fontId="15" fillId="17" borderId="72" xfId="0" applyNumberFormat="1" applyFont="1" applyFill="1" applyBorder="1" applyProtection="1">
      <protection locked="0"/>
    </xf>
    <xf numFmtId="176" fontId="15" fillId="17" borderId="99" xfId="0" applyNumberFormat="1" applyFont="1" applyFill="1" applyBorder="1" applyProtection="1">
      <protection locked="0"/>
    </xf>
    <xf numFmtId="176" fontId="15" fillId="17" borderId="47" xfId="0" applyNumberFormat="1" applyFont="1" applyFill="1" applyBorder="1" applyProtection="1">
      <protection locked="0"/>
    </xf>
    <xf numFmtId="9" fontId="13" fillId="17" borderId="0" xfId="12" applyFont="1" applyFill="1" applyAlignment="1" applyProtection="1">
      <alignment horizontal="center"/>
      <protection locked="0"/>
    </xf>
    <xf numFmtId="0" fontId="13" fillId="17" borderId="0" xfId="0" applyFont="1" applyFill="1" applyProtection="1">
      <protection locked="0"/>
    </xf>
    <xf numFmtId="0" fontId="20" fillId="17" borderId="0" xfId="0" applyFont="1" applyFill="1" applyProtection="1">
      <protection locked="0"/>
    </xf>
    <xf numFmtId="0" fontId="13" fillId="17" borderId="0" xfId="0" applyFont="1" applyFill="1"/>
    <xf numFmtId="176" fontId="13" fillId="17" borderId="72" xfId="0" applyNumberFormat="1" applyFont="1" applyFill="1" applyBorder="1" applyProtection="1">
      <protection locked="0"/>
    </xf>
    <xf numFmtId="176" fontId="13" fillId="17" borderId="73" xfId="0" applyNumberFormat="1" applyFont="1" applyFill="1" applyBorder="1" applyProtection="1">
      <protection locked="0"/>
    </xf>
    <xf numFmtId="176" fontId="13" fillId="17" borderId="69" xfId="0" applyNumberFormat="1" applyFont="1" applyFill="1" applyBorder="1" applyProtection="1">
      <protection locked="0"/>
    </xf>
    <xf numFmtId="176" fontId="13" fillId="17" borderId="74" xfId="0" applyNumberFormat="1" applyFont="1" applyFill="1" applyBorder="1" applyProtection="1">
      <protection locked="0"/>
    </xf>
    <xf numFmtId="176" fontId="13" fillId="17" borderId="71" xfId="0" applyNumberFormat="1" applyFont="1" applyFill="1" applyBorder="1" applyProtection="1">
      <protection locked="0"/>
    </xf>
    <xf numFmtId="176" fontId="13" fillId="17" borderId="99" xfId="0" applyNumberFormat="1" applyFont="1" applyFill="1" applyBorder="1" applyProtection="1">
      <protection locked="0"/>
    </xf>
    <xf numFmtId="177" fontId="13" fillId="17" borderId="43" xfId="0" applyNumberFormat="1" applyFont="1" applyFill="1" applyBorder="1" applyProtection="1">
      <protection locked="0"/>
    </xf>
    <xf numFmtId="177" fontId="13" fillId="17" borderId="8" xfId="0" applyNumberFormat="1" applyFont="1" applyFill="1" applyBorder="1" applyProtection="1">
      <protection locked="0"/>
    </xf>
    <xf numFmtId="177" fontId="13" fillId="17" borderId="3" xfId="1" applyNumberFormat="1" applyFont="1" applyFill="1" applyBorder="1" applyProtection="1">
      <protection locked="0"/>
    </xf>
    <xf numFmtId="177" fontId="13" fillId="17" borderId="43" xfId="1" applyNumberFormat="1" applyFont="1" applyFill="1" applyBorder="1" applyProtection="1">
      <protection locked="0"/>
    </xf>
    <xf numFmtId="177" fontId="13" fillId="17" borderId="8" xfId="1" applyNumberFormat="1" applyFont="1" applyFill="1" applyBorder="1" applyProtection="1">
      <protection locked="0"/>
    </xf>
    <xf numFmtId="177" fontId="13" fillId="17" borderId="0" xfId="1" applyNumberFormat="1" applyFont="1" applyFill="1" applyBorder="1" applyProtection="1">
      <protection locked="0"/>
    </xf>
    <xf numFmtId="177" fontId="13" fillId="17" borderId="73" xfId="0" applyNumberFormat="1" applyFont="1" applyFill="1" applyBorder="1" applyProtection="1">
      <protection locked="0"/>
    </xf>
    <xf numFmtId="169" fontId="13" fillId="17" borderId="43" xfId="0" applyNumberFormat="1" applyFont="1" applyFill="1" applyBorder="1" applyProtection="1">
      <protection locked="0"/>
    </xf>
    <xf numFmtId="169" fontId="13" fillId="17" borderId="8" xfId="0" applyNumberFormat="1" applyFont="1" applyFill="1" applyBorder="1" applyProtection="1">
      <protection locked="0"/>
    </xf>
    <xf numFmtId="169" fontId="13" fillId="17" borderId="0" xfId="0" applyNumberFormat="1" applyFont="1" applyFill="1" applyBorder="1" applyProtection="1">
      <protection locked="0"/>
    </xf>
    <xf numFmtId="169" fontId="13" fillId="17" borderId="72" xfId="0" applyNumberFormat="1" applyFont="1" applyFill="1" applyBorder="1" applyProtection="1">
      <protection locked="0"/>
    </xf>
    <xf numFmtId="169" fontId="13" fillId="17" borderId="73" xfId="0" applyNumberFormat="1" applyFont="1" applyFill="1" applyBorder="1" applyProtection="1">
      <protection locked="0"/>
    </xf>
    <xf numFmtId="169" fontId="13" fillId="17" borderId="71" xfId="0" applyNumberFormat="1" applyFont="1" applyFill="1" applyBorder="1" applyProtection="1">
      <protection locked="0"/>
    </xf>
    <xf numFmtId="169" fontId="15" fillId="17" borderId="43" xfId="0" applyNumberFormat="1" applyFont="1" applyFill="1" applyBorder="1" applyProtection="1">
      <protection locked="0"/>
    </xf>
    <xf numFmtId="169" fontId="15" fillId="17" borderId="8" xfId="0" applyNumberFormat="1" applyFont="1" applyFill="1" applyBorder="1" applyProtection="1">
      <protection locked="0"/>
    </xf>
    <xf numFmtId="169" fontId="15" fillId="17" borderId="47" xfId="0" applyNumberFormat="1" applyFont="1" applyFill="1" applyBorder="1" applyProtection="1">
      <protection locked="0"/>
    </xf>
    <xf numFmtId="0" fontId="18" fillId="17" borderId="3" xfId="0" applyFont="1" applyFill="1" applyBorder="1" applyAlignment="1" applyProtection="1">
      <alignment horizontal="left" indent="1"/>
      <protection locked="0"/>
    </xf>
    <xf numFmtId="0" fontId="13" fillId="17" borderId="4" xfId="0" applyFont="1" applyFill="1" applyBorder="1" applyProtection="1">
      <protection locked="0"/>
    </xf>
    <xf numFmtId="176" fontId="13" fillId="17" borderId="38" xfId="0" applyNumberFormat="1" applyFont="1" applyFill="1" applyBorder="1" applyProtection="1">
      <protection locked="0"/>
    </xf>
    <xf numFmtId="176" fontId="13" fillId="17" borderId="7" xfId="0" applyNumberFormat="1" applyFont="1" applyFill="1" applyBorder="1" applyProtection="1">
      <protection locked="0"/>
    </xf>
    <xf numFmtId="176" fontId="13" fillId="17" borderId="12" xfId="0" applyNumberFormat="1" applyFont="1" applyFill="1" applyBorder="1" applyProtection="1">
      <protection locked="0"/>
    </xf>
    <xf numFmtId="176" fontId="13" fillId="17" borderId="6" xfId="0" applyNumberFormat="1" applyFont="1" applyFill="1" applyBorder="1" applyProtection="1">
      <protection locked="0"/>
    </xf>
    <xf numFmtId="176" fontId="13" fillId="17" borderId="45" xfId="0" applyNumberFormat="1" applyFont="1" applyFill="1" applyBorder="1" applyProtection="1">
      <protection locked="0"/>
    </xf>
    <xf numFmtId="176" fontId="13" fillId="17" borderId="36" xfId="0" applyNumberFormat="1" applyFont="1" applyFill="1" applyBorder="1" applyProtection="1">
      <protection locked="0"/>
    </xf>
    <xf numFmtId="176" fontId="13" fillId="17" borderId="10" xfId="0" applyNumberFormat="1" applyFont="1" applyFill="1" applyBorder="1" applyProtection="1">
      <protection locked="0"/>
    </xf>
    <xf numFmtId="176" fontId="13" fillId="17" borderId="4" xfId="0" applyNumberFormat="1" applyFont="1" applyFill="1" applyBorder="1" applyProtection="1">
      <protection locked="0"/>
    </xf>
    <xf numFmtId="176" fontId="13" fillId="17" borderId="9" xfId="0" applyNumberFormat="1" applyFont="1" applyFill="1" applyBorder="1" applyProtection="1">
      <protection locked="0"/>
    </xf>
    <xf numFmtId="176" fontId="13" fillId="17" borderId="64" xfId="0" applyNumberFormat="1" applyFont="1" applyFill="1" applyBorder="1" applyProtection="1">
      <protection locked="0"/>
    </xf>
    <xf numFmtId="0" fontId="13" fillId="17" borderId="3" xfId="0" applyFont="1" applyFill="1" applyBorder="1" applyAlignment="1" applyProtection="1">
      <alignment vertical="top" wrapText="1"/>
      <protection locked="0"/>
    </xf>
    <xf numFmtId="0" fontId="13" fillId="17" borderId="43" xfId="0" applyFont="1" applyFill="1" applyBorder="1" applyAlignment="1" applyProtection="1">
      <alignment vertical="top" wrapText="1"/>
      <protection locked="0"/>
    </xf>
    <xf numFmtId="176" fontId="13" fillId="17" borderId="43" xfId="0" applyNumberFormat="1" applyFont="1" applyFill="1" applyBorder="1" applyAlignment="1" applyProtection="1">
      <alignment vertical="top" wrapText="1"/>
      <protection locked="0"/>
    </xf>
    <xf numFmtId="176" fontId="13" fillId="17" borderId="8" xfId="0" applyNumberFormat="1" applyFont="1" applyFill="1" applyBorder="1" applyAlignment="1" applyProtection="1">
      <alignment vertical="top" wrapText="1"/>
      <protection locked="0"/>
    </xf>
    <xf numFmtId="176" fontId="13" fillId="17" borderId="3" xfId="0" applyNumberFormat="1" applyFont="1" applyFill="1" applyBorder="1" applyAlignment="1" applyProtection="1">
      <alignment vertical="top" wrapText="1"/>
      <protection locked="0"/>
    </xf>
    <xf numFmtId="176" fontId="13" fillId="17" borderId="0" xfId="0" applyNumberFormat="1" applyFont="1" applyFill="1" applyBorder="1" applyAlignment="1" applyProtection="1">
      <alignment vertical="top" wrapText="1"/>
      <protection locked="0"/>
    </xf>
    <xf numFmtId="176" fontId="13" fillId="17" borderId="47" xfId="0" applyNumberFormat="1" applyFont="1" applyFill="1" applyBorder="1" applyAlignment="1" applyProtection="1">
      <alignment vertical="top" wrapText="1"/>
      <protection locked="0"/>
    </xf>
    <xf numFmtId="0" fontId="15" fillId="17" borderId="43" xfId="0" applyFont="1" applyFill="1" applyBorder="1" applyAlignment="1" applyProtection="1">
      <alignment horizontal="center" vertical="top" wrapText="1"/>
      <protection locked="0"/>
    </xf>
    <xf numFmtId="0" fontId="15" fillId="17" borderId="8" xfId="0" applyFont="1" applyFill="1" applyBorder="1" applyAlignment="1" applyProtection="1">
      <alignment horizontal="left" vertical="top" wrapText="1"/>
      <protection locked="0"/>
    </xf>
    <xf numFmtId="168" fontId="13" fillId="17" borderId="8" xfId="12" applyNumberFormat="1" applyFont="1" applyFill="1" applyBorder="1" applyAlignment="1" applyProtection="1">
      <alignment horizontal="center" vertical="top" wrapText="1"/>
      <protection locked="0"/>
    </xf>
    <xf numFmtId="168" fontId="13" fillId="17" borderId="1" xfId="12" applyNumberFormat="1" applyFont="1" applyFill="1" applyBorder="1" applyAlignment="1" applyProtection="1">
      <alignment horizontal="center" vertical="top" wrapText="1"/>
      <protection locked="0"/>
    </xf>
    <xf numFmtId="168" fontId="13" fillId="17" borderId="11" xfId="12" applyNumberFormat="1" applyFont="1" applyFill="1" applyBorder="1" applyAlignment="1" applyProtection="1">
      <alignment horizontal="center" vertical="top" wrapText="1"/>
      <protection locked="0"/>
    </xf>
    <xf numFmtId="0" fontId="13" fillId="17" borderId="1" xfId="0" applyFont="1" applyFill="1" applyBorder="1" applyAlignment="1" applyProtection="1">
      <alignment horizontal="left" vertical="top" wrapText="1"/>
      <protection locked="0"/>
    </xf>
    <xf numFmtId="0" fontId="13" fillId="17" borderId="8" xfId="0" applyFont="1" applyFill="1" applyBorder="1" applyAlignment="1" applyProtection="1">
      <alignment horizontal="left" vertical="top" wrapText="1"/>
      <protection locked="0"/>
    </xf>
    <xf numFmtId="0" fontId="18" fillId="17" borderId="5" xfId="0" applyFont="1" applyFill="1" applyBorder="1" applyAlignment="1" applyProtection="1">
      <alignment horizontal="left" wrapText="1"/>
      <protection locked="0"/>
    </xf>
    <xf numFmtId="0" fontId="15" fillId="17" borderId="5" xfId="0" applyFont="1" applyFill="1" applyBorder="1" applyAlignment="1" applyProtection="1">
      <alignment horizontal="left" vertical="top" wrapText="1"/>
      <protection locked="0"/>
    </xf>
    <xf numFmtId="0" fontId="13" fillId="17" borderId="44" xfId="0" applyFont="1" applyFill="1" applyBorder="1" applyAlignment="1" applyProtection="1">
      <alignment horizontal="left" vertical="top" wrapText="1"/>
      <protection locked="0"/>
    </xf>
    <xf numFmtId="168" fontId="13" fillId="17" borderId="49" xfId="12" applyNumberFormat="1" applyFont="1" applyFill="1" applyBorder="1" applyAlignment="1" applyProtection="1">
      <alignment horizontal="center" vertical="top" wrapText="1"/>
      <protection locked="0"/>
    </xf>
    <xf numFmtId="168" fontId="13" fillId="17" borderId="44" xfId="12" applyNumberFormat="1" applyFont="1" applyFill="1" applyBorder="1" applyAlignment="1" applyProtection="1">
      <alignment horizontal="center" vertical="top" wrapText="1"/>
      <protection locked="0"/>
    </xf>
    <xf numFmtId="0" fontId="15" fillId="17" borderId="44" xfId="0" applyFont="1" applyFill="1" applyBorder="1" applyAlignment="1" applyProtection="1">
      <alignment horizontal="left" vertical="top" wrapText="1"/>
      <protection locked="0"/>
    </xf>
    <xf numFmtId="0" fontId="15" fillId="17" borderId="2" xfId="0" applyFont="1" applyFill="1" applyBorder="1" applyAlignment="1" applyProtection="1">
      <alignment horizontal="left" vertical="top" wrapText="1"/>
      <protection locked="0"/>
    </xf>
    <xf numFmtId="0" fontId="13" fillId="17" borderId="5" xfId="0" applyFont="1" applyFill="1" applyBorder="1" applyAlignment="1" applyProtection="1">
      <alignment horizontal="left" vertical="top" wrapText="1"/>
      <protection locked="0"/>
    </xf>
    <xf numFmtId="168" fontId="13" fillId="17" borderId="10" xfId="12" applyNumberFormat="1" applyFont="1" applyFill="1" applyBorder="1" applyAlignment="1" applyProtection="1">
      <alignment horizontal="center" vertical="top" wrapText="1"/>
      <protection locked="0"/>
    </xf>
    <xf numFmtId="168" fontId="13" fillId="17" borderId="5" xfId="12" applyNumberFormat="1" applyFont="1" applyFill="1" applyBorder="1" applyAlignment="1" applyProtection="1">
      <alignment horizontal="center" vertical="top" wrapText="1"/>
      <protection locked="0"/>
    </xf>
    <xf numFmtId="0" fontId="15" fillId="17" borderId="2" xfId="0" applyFont="1" applyFill="1" applyBorder="1" applyAlignment="1" applyProtection="1">
      <alignment horizontal="left" wrapText="1" indent="1"/>
      <protection locked="0"/>
    </xf>
    <xf numFmtId="177" fontId="13" fillId="17" borderId="101" xfId="12" applyNumberFormat="1" applyFont="1" applyFill="1" applyBorder="1" applyAlignment="1" applyProtection="1">
      <alignment horizontal="center" vertical="top" wrapText="1"/>
      <protection locked="0"/>
    </xf>
    <xf numFmtId="177" fontId="13" fillId="17" borderId="43" xfId="12" applyNumberFormat="1" applyFont="1" applyFill="1" applyBorder="1" applyAlignment="1" applyProtection="1">
      <alignment horizontal="center" vertical="top" wrapText="1"/>
      <protection locked="0"/>
    </xf>
    <xf numFmtId="177" fontId="13" fillId="17" borderId="8" xfId="12" applyNumberFormat="1" applyFont="1" applyFill="1" applyBorder="1" applyAlignment="1" applyProtection="1">
      <alignment horizontal="center" vertical="top" wrapText="1"/>
      <protection locked="0"/>
    </xf>
    <xf numFmtId="177" fontId="13" fillId="17" borderId="3" xfId="12" applyNumberFormat="1" applyFont="1" applyFill="1" applyBorder="1" applyAlignment="1" applyProtection="1">
      <alignment horizontal="center" vertical="top" wrapText="1"/>
      <protection locked="0"/>
    </xf>
    <xf numFmtId="177" fontId="13" fillId="17" borderId="0" xfId="12" applyNumberFormat="1" applyFont="1" applyFill="1" applyBorder="1" applyAlignment="1" applyProtection="1">
      <alignment horizontal="center" vertical="top" wrapText="1"/>
      <protection locked="0"/>
    </xf>
    <xf numFmtId="177" fontId="13" fillId="17" borderId="45" xfId="12" applyNumberFormat="1" applyFont="1" applyFill="1" applyBorder="1" applyAlignment="1" applyProtection="1">
      <alignment horizontal="center" vertical="top" wrapText="1"/>
      <protection locked="0"/>
    </xf>
    <xf numFmtId="0" fontId="18" fillId="17" borderId="2" xfId="0" applyFont="1" applyFill="1" applyBorder="1" applyAlignment="1" applyProtection="1">
      <alignment horizontal="left" wrapText="1" indent="1"/>
      <protection locked="0"/>
    </xf>
    <xf numFmtId="177" fontId="13" fillId="17" borderId="47" xfId="12" applyNumberFormat="1" applyFont="1" applyFill="1" applyBorder="1" applyAlignment="1" applyProtection="1">
      <alignment horizontal="center" vertical="top" wrapText="1"/>
      <protection locked="0"/>
    </xf>
    <xf numFmtId="0" fontId="18" fillId="17" borderId="11" xfId="0" applyFont="1" applyFill="1" applyBorder="1" applyAlignment="1" applyProtection="1">
      <alignment horizontal="left" wrapText="1" indent="1"/>
      <protection locked="0"/>
    </xf>
    <xf numFmtId="0" fontId="13" fillId="17" borderId="7" xfId="0" applyFont="1" applyFill="1" applyBorder="1" applyAlignment="1" applyProtection="1">
      <alignment horizontal="left" vertical="top" wrapText="1"/>
      <protection locked="0"/>
    </xf>
    <xf numFmtId="177" fontId="13" fillId="17" borderId="104" xfId="12" applyNumberFormat="1" applyFont="1" applyFill="1" applyBorder="1" applyAlignment="1" applyProtection="1">
      <alignment horizontal="center" vertical="top" wrapText="1"/>
      <protection locked="0"/>
    </xf>
    <xf numFmtId="177" fontId="13" fillId="17" borderId="38" xfId="12" applyNumberFormat="1" applyFont="1" applyFill="1" applyBorder="1" applyAlignment="1" applyProtection="1">
      <alignment horizontal="center" vertical="top" wrapText="1"/>
      <protection locked="0"/>
    </xf>
    <xf numFmtId="177" fontId="13" fillId="17" borderId="7" xfId="12" applyNumberFormat="1" applyFont="1" applyFill="1" applyBorder="1" applyAlignment="1" applyProtection="1">
      <alignment horizontal="center" vertical="top" wrapText="1"/>
      <protection locked="0"/>
    </xf>
    <xf numFmtId="177" fontId="13" fillId="17" borderId="12" xfId="12" applyNumberFormat="1" applyFont="1" applyFill="1" applyBorder="1" applyAlignment="1" applyProtection="1">
      <alignment horizontal="center" vertical="top" wrapText="1"/>
      <protection locked="0"/>
    </xf>
    <xf numFmtId="177" fontId="13" fillId="17" borderId="6" xfId="12" applyNumberFormat="1" applyFont="1" applyFill="1" applyBorder="1" applyAlignment="1" applyProtection="1">
      <alignment horizontal="center" vertical="top" wrapText="1"/>
      <protection locked="0"/>
    </xf>
    <xf numFmtId="0" fontId="13" fillId="17" borderId="8" xfId="0" applyFont="1" applyFill="1" applyBorder="1" applyAlignment="1" applyProtection="1">
      <alignment horizontal="left" wrapText="1"/>
      <protection locked="0"/>
    </xf>
    <xf numFmtId="177" fontId="13" fillId="17" borderId="101" xfId="0" applyNumberFormat="1" applyFont="1" applyFill="1" applyBorder="1" applyAlignment="1" applyProtection="1">
      <alignment horizontal="center" vertical="top" wrapText="1"/>
      <protection locked="0"/>
    </xf>
    <xf numFmtId="177" fontId="13" fillId="17" borderId="43" xfId="0" applyNumberFormat="1" applyFont="1" applyFill="1" applyBorder="1" applyAlignment="1" applyProtection="1">
      <alignment horizontal="center" vertical="top" wrapText="1"/>
      <protection locked="0"/>
    </xf>
    <xf numFmtId="177" fontId="13" fillId="17" borderId="8" xfId="0" applyNumberFormat="1" applyFont="1" applyFill="1" applyBorder="1" applyAlignment="1" applyProtection="1">
      <alignment horizontal="center" vertical="top" wrapText="1"/>
      <protection locked="0"/>
    </xf>
    <xf numFmtId="177" fontId="13" fillId="17" borderId="3" xfId="0" applyNumberFormat="1" applyFont="1" applyFill="1" applyBorder="1" applyAlignment="1" applyProtection="1">
      <alignment horizontal="center" vertical="top" wrapText="1"/>
      <protection locked="0"/>
    </xf>
    <xf numFmtId="177" fontId="13" fillId="17" borderId="0" xfId="0" applyNumberFormat="1" applyFont="1" applyFill="1" applyBorder="1" applyAlignment="1" applyProtection="1">
      <alignment horizontal="center" vertical="top" wrapText="1"/>
      <protection locked="0"/>
    </xf>
    <xf numFmtId="177" fontId="13" fillId="17" borderId="47" xfId="0" applyNumberFormat="1" applyFont="1" applyFill="1" applyBorder="1" applyAlignment="1" applyProtection="1">
      <alignment horizontal="center" vertical="top" wrapText="1"/>
      <protection locked="0"/>
    </xf>
    <xf numFmtId="0" fontId="15" fillId="17" borderId="11" xfId="0" applyFont="1" applyFill="1" applyBorder="1" applyAlignment="1" applyProtection="1">
      <alignment horizontal="left" vertical="top" wrapText="1"/>
      <protection locked="0"/>
    </xf>
    <xf numFmtId="177" fontId="13" fillId="17" borderId="104" xfId="1" applyNumberFormat="1" applyFont="1" applyFill="1" applyBorder="1" applyAlignment="1" applyProtection="1">
      <alignment horizontal="center" vertical="top" wrapText="1"/>
      <protection locked="0"/>
    </xf>
    <xf numFmtId="177" fontId="13" fillId="17" borderId="38" xfId="1" applyNumberFormat="1" applyFont="1" applyFill="1" applyBorder="1" applyAlignment="1" applyProtection="1">
      <alignment horizontal="center" vertical="top" wrapText="1"/>
      <protection locked="0"/>
    </xf>
    <xf numFmtId="177" fontId="13" fillId="17" borderId="7" xfId="1" applyNumberFormat="1" applyFont="1" applyFill="1" applyBorder="1" applyAlignment="1" applyProtection="1">
      <alignment horizontal="center" vertical="top" wrapText="1"/>
      <protection locked="0"/>
    </xf>
    <xf numFmtId="177" fontId="13" fillId="17" borderId="12" xfId="1" applyNumberFormat="1" applyFont="1" applyFill="1" applyBorder="1" applyAlignment="1" applyProtection="1">
      <alignment horizontal="center" vertical="top" wrapText="1"/>
      <protection locked="0"/>
    </xf>
    <xf numFmtId="177" fontId="13" fillId="17" borderId="6" xfId="1" applyNumberFormat="1" applyFont="1" applyFill="1" applyBorder="1" applyAlignment="1" applyProtection="1">
      <alignment horizontal="center" vertical="top" wrapText="1"/>
      <protection locked="0"/>
    </xf>
    <xf numFmtId="177" fontId="13" fillId="17" borderId="45" xfId="1" applyNumberFormat="1" applyFont="1" applyFill="1" applyBorder="1" applyAlignment="1" applyProtection="1">
      <alignment horizontal="center" vertical="top" wrapText="1"/>
      <protection locked="0"/>
    </xf>
    <xf numFmtId="177" fontId="13" fillId="17" borderId="101" xfId="1" applyNumberFormat="1" applyFont="1" applyFill="1" applyBorder="1" applyAlignment="1" applyProtection="1">
      <alignment horizontal="center" vertical="top" wrapText="1"/>
      <protection locked="0"/>
    </xf>
    <xf numFmtId="177" fontId="13" fillId="17" borderId="43" xfId="1" applyNumberFormat="1" applyFont="1" applyFill="1" applyBorder="1" applyAlignment="1" applyProtection="1">
      <alignment horizontal="center" vertical="top" wrapText="1"/>
      <protection locked="0"/>
    </xf>
    <xf numFmtId="177" fontId="13" fillId="17" borderId="8" xfId="1" applyNumberFormat="1" applyFont="1" applyFill="1" applyBorder="1" applyAlignment="1" applyProtection="1">
      <alignment horizontal="center" vertical="top" wrapText="1"/>
      <protection locked="0"/>
    </xf>
    <xf numFmtId="177" fontId="13" fillId="17" borderId="3" xfId="1" applyNumberFormat="1" applyFont="1" applyFill="1" applyBorder="1" applyAlignment="1" applyProtection="1">
      <alignment horizontal="center" vertical="top" wrapText="1"/>
      <protection locked="0"/>
    </xf>
    <xf numFmtId="177" fontId="13" fillId="17" borderId="0" xfId="1" applyNumberFormat="1" applyFont="1" applyFill="1" applyBorder="1" applyAlignment="1" applyProtection="1">
      <alignment horizontal="center" vertical="top" wrapText="1"/>
      <protection locked="0"/>
    </xf>
    <xf numFmtId="177" fontId="13" fillId="17" borderId="47" xfId="1" applyNumberFormat="1" applyFont="1" applyFill="1" applyBorder="1" applyAlignment="1" applyProtection="1">
      <alignment horizontal="center" vertical="top" wrapText="1"/>
      <protection locked="0"/>
    </xf>
    <xf numFmtId="0" fontId="13" fillId="17" borderId="10" xfId="0" applyFont="1" applyFill="1" applyBorder="1" applyAlignment="1" applyProtection="1">
      <alignment horizontal="left" vertical="top" wrapText="1"/>
      <protection locked="0"/>
    </xf>
    <xf numFmtId="177" fontId="13" fillId="17" borderId="95" xfId="0" applyNumberFormat="1" applyFont="1" applyFill="1" applyBorder="1" applyAlignment="1" applyProtection="1">
      <alignment horizontal="center" vertical="top" wrapText="1"/>
      <protection locked="0"/>
    </xf>
    <xf numFmtId="177" fontId="13" fillId="17" borderId="36" xfId="0" applyNumberFormat="1" applyFont="1" applyFill="1" applyBorder="1" applyAlignment="1" applyProtection="1">
      <alignment horizontal="center" vertical="top" wrapText="1"/>
      <protection locked="0"/>
    </xf>
    <xf numFmtId="177" fontId="13" fillId="17" borderId="10" xfId="0" applyNumberFormat="1" applyFont="1" applyFill="1" applyBorder="1" applyAlignment="1" applyProtection="1">
      <alignment horizontal="center" vertical="top" wrapText="1"/>
      <protection locked="0"/>
    </xf>
    <xf numFmtId="177" fontId="13" fillId="17" borderId="4" xfId="0" applyNumberFormat="1" applyFont="1" applyFill="1" applyBorder="1" applyAlignment="1" applyProtection="1">
      <alignment horizontal="center" vertical="top" wrapText="1"/>
      <protection locked="0"/>
    </xf>
    <xf numFmtId="177" fontId="13" fillId="17" borderId="9" xfId="0" applyNumberFormat="1" applyFont="1" applyFill="1" applyBorder="1" applyAlignment="1" applyProtection="1">
      <alignment horizontal="center" vertical="top" wrapText="1"/>
      <protection locked="0"/>
    </xf>
    <xf numFmtId="177" fontId="13" fillId="17" borderId="64" xfId="0" applyNumberFormat="1" applyFont="1" applyFill="1" applyBorder="1" applyAlignment="1" applyProtection="1">
      <alignment horizontal="center" vertical="top" wrapText="1"/>
      <protection locked="0"/>
    </xf>
    <xf numFmtId="0" fontId="13" fillId="17" borderId="43" xfId="0" applyNumberFormat="1" applyFont="1" applyFill="1" applyBorder="1" applyAlignment="1" applyProtection="1">
      <alignment horizontal="center" vertical="top" wrapText="1"/>
      <protection locked="0"/>
    </xf>
    <xf numFmtId="0" fontId="13" fillId="17" borderId="8" xfId="0" applyNumberFormat="1" applyFont="1" applyFill="1" applyBorder="1" applyAlignment="1" applyProtection="1">
      <alignment horizontal="center" vertical="top" wrapText="1"/>
      <protection locked="0"/>
    </xf>
    <xf numFmtId="0" fontId="13" fillId="17" borderId="3" xfId="0" applyNumberFormat="1" applyFont="1" applyFill="1" applyBorder="1" applyAlignment="1" applyProtection="1">
      <alignment horizontal="center" vertical="top" wrapText="1"/>
      <protection locked="0"/>
    </xf>
    <xf numFmtId="0" fontId="13" fillId="17" borderId="0" xfId="0" applyNumberFormat="1" applyFont="1" applyFill="1" applyBorder="1" applyAlignment="1" applyProtection="1">
      <alignment horizontal="center" vertical="top" wrapText="1"/>
      <protection locked="0"/>
    </xf>
    <xf numFmtId="168" fontId="13" fillId="17" borderId="47" xfId="12" applyNumberFormat="1" applyFont="1" applyFill="1" applyBorder="1" applyAlignment="1" applyProtection="1">
      <alignment horizontal="center" vertical="top" wrapText="1"/>
      <protection locked="0"/>
    </xf>
    <xf numFmtId="168" fontId="13" fillId="17" borderId="43" xfId="12" applyNumberFormat="1" applyFont="1" applyFill="1" applyBorder="1" applyAlignment="1" applyProtection="1">
      <alignment horizontal="center" vertical="top" wrapText="1"/>
      <protection locked="0"/>
    </xf>
    <xf numFmtId="168" fontId="13" fillId="17" borderId="3" xfId="12" applyNumberFormat="1" applyFont="1" applyFill="1" applyBorder="1" applyAlignment="1" applyProtection="1">
      <alignment horizontal="center" vertical="top" wrapText="1"/>
      <protection locked="0"/>
    </xf>
    <xf numFmtId="168" fontId="13" fillId="17" borderId="0" xfId="12" applyNumberFormat="1" applyFont="1" applyFill="1" applyBorder="1" applyAlignment="1" applyProtection="1">
      <alignment horizontal="center" vertical="top" wrapText="1"/>
      <protection locked="0"/>
    </xf>
    <xf numFmtId="168" fontId="13" fillId="17" borderId="47" xfId="0" applyNumberFormat="1" applyFont="1" applyFill="1" applyBorder="1" applyAlignment="1" applyProtection="1">
      <alignment horizontal="center" vertical="top" wrapText="1"/>
      <protection locked="0"/>
    </xf>
    <xf numFmtId="168" fontId="13" fillId="17" borderId="43" xfId="0" applyNumberFormat="1" applyFont="1" applyFill="1" applyBorder="1" applyAlignment="1" applyProtection="1">
      <alignment horizontal="center" vertical="top" wrapText="1"/>
      <protection locked="0"/>
    </xf>
    <xf numFmtId="168" fontId="13" fillId="17" borderId="8" xfId="0" applyNumberFormat="1" applyFont="1" applyFill="1" applyBorder="1" applyAlignment="1" applyProtection="1">
      <alignment horizontal="center" vertical="top" wrapText="1"/>
      <protection locked="0"/>
    </xf>
    <xf numFmtId="168" fontId="13" fillId="17" borderId="3" xfId="0" applyNumberFormat="1" applyFont="1" applyFill="1" applyBorder="1" applyAlignment="1" applyProtection="1">
      <alignment horizontal="center" vertical="top" wrapText="1"/>
      <protection locked="0"/>
    </xf>
    <xf numFmtId="168" fontId="13" fillId="17" borderId="0" xfId="0" applyNumberFormat="1" applyFont="1" applyFill="1" applyBorder="1" applyAlignment="1" applyProtection="1">
      <alignment horizontal="center" vertical="top" wrapText="1"/>
      <protection locked="0"/>
    </xf>
    <xf numFmtId="168" fontId="13" fillId="17" borderId="2" xfId="0" applyNumberFormat="1" applyFont="1" applyFill="1" applyBorder="1" applyAlignment="1" applyProtection="1">
      <alignment horizontal="center"/>
      <protection locked="0"/>
    </xf>
    <xf numFmtId="0" fontId="13" fillId="17" borderId="78" xfId="0" applyNumberFormat="1" applyFont="1" applyFill="1" applyBorder="1" applyAlignment="1" applyProtection="1">
      <alignment horizontal="left" vertical="top" wrapText="1"/>
      <protection locked="0"/>
    </xf>
    <xf numFmtId="176" fontId="13" fillId="17" borderId="78" xfId="1" applyNumberFormat="1" applyFont="1" applyFill="1" applyBorder="1" applyAlignment="1" applyProtection="1">
      <alignment horizontal="left" vertical="top" wrapText="1"/>
      <protection locked="0"/>
    </xf>
    <xf numFmtId="176" fontId="13" fillId="17" borderId="43" xfId="0" applyNumberFormat="1" applyFont="1" applyFill="1" applyBorder="1" applyAlignment="1" applyProtection="1">
      <alignment horizontal="center" vertical="top" wrapText="1"/>
      <protection locked="0"/>
    </xf>
    <xf numFmtId="176" fontId="13" fillId="17" borderId="8" xfId="0" applyNumberFormat="1" applyFont="1" applyFill="1" applyBorder="1" applyAlignment="1" applyProtection="1">
      <alignment horizontal="center" vertical="top" wrapText="1"/>
      <protection locked="0"/>
    </xf>
    <xf numFmtId="176" fontId="13" fillId="17" borderId="43" xfId="12" applyNumberFormat="1" applyFont="1" applyFill="1" applyBorder="1" applyAlignment="1" applyProtection="1">
      <alignment horizontal="center" vertical="top" wrapText="1"/>
      <protection locked="0"/>
    </xf>
    <xf numFmtId="176" fontId="13" fillId="17" borderId="8" xfId="12" applyNumberFormat="1" applyFont="1" applyFill="1" applyBorder="1" applyAlignment="1" applyProtection="1">
      <alignment horizontal="center" vertical="top" wrapText="1"/>
      <protection locked="0"/>
    </xf>
    <xf numFmtId="176" fontId="13" fillId="17" borderId="99" xfId="12" applyNumberFormat="1" applyFont="1" applyFill="1" applyBorder="1" applyAlignment="1" applyProtection="1">
      <alignment horizontal="center" vertical="top" wrapText="1"/>
      <protection locked="0"/>
    </xf>
    <xf numFmtId="176" fontId="13" fillId="17" borderId="72" xfId="12" applyNumberFormat="1" applyFont="1" applyFill="1" applyBorder="1" applyAlignment="1" applyProtection="1">
      <alignment horizontal="center" vertical="top" wrapText="1"/>
      <protection locked="0"/>
    </xf>
    <xf numFmtId="176" fontId="13" fillId="17" borderId="73" xfId="12" applyNumberFormat="1" applyFont="1" applyFill="1" applyBorder="1" applyAlignment="1" applyProtection="1">
      <alignment horizontal="center" vertical="top" wrapText="1"/>
      <protection locked="0"/>
    </xf>
    <xf numFmtId="0" fontId="13" fillId="17" borderId="3" xfId="0" applyNumberFormat="1" applyFont="1" applyFill="1" applyBorder="1" applyAlignment="1" applyProtection="1">
      <alignment horizontal="left" vertical="top" wrapText="1" indent="1"/>
      <protection locked="0"/>
    </xf>
    <xf numFmtId="177" fontId="13" fillId="17" borderId="78" xfId="1" applyNumberFormat="1" applyFont="1" applyFill="1" applyBorder="1" applyAlignment="1" applyProtection="1">
      <alignment horizontal="left" vertical="top" wrapText="1"/>
      <protection locked="0"/>
    </xf>
    <xf numFmtId="0" fontId="13" fillId="17" borderId="69" xfId="0" applyNumberFormat="1" applyFont="1" applyFill="1" applyBorder="1" applyAlignment="1" applyProtection="1">
      <alignment horizontal="left" vertical="top" wrapText="1" indent="1"/>
      <protection locked="0"/>
    </xf>
    <xf numFmtId="177" fontId="13" fillId="17" borderId="99" xfId="1" applyNumberFormat="1" applyFont="1" applyFill="1" applyBorder="1" applyAlignment="1" applyProtection="1">
      <alignment horizontal="left" vertical="top" wrapText="1"/>
      <protection locked="0"/>
    </xf>
    <xf numFmtId="177" fontId="13" fillId="17" borderId="72" xfId="0" applyNumberFormat="1" applyFont="1" applyFill="1" applyBorder="1" applyAlignment="1" applyProtection="1">
      <alignment horizontal="center" vertical="top" wrapText="1"/>
      <protection locked="0"/>
    </xf>
    <xf numFmtId="177" fontId="13" fillId="17" borderId="73" xfId="0" applyNumberFormat="1" applyFont="1" applyFill="1" applyBorder="1" applyAlignment="1" applyProtection="1">
      <alignment horizontal="center" vertical="top" wrapText="1"/>
      <protection locked="0"/>
    </xf>
    <xf numFmtId="165" fontId="13" fillId="17" borderId="78" xfId="1" applyNumberFormat="1" applyFont="1" applyFill="1" applyBorder="1" applyAlignment="1" applyProtection="1">
      <alignment horizontal="left" vertical="top" wrapText="1"/>
      <protection locked="0"/>
    </xf>
    <xf numFmtId="2" fontId="13" fillId="17" borderId="3" xfId="1" applyNumberFormat="1" applyFont="1" applyFill="1" applyBorder="1" applyAlignment="1" applyProtection="1">
      <alignment horizontal="center" vertical="top" wrapText="1"/>
      <protection locked="0"/>
    </xf>
    <xf numFmtId="2" fontId="13" fillId="17" borderId="43" xfId="1" applyNumberFormat="1" applyFont="1" applyFill="1" applyBorder="1" applyAlignment="1" applyProtection="1">
      <alignment horizontal="center" vertical="top" wrapText="1"/>
      <protection locked="0"/>
    </xf>
    <xf numFmtId="2" fontId="13" fillId="17" borderId="68" xfId="1" applyNumberFormat="1" applyFont="1" applyFill="1" applyBorder="1" applyAlignment="1" applyProtection="1">
      <alignment horizontal="center" vertical="top" wrapText="1"/>
      <protection locked="0"/>
    </xf>
    <xf numFmtId="2" fontId="13" fillId="17" borderId="1" xfId="1" applyNumberFormat="1" applyFont="1" applyFill="1" applyBorder="1" applyAlignment="1" applyProtection="1">
      <alignment horizontal="center" vertical="top" wrapText="1"/>
      <protection locked="0"/>
    </xf>
    <xf numFmtId="2" fontId="13" fillId="17" borderId="0" xfId="1" applyNumberFormat="1" applyFont="1" applyFill="1" applyBorder="1" applyAlignment="1" applyProtection="1">
      <alignment horizontal="center" vertical="top" wrapText="1"/>
      <protection locked="0"/>
    </xf>
    <xf numFmtId="2" fontId="13" fillId="17" borderId="8" xfId="1" applyNumberFormat="1" applyFont="1" applyFill="1" applyBorder="1" applyAlignment="1" applyProtection="1">
      <alignment horizontal="center" vertical="top" wrapText="1"/>
      <protection locked="0"/>
    </xf>
    <xf numFmtId="176" fontId="13" fillId="17" borderId="1" xfId="0" applyNumberFormat="1" applyFont="1" applyFill="1" applyBorder="1" applyProtection="1">
      <protection locked="0"/>
    </xf>
    <xf numFmtId="165" fontId="13" fillId="17" borderId="99" xfId="1" applyNumberFormat="1" applyFont="1" applyFill="1" applyBorder="1" applyAlignment="1" applyProtection="1">
      <alignment horizontal="left" vertical="top" wrapText="1"/>
      <protection locked="0"/>
    </xf>
    <xf numFmtId="165" fontId="13" fillId="17" borderId="72" xfId="1" applyNumberFormat="1" applyFont="1" applyFill="1" applyBorder="1" applyProtection="1">
      <protection locked="0"/>
    </xf>
    <xf numFmtId="165" fontId="13" fillId="17" borderId="70" xfId="1" applyNumberFormat="1" applyFont="1" applyFill="1" applyBorder="1" applyProtection="1">
      <protection locked="0"/>
    </xf>
    <xf numFmtId="165" fontId="13" fillId="17" borderId="99" xfId="1" applyNumberFormat="1" applyFont="1" applyFill="1" applyBorder="1" applyProtection="1">
      <protection locked="0"/>
    </xf>
    <xf numFmtId="165" fontId="13" fillId="17" borderId="43" xfId="1" applyNumberFormat="1" applyFont="1" applyFill="1" applyBorder="1" applyAlignment="1" applyProtection="1">
      <alignment horizontal="center" vertical="top" wrapText="1"/>
      <protection locked="0"/>
    </xf>
    <xf numFmtId="165" fontId="13" fillId="17" borderId="1" xfId="1" applyNumberFormat="1" applyFont="1" applyFill="1" applyBorder="1" applyAlignment="1" applyProtection="1">
      <alignment horizontal="center" vertical="top" wrapText="1"/>
      <protection locked="0"/>
    </xf>
    <xf numFmtId="165" fontId="13" fillId="17" borderId="0" xfId="1" applyNumberFormat="1" applyFont="1" applyFill="1" applyBorder="1" applyAlignment="1" applyProtection="1">
      <alignment horizontal="center" vertical="top" wrapText="1"/>
      <protection locked="0"/>
    </xf>
    <xf numFmtId="165" fontId="13" fillId="17" borderId="8" xfId="1" applyNumberFormat="1" applyFont="1" applyFill="1" applyBorder="1" applyAlignment="1" applyProtection="1">
      <alignment horizontal="center" vertical="top" wrapText="1"/>
      <protection locked="0"/>
    </xf>
    <xf numFmtId="165" fontId="13" fillId="17" borderId="100" xfId="1" applyNumberFormat="1" applyFont="1" applyFill="1" applyBorder="1" applyAlignment="1" applyProtection="1">
      <alignment horizontal="left" vertical="top" wrapText="1"/>
      <protection locked="0"/>
    </xf>
    <xf numFmtId="165" fontId="13" fillId="17" borderId="72" xfId="1" applyNumberFormat="1" applyFont="1" applyFill="1" applyBorder="1" applyAlignment="1" applyProtection="1">
      <alignment horizontal="center" vertical="top" wrapText="1"/>
      <protection locked="0"/>
    </xf>
    <xf numFmtId="165" fontId="13" fillId="17" borderId="73" xfId="1" applyNumberFormat="1" applyFont="1" applyFill="1" applyBorder="1" applyAlignment="1" applyProtection="1">
      <alignment horizontal="center" vertical="top" wrapText="1"/>
      <protection locked="0"/>
    </xf>
    <xf numFmtId="0" fontId="15" fillId="17" borderId="3" xfId="0" applyNumberFormat="1" applyFont="1" applyFill="1" applyBorder="1" applyAlignment="1" applyProtection="1">
      <alignment horizontal="left" vertical="top" wrapText="1" indent="1"/>
      <protection locked="0"/>
    </xf>
    <xf numFmtId="165" fontId="13" fillId="17" borderId="1" xfId="1" applyNumberFormat="1" applyFont="1" applyFill="1" applyBorder="1" applyAlignment="1" applyProtection="1">
      <alignment horizontal="left" vertical="top" wrapText="1"/>
      <protection locked="0"/>
    </xf>
    <xf numFmtId="0" fontId="15" fillId="17" borderId="69" xfId="0" applyNumberFormat="1" applyFont="1" applyFill="1" applyBorder="1" applyAlignment="1" applyProtection="1">
      <alignment horizontal="left" vertical="top" wrapText="1" indent="1"/>
      <protection locked="0"/>
    </xf>
    <xf numFmtId="165" fontId="13" fillId="17" borderId="88" xfId="1" applyNumberFormat="1" applyFont="1" applyFill="1" applyBorder="1" applyAlignment="1" applyProtection="1">
      <alignment horizontal="left" vertical="top" wrapText="1"/>
      <protection locked="0"/>
    </xf>
    <xf numFmtId="165" fontId="13" fillId="17" borderId="87" xfId="1" applyNumberFormat="1" applyFont="1" applyFill="1" applyBorder="1" applyAlignment="1" applyProtection="1">
      <alignment horizontal="left" vertical="top" wrapText="1"/>
      <protection locked="0"/>
    </xf>
    <xf numFmtId="165" fontId="13" fillId="17" borderId="60" xfId="1" applyNumberFormat="1" applyFont="1" applyFill="1" applyBorder="1" applyAlignment="1" applyProtection="1">
      <alignment horizontal="center" vertical="top" wrapText="1"/>
      <protection locked="0"/>
    </xf>
    <xf numFmtId="165" fontId="13" fillId="17" borderId="103" xfId="1" applyNumberFormat="1" applyFont="1" applyFill="1" applyBorder="1" applyAlignment="1" applyProtection="1">
      <alignment horizontal="center" vertical="top" wrapText="1"/>
      <protection locked="0"/>
    </xf>
    <xf numFmtId="165" fontId="13" fillId="17" borderId="88" xfId="1" applyNumberFormat="1" applyFont="1" applyFill="1" applyBorder="1" applyAlignment="1" applyProtection="1">
      <alignment horizontal="center" vertical="top" wrapText="1"/>
      <protection locked="0"/>
    </xf>
    <xf numFmtId="165" fontId="13" fillId="17" borderId="59" xfId="1" applyNumberFormat="1" applyFont="1" applyFill="1" applyBorder="1" applyAlignment="1" applyProtection="1">
      <alignment horizontal="center" vertical="top" wrapText="1"/>
      <protection locked="0"/>
    </xf>
    <xf numFmtId="165" fontId="13" fillId="17" borderId="61" xfId="1" applyNumberFormat="1" applyFont="1" applyFill="1" applyBorder="1" applyAlignment="1" applyProtection="1">
      <alignment horizontal="center" vertical="top" wrapText="1"/>
      <protection locked="0"/>
    </xf>
    <xf numFmtId="168" fontId="13" fillId="17" borderId="68" xfId="0" applyNumberFormat="1" applyFont="1" applyFill="1" applyBorder="1" applyAlignment="1" applyProtection="1">
      <alignment horizontal="center" vertical="top" wrapText="1"/>
      <protection locked="0"/>
    </xf>
    <xf numFmtId="168" fontId="13" fillId="17" borderId="1" xfId="0" applyNumberFormat="1" applyFont="1" applyFill="1" applyBorder="1" applyAlignment="1" applyProtection="1">
      <alignment horizontal="center" vertical="top" wrapText="1"/>
      <protection locked="0"/>
    </xf>
    <xf numFmtId="168" fontId="13" fillId="17" borderId="43" xfId="1" applyNumberFormat="1" applyFont="1" applyFill="1" applyBorder="1" applyAlignment="1" applyProtection="1">
      <alignment horizontal="center" vertical="top" wrapText="1"/>
      <protection locked="0"/>
    </xf>
    <xf numFmtId="168" fontId="13" fillId="17" borderId="68" xfId="1" applyNumberFormat="1" applyFont="1" applyFill="1" applyBorder="1" applyAlignment="1" applyProtection="1">
      <alignment horizontal="center" vertical="top" wrapText="1"/>
      <protection locked="0"/>
    </xf>
    <xf numFmtId="168" fontId="13" fillId="17" borderId="0" xfId="1" applyNumberFormat="1" applyFont="1" applyFill="1" applyBorder="1" applyAlignment="1" applyProtection="1">
      <alignment horizontal="center" vertical="top" wrapText="1"/>
      <protection locked="0"/>
    </xf>
    <xf numFmtId="168" fontId="13" fillId="17" borderId="8" xfId="1" applyNumberFormat="1" applyFont="1" applyFill="1" applyBorder="1" applyAlignment="1" applyProtection="1">
      <alignment horizontal="center" vertical="top" wrapText="1"/>
      <protection locked="0"/>
    </xf>
    <xf numFmtId="0" fontId="18" fillId="17" borderId="0" xfId="0" applyFont="1" applyFill="1" applyProtection="1">
      <protection locked="0"/>
    </xf>
    <xf numFmtId="0" fontId="13" fillId="17" borderId="0" xfId="0" applyNumberFormat="1" applyFont="1" applyFill="1" applyBorder="1" applyAlignment="1" applyProtection="1">
      <alignment horizontal="center"/>
      <protection locked="0"/>
    </xf>
    <xf numFmtId="0" fontId="13" fillId="17" borderId="43" xfId="0" applyNumberFormat="1" applyFont="1" applyFill="1" applyBorder="1" applyAlignment="1" applyProtection="1">
      <alignment horizontal="center"/>
      <protection locked="0"/>
    </xf>
    <xf numFmtId="0" fontId="13" fillId="17" borderId="78" xfId="0" applyNumberFormat="1" applyFont="1" applyFill="1" applyBorder="1" applyAlignment="1" applyProtection="1">
      <alignment horizontal="center"/>
      <protection locked="0"/>
    </xf>
    <xf numFmtId="0" fontId="13" fillId="17" borderId="8" xfId="0" applyNumberFormat="1" applyFont="1" applyFill="1" applyBorder="1" applyAlignment="1" applyProtection="1">
      <alignment horizontal="center"/>
      <protection locked="0"/>
    </xf>
    <xf numFmtId="14" fontId="13" fillId="17" borderId="8" xfId="0" applyNumberFormat="1" applyFont="1" applyFill="1" applyBorder="1" applyAlignment="1" applyProtection="1">
      <alignment horizontal="center"/>
      <protection locked="0"/>
    </xf>
    <xf numFmtId="14" fontId="13" fillId="17" borderId="3" xfId="0" applyNumberFormat="1" applyFont="1" applyFill="1" applyBorder="1" applyAlignment="1" applyProtection="1">
      <alignment horizontal="center"/>
      <protection locked="0"/>
    </xf>
    <xf numFmtId="0" fontId="15" fillId="17" borderId="43" xfId="0" applyNumberFormat="1" applyFont="1" applyFill="1" applyBorder="1" applyAlignment="1" applyProtection="1">
      <alignment horizontal="center"/>
      <protection locked="0"/>
    </xf>
    <xf numFmtId="0" fontId="15" fillId="17" borderId="8" xfId="0" applyNumberFormat="1" applyFont="1" applyFill="1" applyBorder="1" applyAlignment="1" applyProtection="1">
      <alignment horizontal="center"/>
      <protection locked="0"/>
    </xf>
    <xf numFmtId="177" fontId="15" fillId="17" borderId="8" xfId="1" applyNumberFormat="1" applyFont="1" applyFill="1" applyBorder="1" applyAlignment="1" applyProtection="1">
      <protection locked="0"/>
    </xf>
    <xf numFmtId="177" fontId="13" fillId="17" borderId="8" xfId="1" applyNumberFormat="1" applyFont="1" applyFill="1" applyBorder="1" applyAlignment="1" applyProtection="1">
      <protection locked="0"/>
    </xf>
    <xf numFmtId="175" fontId="13" fillId="17" borderId="43" xfId="1" applyNumberFormat="1" applyFont="1" applyFill="1" applyBorder="1" applyProtection="1">
      <protection locked="0"/>
    </xf>
    <xf numFmtId="175" fontId="13" fillId="17" borderId="8" xfId="1" applyNumberFormat="1" applyFont="1" applyFill="1" applyBorder="1" applyProtection="1">
      <protection locked="0"/>
    </xf>
    <xf numFmtId="175" fontId="13" fillId="17" borderId="3" xfId="1" applyNumberFormat="1" applyFont="1" applyFill="1" applyBorder="1" applyProtection="1">
      <protection locked="0"/>
    </xf>
    <xf numFmtId="175" fontId="13" fillId="17" borderId="78" xfId="1" applyNumberFormat="1" applyFont="1" applyFill="1" applyBorder="1" applyProtection="1">
      <protection locked="0"/>
    </xf>
    <xf numFmtId="175" fontId="13" fillId="17" borderId="0" xfId="1" applyNumberFormat="1" applyFont="1" applyFill="1" applyBorder="1" applyProtection="1">
      <protection locked="0"/>
    </xf>
    <xf numFmtId="175" fontId="13" fillId="17" borderId="43" xfId="0" applyNumberFormat="1" applyFont="1" applyFill="1" applyBorder="1" applyProtection="1">
      <protection locked="0"/>
    </xf>
    <xf numFmtId="175" fontId="13" fillId="17" borderId="8" xfId="0" applyNumberFormat="1" applyFont="1" applyFill="1" applyBorder="1" applyProtection="1">
      <protection locked="0"/>
    </xf>
    <xf numFmtId="175" fontId="13" fillId="17" borderId="3" xfId="0" applyNumberFormat="1" applyFont="1" applyFill="1" applyBorder="1" applyProtection="1">
      <protection locked="0"/>
    </xf>
    <xf numFmtId="175" fontId="13" fillId="17" borderId="78" xfId="0" applyNumberFormat="1" applyFont="1" applyFill="1" applyBorder="1" applyProtection="1">
      <protection locked="0"/>
    </xf>
    <xf numFmtId="175" fontId="13" fillId="17" borderId="0" xfId="0" applyNumberFormat="1" applyFont="1" applyFill="1" applyBorder="1" applyProtection="1">
      <protection locked="0"/>
    </xf>
    <xf numFmtId="175" fontId="15" fillId="17" borderId="43" xfId="0" applyNumberFormat="1" applyFont="1" applyFill="1" applyBorder="1" applyProtection="1">
      <protection locked="0"/>
    </xf>
    <xf numFmtId="175" fontId="15" fillId="17" borderId="8" xfId="0" applyNumberFormat="1" applyFont="1" applyFill="1" applyBorder="1" applyProtection="1">
      <protection locked="0"/>
    </xf>
    <xf numFmtId="43" fontId="13" fillId="17" borderId="43" xfId="1" applyFont="1" applyFill="1" applyBorder="1" applyProtection="1">
      <protection locked="0"/>
    </xf>
    <xf numFmtId="43" fontId="13" fillId="17" borderId="8" xfId="1" applyFont="1" applyFill="1" applyBorder="1" applyProtection="1">
      <protection locked="0"/>
    </xf>
    <xf numFmtId="43" fontId="13" fillId="17" borderId="3" xfId="1" applyFont="1" applyFill="1" applyBorder="1" applyProtection="1">
      <protection locked="0"/>
    </xf>
    <xf numFmtId="43" fontId="13" fillId="17" borderId="78" xfId="1" applyFont="1" applyFill="1" applyBorder="1" applyProtection="1">
      <protection locked="0"/>
    </xf>
    <xf numFmtId="43" fontId="13" fillId="17" borderId="0" xfId="1" applyFont="1" applyFill="1" applyBorder="1" applyProtection="1">
      <protection locked="0"/>
    </xf>
    <xf numFmtId="0" fontId="13" fillId="17" borderId="0" xfId="1" applyNumberFormat="1" applyFont="1" applyFill="1" applyBorder="1" applyAlignment="1" applyProtection="1">
      <alignment horizontal="center"/>
      <protection locked="0"/>
    </xf>
    <xf numFmtId="171" fontId="13" fillId="17" borderId="8" xfId="0" applyNumberFormat="1" applyFont="1" applyFill="1" applyBorder="1" applyAlignment="1" applyProtection="1">
      <alignment horizontal="center"/>
      <protection locked="0"/>
    </xf>
    <xf numFmtId="171" fontId="13" fillId="17" borderId="3" xfId="0" applyNumberFormat="1" applyFont="1" applyFill="1" applyBorder="1" applyAlignment="1" applyProtection="1">
      <alignment horizontal="center"/>
      <protection locked="0"/>
    </xf>
    <xf numFmtId="171" fontId="13" fillId="17" borderId="43" xfId="12" applyNumberFormat="1" applyFont="1" applyFill="1" applyBorder="1" applyAlignment="1" applyProtection="1">
      <alignment horizontal="center"/>
      <protection locked="0"/>
    </xf>
    <xf numFmtId="171" fontId="13" fillId="17" borderId="8" xfId="12" applyNumberFormat="1" applyFont="1" applyFill="1" applyBorder="1" applyAlignment="1" applyProtection="1">
      <alignment horizontal="center"/>
      <protection locked="0"/>
    </xf>
    <xf numFmtId="171" fontId="13" fillId="17" borderId="3" xfId="12" applyNumberFormat="1" applyFont="1" applyFill="1" applyBorder="1" applyAlignment="1" applyProtection="1">
      <alignment horizontal="center"/>
      <protection locked="0"/>
    </xf>
    <xf numFmtId="171" fontId="13" fillId="17" borderId="78" xfId="12" applyNumberFormat="1" applyFont="1" applyFill="1" applyBorder="1" applyAlignment="1" applyProtection="1">
      <alignment horizontal="center"/>
      <protection locked="0"/>
    </xf>
    <xf numFmtId="176" fontId="13" fillId="17" borderId="43" xfId="12" applyNumberFormat="1" applyFont="1" applyFill="1" applyBorder="1" applyAlignment="1" applyProtection="1">
      <alignment horizontal="center"/>
      <protection locked="0"/>
    </xf>
    <xf numFmtId="176" fontId="13" fillId="17" borderId="8" xfId="12" applyNumberFormat="1" applyFont="1" applyFill="1" applyBorder="1" applyAlignment="1" applyProtection="1">
      <alignment horizontal="center"/>
      <protection locked="0"/>
    </xf>
    <xf numFmtId="176" fontId="13" fillId="17" borderId="3" xfId="12" applyNumberFormat="1" applyFont="1" applyFill="1" applyBorder="1" applyAlignment="1" applyProtection="1">
      <alignment horizontal="center"/>
      <protection locked="0"/>
    </xf>
    <xf numFmtId="176" fontId="13" fillId="17" borderId="78" xfId="12" applyNumberFormat="1" applyFont="1" applyFill="1" applyBorder="1" applyAlignment="1" applyProtection="1">
      <alignment horizontal="center"/>
      <protection locked="0"/>
    </xf>
    <xf numFmtId="176" fontId="13" fillId="17" borderId="0" xfId="12" applyNumberFormat="1" applyFont="1" applyFill="1" applyBorder="1" applyAlignment="1" applyProtection="1">
      <alignment horizontal="center"/>
      <protection locked="0"/>
    </xf>
    <xf numFmtId="176" fontId="13" fillId="17" borderId="46" xfId="12" applyNumberFormat="1" applyFont="1" applyFill="1" applyBorder="1" applyAlignment="1" applyProtection="1">
      <alignment horizontal="center"/>
      <protection locked="0"/>
    </xf>
    <xf numFmtId="176" fontId="13" fillId="17" borderId="49" xfId="12" applyNumberFormat="1" applyFont="1" applyFill="1" applyBorder="1" applyAlignment="1" applyProtection="1">
      <alignment horizontal="center"/>
      <protection locked="0"/>
    </xf>
    <xf numFmtId="176" fontId="13" fillId="17" borderId="50" xfId="12" applyNumberFormat="1" applyFont="1" applyFill="1" applyBorder="1" applyAlignment="1" applyProtection="1">
      <alignment horizontal="center"/>
      <protection locked="0"/>
    </xf>
    <xf numFmtId="176" fontId="13" fillId="17" borderId="80" xfId="12" applyNumberFormat="1" applyFont="1" applyFill="1" applyBorder="1" applyAlignment="1" applyProtection="1">
      <alignment horizontal="center"/>
      <protection locked="0"/>
    </xf>
    <xf numFmtId="176" fontId="13" fillId="17" borderId="48" xfId="12" applyNumberFormat="1" applyFont="1" applyFill="1" applyBorder="1" applyAlignment="1" applyProtection="1">
      <alignment horizontal="center"/>
      <protection locked="0"/>
    </xf>
    <xf numFmtId="176" fontId="13" fillId="17" borderId="49" xfId="0" applyNumberFormat="1" applyFont="1" applyFill="1" applyBorder="1" applyProtection="1">
      <protection locked="0"/>
    </xf>
    <xf numFmtId="176" fontId="13" fillId="17" borderId="72" xfId="12" applyNumberFormat="1" applyFont="1" applyFill="1" applyBorder="1" applyAlignment="1" applyProtection="1">
      <alignment horizontal="center"/>
      <protection locked="0"/>
    </xf>
    <xf numFmtId="176" fontId="13" fillId="17" borderId="73" xfId="12" applyNumberFormat="1" applyFont="1" applyFill="1" applyBorder="1" applyAlignment="1" applyProtection="1">
      <alignment horizontal="center"/>
      <protection locked="0"/>
    </xf>
    <xf numFmtId="176" fontId="13" fillId="17" borderId="69" xfId="12" applyNumberFormat="1" applyFont="1" applyFill="1" applyBorder="1" applyAlignment="1" applyProtection="1">
      <alignment horizontal="center"/>
      <protection locked="0"/>
    </xf>
    <xf numFmtId="176" fontId="13" fillId="17" borderId="99" xfId="12" applyNumberFormat="1" applyFont="1" applyFill="1" applyBorder="1" applyAlignment="1" applyProtection="1">
      <alignment horizontal="center"/>
      <protection locked="0"/>
    </xf>
    <xf numFmtId="176" fontId="13" fillId="17" borderId="74" xfId="12" applyNumberFormat="1" applyFont="1" applyFill="1" applyBorder="1" applyAlignment="1" applyProtection="1">
      <alignment horizontal="center"/>
      <protection locked="0"/>
    </xf>
    <xf numFmtId="177" fontId="13" fillId="17" borderId="78" xfId="1" applyNumberFormat="1" applyFont="1" applyFill="1" applyBorder="1" applyProtection="1">
      <protection locked="0"/>
    </xf>
    <xf numFmtId="177" fontId="13" fillId="17" borderId="78" xfId="0" applyNumberFormat="1" applyFont="1" applyFill="1" applyBorder="1" applyProtection="1">
      <protection locked="0"/>
    </xf>
    <xf numFmtId="0" fontId="13" fillId="17" borderId="43" xfId="1" applyNumberFormat="1" applyFont="1" applyFill="1" applyBorder="1" applyAlignment="1" applyProtection="1">
      <alignment horizontal="center"/>
      <protection locked="0"/>
    </xf>
    <xf numFmtId="0" fontId="13" fillId="17" borderId="78" xfId="1" applyNumberFormat="1" applyFont="1" applyFill="1" applyBorder="1" applyAlignment="1" applyProtection="1">
      <alignment horizontal="center"/>
      <protection locked="0"/>
    </xf>
    <xf numFmtId="175" fontId="15" fillId="17" borderId="78" xfId="0" applyNumberFormat="1" applyFont="1" applyFill="1" applyBorder="1" applyProtection="1">
      <protection locked="0"/>
    </xf>
    <xf numFmtId="179" fontId="13" fillId="17" borderId="43" xfId="1" applyNumberFormat="1" applyFont="1" applyFill="1" applyBorder="1" applyProtection="1">
      <protection locked="0"/>
    </xf>
    <xf numFmtId="179" fontId="13" fillId="17" borderId="78" xfId="1" applyNumberFormat="1" applyFont="1" applyFill="1" applyBorder="1" applyProtection="1">
      <protection locked="0"/>
    </xf>
    <xf numFmtId="176" fontId="13" fillId="17" borderId="46" xfId="1" applyNumberFormat="1" applyFont="1" applyFill="1" applyBorder="1" applyProtection="1">
      <protection locked="0"/>
    </xf>
    <xf numFmtId="176" fontId="13" fillId="17" borderId="80" xfId="1" applyNumberFormat="1" applyFont="1" applyFill="1" applyBorder="1" applyProtection="1">
      <protection locked="0"/>
    </xf>
    <xf numFmtId="180" fontId="13" fillId="17" borderId="43" xfId="1" applyNumberFormat="1" applyFont="1" applyFill="1" applyBorder="1" applyAlignment="1" applyProtection="1">
      <alignment vertical="top" wrapText="1"/>
      <protection locked="0"/>
    </xf>
    <xf numFmtId="180" fontId="13" fillId="17" borderId="8" xfId="1" applyNumberFormat="1" applyFont="1" applyFill="1" applyBorder="1" applyAlignment="1" applyProtection="1">
      <alignment vertical="top" wrapText="1"/>
      <protection locked="0"/>
    </xf>
    <xf numFmtId="180" fontId="13" fillId="17" borderId="3" xfId="1" applyNumberFormat="1" applyFont="1" applyFill="1" applyBorder="1" applyAlignment="1" applyProtection="1">
      <alignment vertical="top" wrapText="1"/>
      <protection locked="0"/>
    </xf>
    <xf numFmtId="180" fontId="13" fillId="17" borderId="0" xfId="1" applyNumberFormat="1" applyFont="1" applyFill="1" applyBorder="1" applyAlignment="1" applyProtection="1">
      <alignment vertical="top" wrapText="1"/>
      <protection locked="0"/>
    </xf>
    <xf numFmtId="181" fontId="13" fillId="17" borderId="1" xfId="12" applyNumberFormat="1" applyFont="1" applyFill="1" applyBorder="1" applyAlignment="1" applyProtection="1">
      <alignment vertical="top" wrapText="1"/>
      <protection locked="0"/>
    </xf>
    <xf numFmtId="176" fontId="13" fillId="17" borderId="43" xfId="0" applyNumberFormat="1" applyFont="1" applyFill="1" applyBorder="1" applyAlignment="1" applyProtection="1">
      <protection locked="0"/>
    </xf>
    <xf numFmtId="176" fontId="13" fillId="17" borderId="8" xfId="0" applyNumberFormat="1" applyFont="1" applyFill="1" applyBorder="1" applyAlignment="1" applyProtection="1">
      <protection locked="0"/>
    </xf>
    <xf numFmtId="176" fontId="13" fillId="17" borderId="3" xfId="0" applyNumberFormat="1" applyFont="1" applyFill="1" applyBorder="1" applyAlignment="1" applyProtection="1">
      <protection locked="0"/>
    </xf>
    <xf numFmtId="176" fontId="13" fillId="17" borderId="0" xfId="0" applyNumberFormat="1" applyFont="1" applyFill="1" applyBorder="1" applyAlignment="1" applyProtection="1">
      <protection locked="0"/>
    </xf>
    <xf numFmtId="176" fontId="13" fillId="17" borderId="47" xfId="0" applyNumberFormat="1" applyFont="1" applyFill="1" applyBorder="1" applyAlignment="1" applyProtection="1">
      <protection locked="0"/>
    </xf>
    <xf numFmtId="0" fontId="13" fillId="17" borderId="3" xfId="0" applyNumberFormat="1" applyFont="1" applyFill="1" applyBorder="1" applyAlignment="1" applyProtection="1">
      <alignment horizontal="left" indent="1"/>
      <protection locked="0"/>
    </xf>
    <xf numFmtId="0" fontId="13" fillId="17" borderId="68" xfId="0" applyNumberFormat="1" applyFont="1" applyFill="1" applyBorder="1" applyAlignment="1" applyProtection="1">
      <alignment horizontal="center"/>
      <protection locked="0"/>
    </xf>
    <xf numFmtId="182" fontId="13" fillId="17" borderId="78" xfId="0" applyNumberFormat="1" applyFont="1" applyFill="1" applyBorder="1" applyAlignment="1" applyProtection="1">
      <alignment horizontal="center"/>
      <protection locked="0"/>
    </xf>
    <xf numFmtId="176" fontId="13" fillId="17" borderId="78" xfId="0" applyNumberFormat="1" applyFont="1" applyFill="1" applyBorder="1" applyAlignment="1" applyProtection="1">
      <protection locked="0"/>
    </xf>
    <xf numFmtId="0" fontId="13" fillId="17" borderId="3" xfId="0" applyNumberFormat="1" applyFont="1" applyFill="1" applyBorder="1" applyAlignment="1" applyProtection="1">
      <alignment horizontal="left" indent="2"/>
      <protection locked="0"/>
    </xf>
    <xf numFmtId="176" fontId="13" fillId="17" borderId="46" xfId="0" applyNumberFormat="1" applyFont="1" applyFill="1" applyBorder="1" applyAlignment="1" applyProtection="1">
      <protection locked="0"/>
    </xf>
    <xf numFmtId="176" fontId="13" fillId="17" borderId="49" xfId="0" applyNumberFormat="1" applyFont="1" applyFill="1" applyBorder="1" applyAlignment="1" applyProtection="1">
      <protection locked="0"/>
    </xf>
    <xf numFmtId="176" fontId="13" fillId="17" borderId="50" xfId="0" applyNumberFormat="1" applyFont="1" applyFill="1" applyBorder="1" applyAlignment="1" applyProtection="1">
      <protection locked="0"/>
    </xf>
    <xf numFmtId="176" fontId="13" fillId="17" borderId="48" xfId="0" applyNumberFormat="1" applyFont="1" applyFill="1" applyBorder="1" applyAlignment="1" applyProtection="1">
      <protection locked="0"/>
    </xf>
    <xf numFmtId="176" fontId="13" fillId="17" borderId="51" xfId="0" applyNumberFormat="1" applyFont="1" applyFill="1" applyBorder="1" applyAlignment="1" applyProtection="1">
      <protection locked="0"/>
    </xf>
    <xf numFmtId="176" fontId="13" fillId="17" borderId="72" xfId="0" applyNumberFormat="1" applyFont="1" applyFill="1" applyBorder="1" applyAlignment="1" applyProtection="1">
      <protection locked="0"/>
    </xf>
    <xf numFmtId="176" fontId="13" fillId="17" borderId="73" xfId="0" applyNumberFormat="1" applyFont="1" applyFill="1" applyBorder="1" applyAlignment="1" applyProtection="1">
      <protection locked="0"/>
    </xf>
    <xf numFmtId="176" fontId="13" fillId="17" borderId="69" xfId="0" applyNumberFormat="1" applyFont="1" applyFill="1" applyBorder="1" applyAlignment="1" applyProtection="1">
      <protection locked="0"/>
    </xf>
    <xf numFmtId="176" fontId="13" fillId="17" borderId="74" xfId="0" applyNumberFormat="1" applyFont="1" applyFill="1" applyBorder="1" applyAlignment="1" applyProtection="1">
      <protection locked="0"/>
    </xf>
    <xf numFmtId="176" fontId="13" fillId="17" borderId="71" xfId="0" applyNumberFormat="1" applyFont="1" applyFill="1" applyBorder="1" applyAlignment="1" applyProtection="1">
      <protection locked="0"/>
    </xf>
    <xf numFmtId="0" fontId="18" fillId="17" borderId="3" xfId="0" applyNumberFormat="1" applyFont="1" applyFill="1" applyBorder="1" applyAlignment="1" applyProtection="1">
      <alignment horizontal="left" indent="2"/>
      <protection locked="0"/>
    </xf>
    <xf numFmtId="0" fontId="13" fillId="17" borderId="3" xfId="0" applyNumberFormat="1" applyFont="1" applyFill="1" applyBorder="1" applyAlignment="1" applyProtection="1">
      <alignment horizontal="left" wrapText="1" indent="2"/>
      <protection locked="0"/>
    </xf>
    <xf numFmtId="176" fontId="13" fillId="17" borderId="60" xfId="0" applyNumberFormat="1" applyFont="1" applyFill="1" applyBorder="1" applyAlignment="1" applyProtection="1">
      <protection locked="0"/>
    </xf>
    <xf numFmtId="176" fontId="13" fillId="17" borderId="61" xfId="0" applyNumberFormat="1" applyFont="1" applyFill="1" applyBorder="1" applyAlignment="1" applyProtection="1">
      <protection locked="0"/>
    </xf>
    <xf numFmtId="176" fontId="13" fillId="17" borderId="62" xfId="0" applyNumberFormat="1" applyFont="1" applyFill="1" applyBorder="1" applyAlignment="1" applyProtection="1">
      <protection locked="0"/>
    </xf>
    <xf numFmtId="176" fontId="13" fillId="17" borderId="59" xfId="0" applyNumberFormat="1" applyFont="1" applyFill="1" applyBorder="1" applyAlignment="1" applyProtection="1">
      <protection locked="0"/>
    </xf>
    <xf numFmtId="176" fontId="13" fillId="17" borderId="63" xfId="0" applyNumberFormat="1" applyFont="1" applyFill="1" applyBorder="1" applyAlignment="1" applyProtection="1">
      <protection locked="0"/>
    </xf>
    <xf numFmtId="176" fontId="13" fillId="17" borderId="43" xfId="1" applyNumberFormat="1" applyFont="1" applyFill="1" applyBorder="1" applyAlignment="1" applyProtection="1">
      <protection locked="0"/>
    </xf>
    <xf numFmtId="176" fontId="13" fillId="17" borderId="0" xfId="1" applyNumberFormat="1" applyFont="1" applyFill="1" applyBorder="1" applyAlignment="1" applyProtection="1">
      <protection locked="0"/>
    </xf>
    <xf numFmtId="176" fontId="13" fillId="17" borderId="3" xfId="1" applyNumberFormat="1" applyFont="1" applyFill="1" applyBorder="1" applyAlignment="1" applyProtection="1">
      <protection locked="0"/>
    </xf>
    <xf numFmtId="176" fontId="13" fillId="17" borderId="47" xfId="1" applyNumberFormat="1" applyFont="1" applyFill="1" applyBorder="1" applyAlignment="1" applyProtection="1">
      <protection locked="0"/>
    </xf>
    <xf numFmtId="176" fontId="13" fillId="17" borderId="8" xfId="1" applyNumberFormat="1" applyFont="1" applyFill="1" applyBorder="1" applyAlignment="1" applyProtection="1">
      <protection locked="0"/>
    </xf>
    <xf numFmtId="0" fontId="18" fillId="17" borderId="3" xfId="0" applyNumberFormat="1" applyFont="1" applyFill="1" applyBorder="1" applyAlignment="1" applyProtection="1">
      <alignment horizontal="left" indent="1"/>
      <protection locked="0"/>
    </xf>
    <xf numFmtId="0" fontId="15" fillId="17" borderId="3" xfId="0" applyNumberFormat="1" applyFont="1" applyFill="1" applyBorder="1" applyAlignment="1" applyProtection="1">
      <alignment horizontal="left" indent="1"/>
      <protection locked="0"/>
    </xf>
    <xf numFmtId="177" fontId="13" fillId="17" borderId="43" xfId="1" applyNumberFormat="1" applyFont="1" applyFill="1" applyBorder="1" applyAlignment="1" applyProtection="1">
      <alignment horizontal="center"/>
      <protection locked="0"/>
    </xf>
    <xf numFmtId="177" fontId="15" fillId="17" borderId="43" xfId="1" applyNumberFormat="1" applyFont="1" applyFill="1" applyBorder="1" applyAlignment="1" applyProtection="1">
      <alignment horizontal="center"/>
      <protection locked="0"/>
    </xf>
    <xf numFmtId="177" fontId="15" fillId="17" borderId="3" xfId="12" applyNumberFormat="1" applyFont="1" applyFill="1" applyBorder="1" applyAlignment="1" applyProtection="1">
      <alignment horizontal="center"/>
      <protection locked="0"/>
    </xf>
    <xf numFmtId="177" fontId="15" fillId="17" borderId="43" xfId="12" applyNumberFormat="1" applyFont="1" applyFill="1" applyBorder="1" applyAlignment="1" applyProtection="1">
      <alignment horizontal="center"/>
      <protection locked="0"/>
    </xf>
    <xf numFmtId="177" fontId="15" fillId="17" borderId="78" xfId="12" applyNumberFormat="1" applyFont="1" applyFill="1" applyBorder="1" applyAlignment="1" applyProtection="1">
      <alignment horizontal="center"/>
      <protection locked="0"/>
    </xf>
    <xf numFmtId="177" fontId="15" fillId="17" borderId="0" xfId="12" applyNumberFormat="1" applyFont="1" applyFill="1" applyBorder="1" applyAlignment="1" applyProtection="1">
      <alignment horizontal="center"/>
      <protection locked="0"/>
    </xf>
    <xf numFmtId="177" fontId="15" fillId="17" borderId="8" xfId="12" applyNumberFormat="1" applyFont="1" applyFill="1" applyBorder="1" applyAlignment="1" applyProtection="1">
      <alignment horizontal="center"/>
      <protection locked="0"/>
    </xf>
    <xf numFmtId="177" fontId="15" fillId="17" borderId="4" xfId="12" applyNumberFormat="1" applyFont="1" applyFill="1" applyBorder="1" applyAlignment="1" applyProtection="1">
      <alignment horizontal="center"/>
      <protection locked="0"/>
    </xf>
    <xf numFmtId="177" fontId="15" fillId="17" borderId="36" xfId="12" applyNumberFormat="1" applyFont="1" applyFill="1" applyBorder="1" applyAlignment="1" applyProtection="1">
      <alignment horizontal="center"/>
      <protection locked="0"/>
    </xf>
    <xf numFmtId="177" fontId="15" fillId="17" borderId="66" xfId="12" applyNumberFormat="1" applyFont="1" applyFill="1" applyBorder="1" applyAlignment="1" applyProtection="1">
      <alignment horizontal="center"/>
      <protection locked="0"/>
    </xf>
    <xf numFmtId="177" fontId="15" fillId="17" borderId="9" xfId="12" applyNumberFormat="1" applyFont="1" applyFill="1" applyBorder="1" applyAlignment="1" applyProtection="1">
      <alignment horizontal="center"/>
      <protection locked="0"/>
    </xf>
    <xf numFmtId="177" fontId="15" fillId="17" borderId="10" xfId="12" applyNumberFormat="1" applyFont="1" applyFill="1" applyBorder="1" applyAlignment="1" applyProtection="1">
      <alignment horizontal="center"/>
      <protection locked="0"/>
    </xf>
    <xf numFmtId="176" fontId="13" fillId="17" borderId="50" xfId="0" applyNumberFormat="1" applyFont="1" applyFill="1" applyBorder="1" applyProtection="1">
      <protection locked="0"/>
    </xf>
    <xf numFmtId="175" fontId="13" fillId="17" borderId="47" xfId="0" applyNumberFormat="1" applyFont="1" applyFill="1" applyBorder="1" applyProtection="1">
      <protection locked="0"/>
    </xf>
    <xf numFmtId="175" fontId="15" fillId="17" borderId="71" xfId="0" applyNumberFormat="1" applyFont="1" applyFill="1" applyBorder="1" applyProtection="1">
      <protection locked="0"/>
    </xf>
    <xf numFmtId="175" fontId="15" fillId="17" borderId="72" xfId="0" applyNumberFormat="1" applyFont="1" applyFill="1" applyBorder="1" applyProtection="1">
      <protection locked="0"/>
    </xf>
    <xf numFmtId="175" fontId="15" fillId="17" borderId="73" xfId="0" applyNumberFormat="1" applyFont="1" applyFill="1" applyBorder="1" applyProtection="1">
      <protection locked="0"/>
    </xf>
    <xf numFmtId="175" fontId="15" fillId="17" borderId="69" xfId="0" applyNumberFormat="1" applyFont="1" applyFill="1" applyBorder="1" applyProtection="1">
      <protection locked="0"/>
    </xf>
    <xf numFmtId="175" fontId="15" fillId="17" borderId="74" xfId="0" applyNumberFormat="1" applyFont="1" applyFill="1" applyBorder="1" applyProtection="1">
      <protection locked="0"/>
    </xf>
    <xf numFmtId="0" fontId="13" fillId="17" borderId="3" xfId="0" applyNumberFormat="1" applyFont="1" applyFill="1" applyBorder="1" applyAlignment="1" applyProtection="1">
      <protection locked="0"/>
    </xf>
    <xf numFmtId="0" fontId="13" fillId="17" borderId="43" xfId="0" applyNumberFormat="1" applyFont="1" applyFill="1" applyBorder="1" applyAlignment="1" applyProtection="1">
      <protection locked="0"/>
    </xf>
    <xf numFmtId="182" fontId="13" fillId="17" borderId="43" xfId="0" applyNumberFormat="1" applyFont="1" applyFill="1" applyBorder="1" applyAlignment="1" applyProtection="1">
      <alignment horizontal="center"/>
      <protection locked="0"/>
    </xf>
    <xf numFmtId="182" fontId="13" fillId="17" borderId="43" xfId="0" quotePrefix="1" applyNumberFormat="1" applyFont="1" applyFill="1" applyBorder="1" applyAlignment="1" applyProtection="1">
      <alignment horizontal="center"/>
      <protection locked="0"/>
    </xf>
    <xf numFmtId="0" fontId="15" fillId="17" borderId="4" xfId="0" applyNumberFormat="1" applyFont="1" applyFill="1" applyBorder="1" applyAlignment="1" applyProtection="1">
      <protection locked="0"/>
    </xf>
    <xf numFmtId="0" fontId="13" fillId="17" borderId="36" xfId="0" applyNumberFormat="1" applyFont="1" applyFill="1" applyBorder="1" applyAlignment="1" applyProtection="1">
      <alignment horizontal="center"/>
      <protection locked="0"/>
    </xf>
    <xf numFmtId="0" fontId="13" fillId="17" borderId="36" xfId="0" applyNumberFormat="1" applyFont="1" applyFill="1" applyBorder="1" applyAlignment="1" applyProtection="1">
      <protection locked="0"/>
    </xf>
    <xf numFmtId="0" fontId="13" fillId="17" borderId="36" xfId="0" applyFont="1" applyFill="1" applyBorder="1" applyAlignment="1" applyProtection="1">
      <alignment horizontal="center"/>
      <protection locked="0"/>
    </xf>
    <xf numFmtId="176" fontId="15" fillId="17" borderId="10" xfId="0" applyNumberFormat="1" applyFont="1" applyFill="1" applyBorder="1" applyProtection="1">
      <protection locked="0"/>
    </xf>
    <xf numFmtId="176" fontId="15" fillId="17" borderId="43" xfId="0" applyNumberFormat="1" applyFont="1" applyFill="1" applyBorder="1" applyAlignment="1" applyProtection="1">
      <alignment horizontal="center"/>
      <protection locked="0"/>
    </xf>
    <xf numFmtId="176" fontId="15" fillId="17" borderId="0" xfId="0" applyNumberFormat="1" applyFont="1" applyFill="1" applyBorder="1" applyAlignment="1" applyProtection="1">
      <alignment horizontal="center"/>
      <protection locked="0"/>
    </xf>
    <xf numFmtId="176" fontId="15" fillId="17" borderId="3" xfId="0" applyNumberFormat="1" applyFont="1" applyFill="1" applyBorder="1" applyAlignment="1" applyProtection="1">
      <alignment horizontal="center"/>
      <protection locked="0"/>
    </xf>
    <xf numFmtId="176" fontId="15" fillId="17" borderId="8" xfId="0" applyNumberFormat="1" applyFont="1" applyFill="1" applyBorder="1" applyAlignment="1" applyProtection="1">
      <alignment horizontal="center"/>
      <protection locked="0"/>
    </xf>
    <xf numFmtId="176" fontId="13" fillId="17" borderId="48" xfId="0" applyNumberFormat="1" applyFont="1" applyFill="1" applyBorder="1" applyProtection="1">
      <protection locked="0"/>
    </xf>
    <xf numFmtId="176" fontId="15" fillId="17" borderId="49" xfId="0" applyNumberFormat="1" applyFont="1" applyFill="1" applyBorder="1" applyProtection="1">
      <protection locked="0"/>
    </xf>
    <xf numFmtId="176" fontId="15" fillId="17" borderId="50" xfId="0" applyNumberFormat="1" applyFont="1" applyFill="1" applyBorder="1" applyProtection="1">
      <protection locked="0"/>
    </xf>
    <xf numFmtId="176" fontId="15" fillId="17" borderId="48" xfId="0" applyNumberFormat="1" applyFont="1" applyFill="1" applyBorder="1" applyProtection="1">
      <protection locked="0"/>
    </xf>
    <xf numFmtId="176" fontId="15" fillId="17" borderId="73" xfId="0" applyNumberFormat="1" applyFont="1" applyFill="1" applyBorder="1" applyProtection="1">
      <protection locked="0"/>
    </xf>
    <xf numFmtId="176" fontId="15" fillId="17" borderId="69" xfId="0" applyNumberFormat="1" applyFont="1" applyFill="1" applyBorder="1" applyProtection="1">
      <protection locked="0"/>
    </xf>
    <xf numFmtId="176" fontId="15" fillId="17" borderId="74" xfId="0" applyNumberFormat="1" applyFont="1" applyFill="1" applyBorder="1" applyProtection="1">
      <protection locked="0"/>
    </xf>
    <xf numFmtId="176" fontId="13" fillId="17" borderId="66" xfId="0" applyNumberFormat="1" applyFont="1" applyFill="1" applyBorder="1" applyProtection="1">
      <protection locked="0"/>
    </xf>
    <xf numFmtId="0" fontId="18" fillId="17" borderId="43" xfId="0" applyNumberFormat="1" applyFont="1" applyFill="1" applyBorder="1" applyAlignment="1" applyProtection="1">
      <alignment horizontal="center"/>
      <protection locked="0"/>
    </xf>
    <xf numFmtId="0" fontId="18" fillId="17" borderId="0" xfId="0" applyNumberFormat="1" applyFont="1" applyFill="1" applyBorder="1" applyAlignment="1" applyProtection="1">
      <alignment horizontal="center"/>
      <protection locked="0"/>
    </xf>
    <xf numFmtId="0" fontId="13" fillId="17" borderId="0" xfId="0" applyNumberFormat="1" applyFont="1" applyFill="1" applyBorder="1" applyProtection="1">
      <protection locked="0"/>
    </xf>
    <xf numFmtId="0" fontId="13" fillId="17" borderId="78" xfId="0" applyNumberFormat="1" applyFont="1" applyFill="1" applyBorder="1" applyProtection="1">
      <protection locked="0"/>
    </xf>
    <xf numFmtId="0" fontId="13" fillId="17" borderId="43" xfId="0" applyNumberFormat="1" applyFont="1" applyFill="1" applyBorder="1" applyProtection="1">
      <protection locked="0"/>
    </xf>
    <xf numFmtId="0" fontId="13" fillId="17" borderId="3" xfId="0" applyNumberFormat="1" applyFont="1" applyFill="1" applyBorder="1" applyProtection="1">
      <protection locked="0"/>
    </xf>
    <xf numFmtId="0" fontId="15" fillId="17" borderId="3" xfId="0" applyNumberFormat="1" applyFont="1" applyFill="1" applyBorder="1" applyProtection="1">
      <protection locked="0"/>
    </xf>
    <xf numFmtId="0" fontId="13" fillId="17" borderId="36" xfId="0" applyNumberFormat="1" applyFont="1" applyFill="1" applyBorder="1" applyProtection="1">
      <protection locked="0"/>
    </xf>
    <xf numFmtId="177" fontId="13" fillId="17" borderId="36" xfId="0" applyNumberFormat="1" applyFont="1" applyFill="1" applyBorder="1" applyProtection="1">
      <protection locked="0"/>
    </xf>
    <xf numFmtId="0" fontId="13" fillId="17" borderId="9" xfId="0" applyNumberFormat="1" applyFont="1" applyFill="1" applyBorder="1" applyProtection="1">
      <protection locked="0"/>
    </xf>
    <xf numFmtId="0" fontId="13" fillId="17" borderId="66" xfId="0" applyNumberFormat="1" applyFont="1" applyFill="1" applyBorder="1" applyProtection="1">
      <protection locked="0"/>
    </xf>
    <xf numFmtId="0" fontId="18" fillId="17" borderId="8" xfId="0" applyNumberFormat="1" applyFont="1" applyFill="1" applyBorder="1" applyAlignment="1" applyProtection="1">
      <alignment horizontal="center"/>
      <protection locked="0"/>
    </xf>
    <xf numFmtId="0" fontId="15" fillId="17" borderId="0" xfId="1" applyNumberFormat="1" applyFont="1" applyFill="1" applyBorder="1" applyAlignment="1" applyProtection="1">
      <alignment horizontal="center"/>
      <protection locked="0"/>
    </xf>
    <xf numFmtId="176" fontId="15" fillId="17" borderId="68" xfId="0" applyNumberFormat="1" applyFont="1" applyFill="1" applyBorder="1" applyAlignment="1" applyProtection="1">
      <alignment horizontal="center"/>
      <protection locked="0"/>
    </xf>
    <xf numFmtId="0" fontId="13" fillId="17" borderId="8" xfId="0" applyNumberFormat="1" applyFont="1" applyFill="1" applyBorder="1" applyProtection="1">
      <protection locked="0"/>
    </xf>
    <xf numFmtId="176" fontId="13" fillId="17" borderId="68" xfId="1" applyNumberFormat="1" applyFont="1" applyFill="1" applyBorder="1" applyProtection="1">
      <protection locked="0"/>
    </xf>
    <xf numFmtId="0" fontId="15" fillId="17" borderId="69" xfId="0" applyNumberFormat="1" applyFont="1" applyFill="1" applyBorder="1" applyAlignment="1" applyProtection="1">
      <alignment horizontal="left" indent="1"/>
      <protection locked="0"/>
    </xf>
    <xf numFmtId="0" fontId="13" fillId="17" borderId="72" xfId="0" applyNumberFormat="1" applyFont="1" applyFill="1" applyBorder="1" applyProtection="1">
      <protection locked="0"/>
    </xf>
    <xf numFmtId="177" fontId="13" fillId="17" borderId="72" xfId="1" applyNumberFormat="1" applyFont="1" applyFill="1" applyBorder="1" applyAlignment="1" applyProtection="1">
      <alignment horizontal="center"/>
      <protection locked="0"/>
    </xf>
    <xf numFmtId="0" fontId="13" fillId="17" borderId="73" xfId="0" applyNumberFormat="1" applyFont="1" applyFill="1" applyBorder="1" applyProtection="1">
      <protection locked="0"/>
    </xf>
    <xf numFmtId="0" fontId="13" fillId="17" borderId="74" xfId="1" applyNumberFormat="1" applyFont="1" applyFill="1" applyBorder="1" applyAlignment="1" applyProtection="1">
      <alignment horizontal="center"/>
      <protection locked="0"/>
    </xf>
    <xf numFmtId="176" fontId="13" fillId="17" borderId="70" xfId="0" applyNumberFormat="1" applyFont="1" applyFill="1" applyBorder="1" applyProtection="1">
      <protection locked="0"/>
    </xf>
    <xf numFmtId="0" fontId="16" fillId="17" borderId="3" xfId="0" applyNumberFormat="1" applyFont="1" applyFill="1" applyBorder="1" applyProtection="1">
      <protection locked="0"/>
    </xf>
    <xf numFmtId="0" fontId="13" fillId="17" borderId="4" xfId="0" applyNumberFormat="1" applyFont="1" applyFill="1" applyBorder="1" applyAlignment="1" applyProtection="1">
      <alignment horizontal="left" indent="1"/>
      <protection locked="0"/>
    </xf>
    <xf numFmtId="177" fontId="13" fillId="17" borderId="36" xfId="1" applyNumberFormat="1" applyFont="1" applyFill="1" applyBorder="1" applyAlignment="1" applyProtection="1">
      <alignment horizontal="center"/>
      <protection locked="0"/>
    </xf>
    <xf numFmtId="0" fontId="13" fillId="17" borderId="10" xfId="0" applyNumberFormat="1" applyFont="1" applyFill="1" applyBorder="1" applyProtection="1">
      <protection locked="0"/>
    </xf>
    <xf numFmtId="0" fontId="13" fillId="17" borderId="9" xfId="1" applyNumberFormat="1" applyFont="1" applyFill="1" applyBorder="1" applyAlignment="1" applyProtection="1">
      <alignment horizontal="center"/>
      <protection locked="0"/>
    </xf>
    <xf numFmtId="176" fontId="13" fillId="17" borderId="37" xfId="0" applyNumberFormat="1" applyFont="1" applyFill="1" applyBorder="1" applyProtection="1">
      <protection locked="0"/>
    </xf>
    <xf numFmtId="0" fontId="38" fillId="0" borderId="0" xfId="0" applyFont="1" applyAlignment="1">
      <alignment wrapText="1"/>
    </xf>
    <xf numFmtId="0" fontId="24" fillId="0" borderId="0" xfId="0" applyFont="1" applyProtection="1"/>
    <xf numFmtId="0" fontId="0" fillId="0" borderId="0" xfId="0" applyFont="1" applyProtection="1"/>
    <xf numFmtId="177" fontId="13" fillId="18" borderId="43" xfId="1" applyNumberFormat="1" applyFont="1" applyFill="1" applyBorder="1"/>
    <xf numFmtId="177" fontId="13" fillId="18" borderId="0" xfId="1" applyNumberFormat="1" applyFont="1" applyFill="1" applyBorder="1"/>
    <xf numFmtId="171" fontId="13" fillId="0" borderId="43" xfId="0" applyNumberFormat="1" applyFont="1" applyBorder="1" applyAlignment="1">
      <alignment horizontal="center"/>
    </xf>
    <xf numFmtId="171" fontId="13" fillId="0" borderId="78" xfId="0" applyNumberFormat="1" applyFont="1" applyBorder="1" applyAlignment="1">
      <alignment horizontal="center"/>
    </xf>
    <xf numFmtId="171" fontId="13" fillId="0" borderId="36" xfId="0" quotePrefix="1" applyNumberFormat="1" applyFont="1" applyBorder="1" applyAlignment="1">
      <alignment horizontal="center"/>
    </xf>
    <xf numFmtId="171" fontId="13" fillId="0" borderId="66" xfId="0" quotePrefix="1" applyNumberFormat="1" applyFont="1" applyBorder="1" applyAlignment="1">
      <alignment horizontal="center"/>
    </xf>
    <xf numFmtId="176" fontId="13" fillId="0" borderId="47" xfId="0" applyNumberFormat="1" applyFont="1" applyBorder="1" applyAlignment="1">
      <alignment horizontal="center"/>
    </xf>
    <xf numFmtId="171" fontId="13" fillId="0" borderId="37" xfId="0" applyNumberFormat="1" applyFont="1" applyBorder="1" applyAlignment="1">
      <alignment horizontal="center"/>
    </xf>
    <xf numFmtId="0" fontId="13" fillId="0" borderId="68" xfId="0" applyFont="1" applyBorder="1"/>
    <xf numFmtId="176" fontId="13" fillId="0" borderId="68" xfId="0" applyNumberFormat="1" applyFont="1" applyBorder="1" applyAlignment="1">
      <alignment horizontal="center"/>
    </xf>
    <xf numFmtId="171" fontId="13" fillId="0" borderId="68" xfId="0" quotePrefix="1" applyNumberFormat="1" applyFont="1" applyBorder="1" applyAlignment="1">
      <alignment horizontal="center"/>
    </xf>
    <xf numFmtId="171" fontId="13" fillId="0" borderId="37" xfId="0" quotePrefix="1" applyNumberFormat="1" applyFont="1" applyBorder="1" applyAlignment="1">
      <alignment horizontal="center"/>
    </xf>
    <xf numFmtId="171" fontId="13" fillId="0" borderId="64" xfId="0" applyNumberFormat="1" applyFont="1" applyBorder="1" applyAlignment="1">
      <alignment horizontal="center"/>
    </xf>
    <xf numFmtId="171" fontId="13" fillId="0" borderId="47" xfId="0" quotePrefix="1" applyNumberFormat="1" applyFont="1" applyBorder="1" applyAlignment="1">
      <alignment horizontal="center"/>
    </xf>
    <xf numFmtId="171" fontId="13" fillId="0" borderId="64" xfId="0" quotePrefix="1" applyNumberFormat="1" applyFont="1" applyBorder="1" applyAlignment="1">
      <alignment horizontal="center"/>
    </xf>
    <xf numFmtId="171" fontId="13" fillId="0" borderId="68" xfId="0" applyNumberFormat="1" applyFont="1" applyBorder="1" applyAlignment="1">
      <alignment horizontal="center"/>
    </xf>
    <xf numFmtId="176" fontId="13" fillId="0" borderId="37" xfId="0" quotePrefix="1" applyNumberFormat="1" applyFont="1" applyBorder="1" applyAlignment="1">
      <alignment horizontal="center"/>
    </xf>
    <xf numFmtId="171" fontId="13" fillId="0" borderId="47" xfId="0" applyNumberFormat="1" applyFont="1" applyBorder="1" applyAlignment="1">
      <alignment horizontal="center"/>
    </xf>
    <xf numFmtId="176" fontId="13" fillId="0" borderId="64" xfId="0" quotePrefix="1" applyNumberFormat="1" applyFont="1" applyBorder="1" applyAlignment="1">
      <alignment horizontal="center"/>
    </xf>
    <xf numFmtId="0" fontId="13" fillId="0" borderId="47" xfId="0" applyFont="1" applyBorder="1" applyAlignment="1">
      <alignment horizontal="center"/>
    </xf>
    <xf numFmtId="171" fontId="13" fillId="0" borderId="101" xfId="0" applyNumberFormat="1" applyFont="1" applyBorder="1" applyAlignment="1">
      <alignment horizontal="center"/>
    </xf>
    <xf numFmtId="0" fontId="39" fillId="0" borderId="12" xfId="0" applyFont="1" applyBorder="1"/>
    <xf numFmtId="0" fontId="40" fillId="0" borderId="3" xfId="0" applyFont="1" applyBorder="1"/>
    <xf numFmtId="0" fontId="41" fillId="0" borderId="3" xfId="0" applyFont="1" applyBorder="1"/>
    <xf numFmtId="0" fontId="40" fillId="0" borderId="11" xfId="0" applyFont="1" applyBorder="1" applyAlignment="1">
      <alignment horizontal="center"/>
    </xf>
    <xf numFmtId="0" fontId="40" fillId="0" borderId="6" xfId="0" applyFont="1" applyBorder="1" applyAlignment="1">
      <alignment horizontal="center"/>
    </xf>
    <xf numFmtId="0" fontId="40" fillId="0" borderId="104" xfId="0" applyFont="1" applyBorder="1" applyAlignment="1">
      <alignment horizontal="center"/>
    </xf>
    <xf numFmtId="0" fontId="40" fillId="0" borderId="38" xfId="0" applyFont="1" applyBorder="1" applyAlignment="1">
      <alignment horizontal="center"/>
    </xf>
    <xf numFmtId="0" fontId="40" fillId="0" borderId="75" xfId="0" applyFont="1" applyBorder="1"/>
    <xf numFmtId="0" fontId="40" fillId="0" borderId="104" xfId="0" applyFont="1" applyBorder="1"/>
    <xf numFmtId="0" fontId="40" fillId="0" borderId="38" xfId="0" applyFont="1" applyBorder="1"/>
    <xf numFmtId="0" fontId="40" fillId="0" borderId="1" xfId="0" applyFont="1" applyBorder="1" applyAlignment="1">
      <alignment horizontal="center"/>
    </xf>
    <xf numFmtId="0" fontId="40" fillId="0" borderId="0" xfId="0" applyFont="1" applyBorder="1" applyAlignment="1">
      <alignment horizontal="center"/>
    </xf>
    <xf numFmtId="176" fontId="40" fillId="0" borderId="101" xfId="0" applyNumberFormat="1" applyFont="1" applyBorder="1" applyAlignment="1">
      <alignment horizontal="center"/>
    </xf>
    <xf numFmtId="0" fontId="40" fillId="0" borderId="4" xfId="0" applyFont="1" applyBorder="1"/>
    <xf numFmtId="0" fontId="40" fillId="0" borderId="5" xfId="0" applyFont="1" applyBorder="1" applyAlignment="1">
      <alignment horizontal="center"/>
    </xf>
    <xf numFmtId="0" fontId="40" fillId="0" borderId="9" xfId="0" applyFont="1" applyBorder="1" applyAlignment="1">
      <alignment horizontal="center"/>
    </xf>
    <xf numFmtId="0" fontId="40" fillId="0" borderId="95" xfId="0" applyFont="1" applyBorder="1" applyAlignment="1">
      <alignment horizontal="center"/>
    </xf>
    <xf numFmtId="0" fontId="40" fillId="0" borderId="36" xfId="0" applyFont="1" applyBorder="1" applyAlignment="1">
      <alignment horizontal="center"/>
    </xf>
    <xf numFmtId="0" fontId="40" fillId="0" borderId="66" xfId="0" applyFont="1" applyBorder="1"/>
    <xf numFmtId="0" fontId="40" fillId="0" borderId="95" xfId="0" applyFont="1" applyBorder="1"/>
    <xf numFmtId="0" fontId="40" fillId="0" borderId="36" xfId="0" applyFont="1" applyBorder="1"/>
    <xf numFmtId="176" fontId="40" fillId="0" borderId="78" xfId="0" applyNumberFormat="1" applyFont="1" applyBorder="1" applyAlignment="1">
      <alignment horizontal="center"/>
    </xf>
    <xf numFmtId="0" fontId="42" fillId="0" borderId="101" xfId="0" applyFont="1" applyBorder="1" applyAlignment="1">
      <alignment horizontal="center"/>
    </xf>
    <xf numFmtId="0" fontId="42" fillId="0" borderId="78" xfId="0" applyFont="1" applyBorder="1" applyAlignment="1">
      <alignment horizontal="center"/>
    </xf>
    <xf numFmtId="165" fontId="13" fillId="18" borderId="78" xfId="1" applyNumberFormat="1" applyFont="1" applyFill="1" applyBorder="1" applyAlignment="1">
      <alignment horizontal="left" vertical="top" wrapText="1"/>
    </xf>
    <xf numFmtId="165" fontId="17" fillId="18" borderId="78" xfId="1" applyNumberFormat="1" applyFont="1" applyFill="1" applyBorder="1" applyAlignment="1">
      <alignment horizontal="left" vertical="top" wrapText="1"/>
    </xf>
    <xf numFmtId="169" fontId="15" fillId="18" borderId="38" xfId="0" applyNumberFormat="1" applyFont="1" applyFill="1" applyBorder="1"/>
    <xf numFmtId="169" fontId="15" fillId="18" borderId="75" xfId="0" applyNumberFormat="1" applyFont="1" applyFill="1" applyBorder="1"/>
    <xf numFmtId="169" fontId="15" fillId="18" borderId="0" xfId="0" applyNumberFormat="1" applyFont="1" applyFill="1" applyBorder="1" applyAlignment="1">
      <alignment horizontal="center"/>
    </xf>
    <xf numFmtId="169" fontId="15" fillId="18" borderId="8" xfId="0" applyNumberFormat="1" applyFont="1" applyFill="1" applyBorder="1"/>
    <xf numFmtId="14" fontId="13" fillId="18" borderId="43" xfId="0" applyNumberFormat="1" applyFont="1" applyFill="1" applyBorder="1" applyAlignment="1">
      <alignment horizontal="center"/>
    </xf>
    <xf numFmtId="0" fontId="15" fillId="18" borderId="43" xfId="0" applyNumberFormat="1" applyFont="1" applyFill="1" applyBorder="1" applyAlignment="1">
      <alignment horizontal="center"/>
    </xf>
    <xf numFmtId="0" fontId="15" fillId="18" borderId="8" xfId="0" applyNumberFormat="1" applyFont="1" applyFill="1" applyBorder="1" applyAlignment="1">
      <alignment horizontal="center"/>
    </xf>
    <xf numFmtId="169" fontId="13" fillId="18" borderId="43" xfId="0" applyNumberFormat="1" applyFont="1" applyFill="1" applyBorder="1"/>
    <xf numFmtId="169" fontId="13" fillId="18" borderId="78" xfId="0" applyNumberFormat="1" applyFont="1" applyFill="1" applyBorder="1"/>
    <xf numFmtId="169" fontId="13" fillId="18" borderId="8" xfId="0" applyNumberFormat="1" applyFont="1" applyFill="1" applyBorder="1"/>
    <xf numFmtId="0" fontId="13" fillId="19" borderId="3" xfId="0" applyNumberFormat="1" applyFont="1" applyFill="1" applyBorder="1" applyAlignment="1">
      <alignment horizontal="left" indent="1"/>
    </xf>
    <xf numFmtId="0" fontId="15" fillId="0" borderId="12" xfId="0" applyFont="1" applyBorder="1" applyAlignment="1">
      <alignment wrapText="1"/>
    </xf>
    <xf numFmtId="0" fontId="13" fillId="0" borderId="104" xfId="0" applyFont="1" applyBorder="1"/>
    <xf numFmtId="176" fontId="13" fillId="0" borderId="66" xfId="0" applyNumberFormat="1" applyFont="1" applyBorder="1"/>
    <xf numFmtId="176" fontId="13" fillId="0" borderId="95" xfId="0" applyNumberFormat="1" applyFont="1" applyBorder="1"/>
    <xf numFmtId="176" fontId="13" fillId="0" borderId="5" xfId="0" applyNumberFormat="1" applyFont="1" applyBorder="1"/>
    <xf numFmtId="0" fontId="6" fillId="0" borderId="0" xfId="5" applyAlignment="1" applyProtection="1">
      <alignment vertical="center"/>
    </xf>
    <xf numFmtId="0" fontId="6" fillId="0" borderId="0" xfId="5" applyAlignment="1" applyProtection="1"/>
    <xf numFmtId="177" fontId="13" fillId="0" borderId="43" xfId="1" applyNumberFormat="1" applyFont="1" applyBorder="1" applyAlignment="1" applyProtection="1">
      <alignment horizontal="center"/>
      <protection locked="0"/>
    </xf>
    <xf numFmtId="177" fontId="13" fillId="0" borderId="43" xfId="1" applyNumberFormat="1" applyFont="1" applyBorder="1" applyProtection="1">
      <protection locked="0"/>
    </xf>
    <xf numFmtId="177" fontId="13" fillId="0" borderId="43" xfId="1" applyNumberFormat="1" applyFont="1" applyFill="1" applyBorder="1" applyProtection="1">
      <protection locked="0"/>
    </xf>
    <xf numFmtId="177" fontId="13" fillId="0" borderId="0" xfId="1" applyNumberFormat="1" applyFont="1" applyFill="1" applyBorder="1" applyProtection="1">
      <protection locked="0"/>
    </xf>
    <xf numFmtId="176" fontId="13" fillId="17" borderId="110" xfId="0" applyNumberFormat="1" applyFont="1" applyFill="1" applyBorder="1" applyProtection="1">
      <protection locked="0"/>
    </xf>
    <xf numFmtId="176" fontId="13" fillId="17" borderId="100" xfId="0" applyNumberFormat="1" applyFont="1" applyFill="1" applyBorder="1" applyProtection="1">
      <protection locked="0"/>
    </xf>
    <xf numFmtId="0" fontId="17" fillId="0" borderId="11" xfId="0" applyFont="1" applyBorder="1" applyAlignment="1">
      <alignment horizontal="left"/>
    </xf>
    <xf numFmtId="0" fontId="17" fillId="0" borderId="7" xfId="0" applyFont="1" applyBorder="1" applyAlignment="1">
      <alignment horizontal="center"/>
    </xf>
    <xf numFmtId="0" fontId="46" fillId="0" borderId="3" xfId="0" applyFont="1" applyBorder="1"/>
    <xf numFmtId="0" fontId="47" fillId="0" borderId="1" xfId="0" applyFont="1" applyBorder="1" applyAlignment="1">
      <alignment horizontal="center"/>
    </xf>
    <xf numFmtId="0" fontId="47" fillId="0" borderId="0" xfId="0" applyFont="1" applyBorder="1" applyAlignment="1">
      <alignment horizontal="center"/>
    </xf>
    <xf numFmtId="0" fontId="48" fillId="0" borderId="101" xfId="0" applyFont="1" applyBorder="1" applyAlignment="1">
      <alignment horizontal="center"/>
    </xf>
    <xf numFmtId="0" fontId="48" fillId="0" borderId="78" xfId="0" applyFont="1" applyBorder="1" applyAlignment="1">
      <alignment horizontal="center"/>
    </xf>
    <xf numFmtId="0" fontId="49" fillId="0" borderId="0" xfId="0" applyFont="1"/>
    <xf numFmtId="0" fontId="13" fillId="0" borderId="104" xfId="0" applyFont="1" applyBorder="1" applyAlignment="1">
      <alignment horizontal="center"/>
    </xf>
    <xf numFmtId="0" fontId="13" fillId="0" borderId="95" xfId="0" applyFont="1" applyBorder="1" applyAlignment="1">
      <alignment horizontal="center"/>
    </xf>
    <xf numFmtId="0" fontId="18" fillId="0" borderId="0" xfId="0" applyNumberFormat="1" applyFont="1" applyBorder="1" applyAlignment="1" applyProtection="1">
      <alignment horizontal="left"/>
    </xf>
    <xf numFmtId="171" fontId="13" fillId="18" borderId="43" xfId="1" applyNumberFormat="1" applyFont="1" applyFill="1" applyBorder="1" applyAlignment="1">
      <alignment horizontal="center"/>
    </xf>
    <xf numFmtId="171" fontId="13" fillId="18" borderId="68" xfId="1" applyNumberFormat="1" applyFont="1" applyFill="1" applyBorder="1" applyAlignment="1">
      <alignment horizontal="center"/>
    </xf>
    <xf numFmtId="171" fontId="13" fillId="18" borderId="78" xfId="1" applyNumberFormat="1" applyFont="1" applyFill="1" applyBorder="1" applyAlignment="1">
      <alignment horizontal="center"/>
    </xf>
    <xf numFmtId="171" fontId="13" fillId="18" borderId="0" xfId="1" applyNumberFormat="1" applyFont="1" applyFill="1" applyBorder="1" applyAlignment="1">
      <alignment horizontal="center"/>
    </xf>
    <xf numFmtId="0" fontId="13" fillId="18" borderId="0" xfId="0" applyFont="1" applyFill="1" applyAlignment="1">
      <alignment horizontal="center"/>
    </xf>
    <xf numFmtId="0" fontId="13" fillId="18" borderId="0" xfId="0" applyFont="1" applyFill="1"/>
    <xf numFmtId="0" fontId="13" fillId="18" borderId="8" xfId="0" applyFont="1" applyFill="1" applyBorder="1"/>
    <xf numFmtId="0" fontId="13" fillId="18" borderId="9" xfId="0" applyFont="1" applyFill="1" applyBorder="1" applyAlignment="1">
      <alignment horizontal="center"/>
    </xf>
    <xf numFmtId="0" fontId="13" fillId="18" borderId="9" xfId="0" applyFont="1" applyFill="1" applyBorder="1"/>
    <xf numFmtId="0" fontId="13" fillId="18" borderId="10" xfId="0" applyFont="1" applyFill="1" applyBorder="1"/>
    <xf numFmtId="176" fontId="13" fillId="0" borderId="45" xfId="0" applyNumberFormat="1" applyFont="1" applyBorder="1" applyAlignment="1">
      <alignment horizontal="center"/>
    </xf>
    <xf numFmtId="176" fontId="13" fillId="0" borderId="38" xfId="0" applyNumberFormat="1" applyFont="1" applyBorder="1" applyAlignment="1">
      <alignment horizontal="center"/>
    </xf>
    <xf numFmtId="176" fontId="13" fillId="0" borderId="67" xfId="0" applyNumberFormat="1" applyFont="1" applyBorder="1" applyAlignment="1">
      <alignment horizontal="center"/>
    </xf>
    <xf numFmtId="176" fontId="13" fillId="0" borderId="75" xfId="0" applyNumberFormat="1" applyFont="1" applyBorder="1" applyAlignment="1">
      <alignment horizontal="center"/>
    </xf>
    <xf numFmtId="176" fontId="13" fillId="0" borderId="64" xfId="0" applyNumberFormat="1" applyFont="1" applyBorder="1" applyAlignment="1">
      <alignment horizontal="center"/>
    </xf>
    <xf numFmtId="176" fontId="13" fillId="0" borderId="36" xfId="0" applyNumberFormat="1" applyFont="1" applyBorder="1" applyAlignment="1">
      <alignment horizontal="center"/>
    </xf>
    <xf numFmtId="176" fontId="13" fillId="0" borderId="37" xfId="0" applyNumberFormat="1" applyFont="1" applyBorder="1"/>
    <xf numFmtId="176" fontId="13" fillId="0" borderId="64" xfId="0" applyNumberFormat="1" applyFont="1" applyBorder="1"/>
    <xf numFmtId="0" fontId="17" fillId="0" borderId="45" xfId="0" applyFont="1" applyBorder="1" applyAlignment="1">
      <alignment horizontal="center"/>
    </xf>
    <xf numFmtId="0" fontId="17" fillId="0" borderId="38" xfId="0" applyFont="1" applyBorder="1" applyAlignment="1">
      <alignment horizontal="center"/>
    </xf>
    <xf numFmtId="169" fontId="13" fillId="0" borderId="75" xfId="0" applyNumberFormat="1" applyFont="1" applyBorder="1"/>
    <xf numFmtId="171" fontId="13" fillId="0" borderId="43" xfId="12" applyNumberFormat="1" applyFont="1" applyBorder="1" applyAlignment="1">
      <alignment horizontal="center"/>
    </xf>
    <xf numFmtId="169" fontId="13" fillId="0" borderId="78" xfId="0" applyNumberFormat="1" applyFont="1" applyBorder="1"/>
    <xf numFmtId="171" fontId="13" fillId="0" borderId="47" xfId="12" applyNumberFormat="1" applyFont="1" applyBorder="1" applyAlignment="1">
      <alignment horizontal="center"/>
    </xf>
    <xf numFmtId="171" fontId="13" fillId="0" borderId="78" xfId="12" applyNumberFormat="1" applyFont="1" applyBorder="1" applyAlignment="1">
      <alignment horizontal="center"/>
    </xf>
    <xf numFmtId="176" fontId="13" fillId="18" borderId="47" xfId="0" applyNumberFormat="1" applyFont="1" applyFill="1" applyBorder="1" applyAlignment="1">
      <alignment horizontal="center"/>
    </xf>
    <xf numFmtId="176" fontId="13" fillId="18" borderId="43" xfId="0" applyNumberFormat="1" applyFont="1" applyFill="1" applyBorder="1" applyAlignment="1">
      <alignment horizontal="center"/>
    </xf>
    <xf numFmtId="176" fontId="13" fillId="18" borderId="78" xfId="0" applyNumberFormat="1" applyFont="1" applyFill="1" applyBorder="1"/>
    <xf numFmtId="176" fontId="13" fillId="18" borderId="47" xfId="0" applyNumberFormat="1" applyFont="1" applyFill="1" applyBorder="1"/>
    <xf numFmtId="176" fontId="13" fillId="18" borderId="43" xfId="0" applyNumberFormat="1" applyFont="1" applyFill="1" applyBorder="1"/>
    <xf numFmtId="0" fontId="13" fillId="0" borderId="111" xfId="0" applyFont="1" applyBorder="1" applyAlignment="1">
      <alignment horizontal="center"/>
    </xf>
    <xf numFmtId="0" fontId="13" fillId="0" borderId="112" xfId="0" applyFont="1" applyBorder="1" applyAlignment="1">
      <alignment horizontal="center"/>
    </xf>
    <xf numFmtId="169" fontId="13" fillId="0" borderId="113" xfId="0" applyNumberFormat="1" applyFont="1" applyBorder="1"/>
    <xf numFmtId="169" fontId="13" fillId="0" borderId="111" xfId="0" applyNumberFormat="1" applyFont="1" applyBorder="1"/>
    <xf numFmtId="169" fontId="13" fillId="0" borderId="112" xfId="0" applyNumberFormat="1" applyFont="1" applyBorder="1"/>
    <xf numFmtId="169" fontId="13" fillId="0" borderId="114" xfId="0" applyNumberFormat="1" applyFont="1" applyBorder="1"/>
    <xf numFmtId="169" fontId="13" fillId="0" borderId="115" xfId="0" applyNumberFormat="1" applyFont="1" applyBorder="1"/>
    <xf numFmtId="169" fontId="13" fillId="0" borderId="116" xfId="0" applyNumberFormat="1" applyFont="1" applyBorder="1"/>
    <xf numFmtId="176" fontId="15" fillId="0" borderId="117" xfId="0" applyNumberFormat="1" applyFont="1" applyBorder="1"/>
    <xf numFmtId="176" fontId="15" fillId="0" borderId="118" xfId="0" applyNumberFormat="1" applyFont="1" applyBorder="1"/>
    <xf numFmtId="176" fontId="15" fillId="0" borderId="119" xfId="0" applyNumberFormat="1" applyFont="1" applyBorder="1"/>
    <xf numFmtId="182" fontId="13" fillId="9" borderId="3" xfId="0" applyNumberFormat="1" applyFont="1" applyFill="1" applyBorder="1" applyAlignment="1" applyProtection="1">
      <alignment horizontal="left" indent="2"/>
      <protection locked="0"/>
    </xf>
    <xf numFmtId="176" fontId="13" fillId="9" borderId="63" xfId="0" applyNumberFormat="1" applyFont="1" applyFill="1" applyBorder="1" applyProtection="1">
      <protection locked="0"/>
    </xf>
    <xf numFmtId="176" fontId="13" fillId="9" borderId="43" xfId="4" applyNumberFormat="1" applyFont="1" applyFill="1" applyBorder="1" applyProtection="1">
      <protection locked="0"/>
    </xf>
    <xf numFmtId="177" fontId="13" fillId="9" borderId="43" xfId="4" applyNumberFormat="1" applyFont="1" applyFill="1" applyBorder="1" applyProtection="1">
      <protection locked="0"/>
    </xf>
    <xf numFmtId="177" fontId="13" fillId="9" borderId="72" xfId="4" applyNumberFormat="1" applyFont="1" applyFill="1" applyBorder="1" applyProtection="1">
      <protection locked="0"/>
    </xf>
    <xf numFmtId="41" fontId="13" fillId="9" borderId="43" xfId="1" applyNumberFormat="1" applyFont="1" applyFill="1" applyBorder="1" applyAlignment="1" applyProtection="1">
      <alignment horizontal="center" vertical="top" wrapText="1"/>
      <protection locked="0"/>
    </xf>
    <xf numFmtId="41" fontId="13" fillId="9" borderId="72" xfId="1" applyNumberFormat="1" applyFont="1" applyFill="1" applyBorder="1" applyAlignment="1" applyProtection="1">
      <alignment horizontal="center" vertical="top" wrapText="1"/>
      <protection locked="0"/>
    </xf>
    <xf numFmtId="177" fontId="13" fillId="9" borderId="110" xfId="0" applyNumberFormat="1" applyFont="1" applyFill="1" applyBorder="1" applyAlignment="1" applyProtection="1">
      <alignment horizontal="center" vertical="top" wrapText="1"/>
      <protection locked="0"/>
    </xf>
    <xf numFmtId="41" fontId="13" fillId="9" borderId="101" xfId="0" applyNumberFormat="1" applyFont="1" applyFill="1" applyBorder="1" applyProtection="1">
      <protection locked="0"/>
    </xf>
    <xf numFmtId="165" fontId="13" fillId="9" borderId="71" xfId="4" applyNumberFormat="1" applyFont="1" applyFill="1" applyBorder="1" applyProtection="1">
      <protection locked="0"/>
    </xf>
    <xf numFmtId="165" fontId="13" fillId="9" borderId="101" xfId="1" applyNumberFormat="1" applyFont="1" applyFill="1" applyBorder="1" applyAlignment="1" applyProtection="1">
      <alignment horizontal="center" vertical="top" wrapText="1"/>
      <protection locked="0"/>
    </xf>
    <xf numFmtId="165" fontId="13" fillId="9" borderId="110" xfId="1" applyNumberFormat="1" applyFont="1" applyFill="1" applyBorder="1" applyAlignment="1" applyProtection="1">
      <alignment horizontal="center" vertical="top" wrapText="1"/>
      <protection locked="0"/>
    </xf>
    <xf numFmtId="165" fontId="13" fillId="9" borderId="47" xfId="1" applyNumberFormat="1" applyFont="1" applyFill="1" applyBorder="1" applyAlignment="1" applyProtection="1">
      <alignment horizontal="center" vertical="top" wrapText="1"/>
      <protection locked="0"/>
    </xf>
    <xf numFmtId="165" fontId="13" fillId="9" borderId="71" xfId="1" applyNumberFormat="1" applyFont="1" applyFill="1" applyBorder="1" applyAlignment="1" applyProtection="1">
      <alignment horizontal="center" vertical="top" wrapText="1"/>
      <protection locked="0"/>
    </xf>
    <xf numFmtId="168" fontId="13" fillId="9" borderId="47" xfId="4" applyNumberFormat="1" applyFont="1" applyFill="1" applyBorder="1" applyAlignment="1" applyProtection="1">
      <alignment horizontal="center" vertical="top" wrapText="1"/>
      <protection locked="0"/>
    </xf>
    <xf numFmtId="0" fontId="13" fillId="0" borderId="3" xfId="0" applyNumberFormat="1" applyFont="1" applyBorder="1" applyAlignment="1" applyProtection="1">
      <alignment horizontal="left" indent="2"/>
      <protection locked="0"/>
    </xf>
    <xf numFmtId="0" fontId="13" fillId="17" borderId="3" xfId="0" applyFont="1" applyFill="1" applyBorder="1" applyAlignment="1" applyProtection="1">
      <alignment horizontal="left" indent="2"/>
      <protection locked="0"/>
    </xf>
    <xf numFmtId="176" fontId="15" fillId="9" borderId="47" xfId="0" applyNumberFormat="1" applyFont="1" applyFill="1" applyBorder="1" applyAlignment="1" applyProtection="1">
      <alignment horizontal="center"/>
      <protection locked="0"/>
    </xf>
    <xf numFmtId="169" fontId="7" fillId="9" borderId="68" xfId="0" applyNumberFormat="1" applyFont="1" applyFill="1" applyBorder="1" applyProtection="1">
      <protection locked="0"/>
    </xf>
    <xf numFmtId="169" fontId="7" fillId="9" borderId="103" xfId="0" applyNumberFormat="1" applyFont="1" applyFill="1" applyBorder="1" applyProtection="1">
      <protection locked="0"/>
    </xf>
    <xf numFmtId="176" fontId="7" fillId="9" borderId="68" xfId="0" applyNumberFormat="1" applyFont="1" applyFill="1" applyBorder="1" applyProtection="1">
      <protection locked="0"/>
    </xf>
    <xf numFmtId="176" fontId="7" fillId="9" borderId="103" xfId="0" applyNumberFormat="1" applyFont="1" applyFill="1" applyBorder="1" applyProtection="1">
      <protection locked="0"/>
    </xf>
    <xf numFmtId="182" fontId="15" fillId="0" borderId="38" xfId="0" applyNumberFormat="1" applyFont="1" applyBorder="1" applyAlignment="1">
      <alignment horizontal="center"/>
    </xf>
    <xf numFmtId="182" fontId="15" fillId="0" borderId="6" xfId="0" applyNumberFormat="1" applyFont="1" applyBorder="1" applyAlignment="1">
      <alignment horizontal="center"/>
    </xf>
    <xf numFmtId="169" fontId="13" fillId="17" borderId="68" xfId="0" applyNumberFormat="1" applyFont="1" applyFill="1" applyBorder="1" applyProtection="1">
      <protection locked="0"/>
    </xf>
    <xf numFmtId="169" fontId="13" fillId="17" borderId="81" xfId="0" applyNumberFormat="1" applyFont="1" applyFill="1" applyBorder="1" applyProtection="1">
      <protection locked="0"/>
    </xf>
    <xf numFmtId="169" fontId="15" fillId="17" borderId="81" xfId="0" applyNumberFormat="1" applyFont="1" applyFill="1" applyBorder="1" applyProtection="1">
      <protection locked="0"/>
    </xf>
    <xf numFmtId="176" fontId="13" fillId="9" borderId="8" xfId="8" applyNumberFormat="1" applyFont="1" applyFill="1" applyBorder="1" applyProtection="1">
      <protection locked="0"/>
    </xf>
    <xf numFmtId="176" fontId="13" fillId="9" borderId="3" xfId="8" applyNumberFormat="1" applyFont="1" applyFill="1" applyBorder="1" applyProtection="1">
      <protection locked="0"/>
    </xf>
    <xf numFmtId="176" fontId="13" fillId="9" borderId="43" xfId="8" applyNumberFormat="1" applyFont="1" applyFill="1" applyBorder="1" applyProtection="1">
      <protection locked="0"/>
    </xf>
    <xf numFmtId="176" fontId="13" fillId="9" borderId="8" xfId="2" applyNumberFormat="1" applyFont="1" applyFill="1" applyBorder="1" applyProtection="1">
      <protection locked="0"/>
    </xf>
    <xf numFmtId="176" fontId="13" fillId="9" borderId="3" xfId="2" applyNumberFormat="1" applyFont="1" applyFill="1" applyBorder="1" applyProtection="1">
      <protection locked="0"/>
    </xf>
    <xf numFmtId="176" fontId="13" fillId="9" borderId="43" xfId="2" applyNumberFormat="1" applyFont="1" applyFill="1" applyBorder="1" applyProtection="1">
      <protection locked="0"/>
    </xf>
    <xf numFmtId="176" fontId="13" fillId="9" borderId="47" xfId="8" applyNumberFormat="1" applyFont="1" applyFill="1" applyBorder="1" applyProtection="1">
      <protection locked="0"/>
    </xf>
    <xf numFmtId="176" fontId="13" fillId="9" borderId="47" xfId="2" applyNumberFormat="1" applyFont="1" applyFill="1" applyBorder="1" applyProtection="1">
      <protection locked="0"/>
    </xf>
    <xf numFmtId="176" fontId="13" fillId="9" borderId="8" xfId="2" applyNumberFormat="1" applyFont="1" applyFill="1" applyBorder="1" applyAlignment="1" applyProtection="1">
      <alignment horizontal="right"/>
      <protection locked="0"/>
    </xf>
    <xf numFmtId="176" fontId="13" fillId="9" borderId="3" xfId="2" applyNumberFormat="1" applyFont="1" applyFill="1" applyBorder="1" applyAlignment="1" applyProtection="1">
      <alignment horizontal="right"/>
      <protection locked="0"/>
    </xf>
    <xf numFmtId="176" fontId="13" fillId="9" borderId="0" xfId="2" applyNumberFormat="1" applyFont="1" applyFill="1" applyBorder="1" applyProtection="1">
      <protection locked="0"/>
    </xf>
    <xf numFmtId="176" fontId="13" fillId="9" borderId="78" xfId="10" applyNumberFormat="1" applyFont="1" applyFill="1" applyBorder="1" applyProtection="1">
      <protection locked="0"/>
    </xf>
    <xf numFmtId="176" fontId="13" fillId="9" borderId="47" xfId="10" applyNumberFormat="1" applyFont="1" applyFill="1" applyBorder="1" applyProtection="1">
      <protection locked="0"/>
    </xf>
    <xf numFmtId="176" fontId="13" fillId="9" borderId="99" xfId="10" applyNumberFormat="1" applyFont="1" applyFill="1" applyBorder="1" applyProtection="1">
      <protection locked="0"/>
    </xf>
    <xf numFmtId="176" fontId="13" fillId="9" borderId="71" xfId="10" applyNumberFormat="1" applyFont="1" applyFill="1" applyBorder="1" applyProtection="1">
      <protection locked="0"/>
    </xf>
    <xf numFmtId="176" fontId="13" fillId="9" borderId="8" xfId="9" applyNumberFormat="1" applyFont="1" applyFill="1" applyBorder="1" applyProtection="1">
      <protection locked="0"/>
    </xf>
    <xf numFmtId="176" fontId="13" fillId="9" borderId="3" xfId="9" applyNumberFormat="1" applyFont="1" applyFill="1" applyBorder="1" applyProtection="1">
      <protection locked="0"/>
    </xf>
    <xf numFmtId="177" fontId="13" fillId="9" borderId="3" xfId="2" applyNumberFormat="1" applyFont="1" applyFill="1" applyBorder="1" applyProtection="1">
      <protection locked="0"/>
    </xf>
    <xf numFmtId="177" fontId="13" fillId="9" borderId="8" xfId="2" applyNumberFormat="1" applyFont="1" applyFill="1" applyBorder="1" applyProtection="1">
      <protection locked="0"/>
    </xf>
    <xf numFmtId="177" fontId="13" fillId="9" borderId="69" xfId="2" applyNumberFormat="1" applyFont="1" applyFill="1" applyBorder="1" applyProtection="1">
      <protection locked="0"/>
    </xf>
    <xf numFmtId="176" fontId="50" fillId="9" borderId="47" xfId="0" applyNumberFormat="1" applyFont="1" applyFill="1" applyBorder="1" applyProtection="1">
      <protection locked="0"/>
    </xf>
    <xf numFmtId="176" fontId="13" fillId="9" borderId="71" xfId="8" applyNumberFormat="1" applyFont="1" applyFill="1" applyBorder="1" applyProtection="1">
      <protection locked="0"/>
    </xf>
    <xf numFmtId="176" fontId="13" fillId="9" borderId="47" xfId="9" applyNumberFormat="1" applyFont="1" applyFill="1" applyBorder="1" applyProtection="1">
      <protection locked="0"/>
    </xf>
    <xf numFmtId="177" fontId="13" fillId="9" borderId="47" xfId="9" applyNumberFormat="1" applyFont="1" applyFill="1" applyBorder="1" applyProtection="1">
      <protection locked="0"/>
    </xf>
    <xf numFmtId="177" fontId="13" fillId="9" borderId="47" xfId="3" applyNumberFormat="1" applyFont="1" applyFill="1" applyBorder="1" applyProtection="1">
      <protection locked="0"/>
    </xf>
    <xf numFmtId="177" fontId="13" fillId="9" borderId="71" xfId="9" applyNumberFormat="1" applyFont="1" applyFill="1" applyBorder="1" applyProtection="1">
      <protection locked="0"/>
    </xf>
    <xf numFmtId="169" fontId="13" fillId="9" borderId="3" xfId="0" applyNumberFormat="1" applyFont="1" applyFill="1" applyBorder="1" applyProtection="1">
      <protection locked="0"/>
    </xf>
    <xf numFmtId="169" fontId="13" fillId="9" borderId="69" xfId="0" applyNumberFormat="1" applyFont="1" applyFill="1" applyBorder="1" applyProtection="1">
      <protection locked="0"/>
    </xf>
    <xf numFmtId="169" fontId="13" fillId="9" borderId="73" xfId="0" quotePrefix="1" applyNumberFormat="1" applyFont="1" applyFill="1" applyBorder="1" applyProtection="1">
      <protection locked="0"/>
    </xf>
    <xf numFmtId="169" fontId="15" fillId="9" borderId="3" xfId="0" applyNumberFormat="1" applyFont="1" applyFill="1" applyBorder="1" applyProtection="1">
      <protection locked="0"/>
    </xf>
    <xf numFmtId="0" fontId="13" fillId="6" borderId="3" xfId="0" applyNumberFormat="1" applyFont="1" applyFill="1" applyBorder="1" applyAlignment="1" applyProtection="1">
      <alignment horizontal="left" indent="1"/>
      <protection locked="0"/>
    </xf>
    <xf numFmtId="0" fontId="13" fillId="0" borderId="3" xfId="0" applyNumberFormat="1" applyFont="1" applyFill="1" applyBorder="1" applyAlignment="1" applyProtection="1">
      <alignment horizontal="left" indent="1"/>
      <protection locked="0"/>
    </xf>
    <xf numFmtId="0" fontId="13" fillId="0" borderId="3" xfId="0" applyNumberFormat="1" applyFont="1" applyBorder="1" applyAlignment="1" applyProtection="1">
      <alignment horizontal="left" indent="1"/>
      <protection locked="0"/>
    </xf>
    <xf numFmtId="169" fontId="51" fillId="9" borderId="47" xfId="0" applyNumberFormat="1" applyFont="1" applyFill="1" applyBorder="1" applyProtection="1">
      <protection locked="0"/>
    </xf>
    <xf numFmtId="0" fontId="13" fillId="9" borderId="3" xfId="0" applyNumberFormat="1" applyFont="1" applyFill="1" applyBorder="1" applyAlignment="1" applyProtection="1">
      <alignment vertical="top" wrapText="1"/>
      <protection locked="0"/>
    </xf>
    <xf numFmtId="0" fontId="13" fillId="9" borderId="43" xfId="0" applyNumberFormat="1" applyFont="1" applyFill="1" applyBorder="1" applyAlignment="1" applyProtection="1">
      <alignment vertical="top" wrapText="1"/>
      <protection locked="0"/>
    </xf>
    <xf numFmtId="182" fontId="13" fillId="9" borderId="3" xfId="0" applyNumberFormat="1" applyFont="1" applyFill="1" applyBorder="1" applyAlignment="1" applyProtection="1">
      <alignment vertical="top" wrapText="1"/>
      <protection locked="0"/>
    </xf>
    <xf numFmtId="182" fontId="13" fillId="9" borderId="43" xfId="0" applyNumberFormat="1" applyFont="1" applyFill="1" applyBorder="1" applyAlignment="1" applyProtection="1">
      <alignment vertical="top" wrapText="1"/>
      <protection locked="0"/>
    </xf>
    <xf numFmtId="182" fontId="13" fillId="9" borderId="47" xfId="12" applyNumberFormat="1" applyFont="1" applyFill="1" applyBorder="1" applyAlignment="1" applyProtection="1">
      <alignment horizontal="center" vertical="top" wrapText="1"/>
      <protection locked="0"/>
    </xf>
    <xf numFmtId="182" fontId="13" fillId="9" borderId="78" xfId="0" applyNumberFormat="1" applyFont="1" applyFill="1" applyBorder="1" applyAlignment="1" applyProtection="1">
      <alignment horizontal="left" vertical="top" wrapText="1"/>
      <protection locked="0"/>
    </xf>
    <xf numFmtId="182" fontId="13" fillId="9" borderId="99" xfId="0" applyNumberFormat="1" applyFont="1" applyFill="1" applyBorder="1" applyAlignment="1" applyProtection="1">
      <alignment horizontal="left" vertical="top" wrapText="1"/>
      <protection locked="0"/>
    </xf>
    <xf numFmtId="182" fontId="13" fillId="9" borderId="78" xfId="2" applyNumberFormat="1" applyFont="1" applyFill="1" applyBorder="1" applyAlignment="1" applyProtection="1">
      <alignment horizontal="center" vertical="top" wrapText="1"/>
      <protection locked="0"/>
    </xf>
    <xf numFmtId="1" fontId="13" fillId="9" borderId="78" xfId="2" applyNumberFormat="1" applyFont="1" applyFill="1" applyBorder="1" applyAlignment="1" applyProtection="1">
      <alignment horizontal="center" vertical="top" wrapText="1"/>
      <protection locked="0"/>
    </xf>
    <xf numFmtId="1" fontId="13" fillId="9" borderId="99" xfId="12" applyNumberFormat="1" applyFont="1" applyFill="1" applyBorder="1" applyAlignment="1" applyProtection="1">
      <alignment horizontal="center" vertical="top" wrapText="1"/>
      <protection locked="0"/>
    </xf>
    <xf numFmtId="1" fontId="13" fillId="9" borderId="99" xfId="2" applyNumberFormat="1" applyFont="1" applyFill="1" applyBorder="1" applyAlignment="1" applyProtection="1">
      <alignment horizontal="center" vertical="top" wrapText="1"/>
      <protection locked="0"/>
    </xf>
    <xf numFmtId="1" fontId="13" fillId="9" borderId="78" xfId="2" applyNumberFormat="1" applyFont="1" applyFill="1" applyBorder="1" applyAlignment="1" applyProtection="1">
      <alignment horizontal="left" vertical="top" wrapText="1"/>
      <protection locked="0"/>
    </xf>
    <xf numFmtId="1" fontId="13" fillId="9" borderId="43" xfId="0" applyNumberFormat="1" applyFont="1" applyFill="1" applyBorder="1" applyProtection="1">
      <protection locked="0"/>
    </xf>
    <xf numFmtId="1" fontId="13" fillId="9" borderId="99" xfId="2" applyNumberFormat="1" applyFont="1" applyFill="1" applyBorder="1" applyAlignment="1" applyProtection="1">
      <alignment horizontal="left" vertical="top" wrapText="1"/>
      <protection locked="0"/>
    </xf>
    <xf numFmtId="165" fontId="13" fillId="9" borderId="87" xfId="2" applyNumberFormat="1" applyFont="1" applyFill="1" applyBorder="1" applyAlignment="1" applyProtection="1">
      <alignment horizontal="left" vertical="top" wrapText="1"/>
      <protection locked="0"/>
    </xf>
    <xf numFmtId="164" fontId="13" fillId="9" borderId="78" xfId="2" applyNumberFormat="1" applyFont="1" applyFill="1" applyBorder="1" applyAlignment="1" applyProtection="1">
      <alignment horizontal="center" vertical="top" wrapText="1"/>
      <protection locked="0"/>
    </xf>
    <xf numFmtId="1" fontId="13" fillId="9" borderId="68" xfId="2" applyNumberFormat="1" applyFont="1" applyFill="1" applyBorder="1" applyAlignment="1" applyProtection="1">
      <alignment horizontal="center" vertical="top" wrapText="1"/>
      <protection locked="0"/>
    </xf>
    <xf numFmtId="1" fontId="13" fillId="9" borderId="1" xfId="2" applyNumberFormat="1" applyFont="1" applyFill="1" applyBorder="1" applyAlignment="1" applyProtection="1">
      <alignment horizontal="center" vertical="top" wrapText="1"/>
      <protection locked="0"/>
    </xf>
    <xf numFmtId="165" fontId="13" fillId="9" borderId="103" xfId="2" applyNumberFormat="1" applyFont="1" applyFill="1" applyBorder="1" applyAlignment="1" applyProtection="1">
      <alignment horizontal="center" vertical="top" wrapText="1"/>
      <protection locked="0"/>
    </xf>
    <xf numFmtId="165" fontId="13" fillId="9" borderId="88" xfId="2" applyNumberFormat="1" applyFont="1" applyFill="1" applyBorder="1" applyAlignment="1" applyProtection="1">
      <alignment horizontal="center" vertical="top" wrapText="1"/>
      <protection locked="0"/>
    </xf>
    <xf numFmtId="168" fontId="13" fillId="9" borderId="68" xfId="2" applyNumberFormat="1" applyFont="1" applyFill="1" applyBorder="1" applyAlignment="1" applyProtection="1">
      <alignment horizontal="center" vertical="top" wrapText="1"/>
      <protection locked="0"/>
    </xf>
    <xf numFmtId="182" fontId="15" fillId="9" borderId="8" xfId="0" applyNumberFormat="1" applyFont="1" applyFill="1" applyBorder="1" applyAlignment="1" applyProtection="1">
      <alignment horizontal="center"/>
      <protection locked="0"/>
    </xf>
    <xf numFmtId="182" fontId="15" fillId="9" borderId="3" xfId="0" applyNumberFormat="1" applyFont="1" applyFill="1" applyBorder="1" applyAlignment="1" applyProtection="1">
      <alignment horizontal="center"/>
      <protection locked="0"/>
    </xf>
    <xf numFmtId="182" fontId="13" fillId="9" borderId="8" xfId="0" applyNumberFormat="1" applyFont="1" applyFill="1" applyBorder="1" applyAlignment="1" applyProtection="1">
      <alignment horizontal="center"/>
      <protection locked="0"/>
    </xf>
    <xf numFmtId="182" fontId="13" fillId="9" borderId="3" xfId="0" applyNumberFormat="1" applyFont="1" applyFill="1" applyBorder="1" applyAlignment="1" applyProtection="1">
      <alignment horizontal="center"/>
      <protection locked="0"/>
    </xf>
    <xf numFmtId="177" fontId="15" fillId="9" borderId="8" xfId="2" applyNumberFormat="1" applyFont="1" applyFill="1" applyBorder="1" applyAlignment="1" applyProtection="1">
      <protection locked="0"/>
    </xf>
    <xf numFmtId="177" fontId="13" fillId="9" borderId="3" xfId="2" applyNumberFormat="1" applyFont="1" applyFill="1" applyBorder="1" applyAlignment="1" applyProtection="1">
      <protection locked="0"/>
    </xf>
    <xf numFmtId="177" fontId="13" fillId="9" borderId="8" xfId="2" applyNumberFormat="1" applyFont="1" applyFill="1" applyBorder="1" applyAlignment="1" applyProtection="1">
      <protection locked="0"/>
    </xf>
    <xf numFmtId="175" fontId="13" fillId="9" borderId="8" xfId="2" applyNumberFormat="1" applyFont="1" applyFill="1" applyBorder="1" applyProtection="1">
      <protection locked="0"/>
    </xf>
    <xf numFmtId="175" fontId="13" fillId="9" borderId="3" xfId="2" applyNumberFormat="1" applyFont="1" applyFill="1" applyBorder="1" applyProtection="1">
      <protection locked="0"/>
    </xf>
    <xf numFmtId="182" fontId="13" fillId="9" borderId="8" xfId="2" applyNumberFormat="1" applyFont="1" applyFill="1" applyBorder="1" applyAlignment="1" applyProtection="1">
      <alignment horizontal="center"/>
      <protection locked="0"/>
    </xf>
    <xf numFmtId="182" fontId="13" fillId="9" borderId="3" xfId="2" applyNumberFormat="1" applyFont="1" applyFill="1" applyBorder="1" applyAlignment="1" applyProtection="1">
      <alignment horizontal="center"/>
      <protection locked="0"/>
    </xf>
    <xf numFmtId="177" fontId="13" fillId="9" borderId="43" xfId="2" applyNumberFormat="1" applyFont="1" applyFill="1" applyBorder="1" applyProtection="1">
      <protection locked="0"/>
    </xf>
    <xf numFmtId="177" fontId="13" fillId="9" borderId="78" xfId="2" applyNumberFormat="1" applyFont="1" applyFill="1" applyBorder="1" applyProtection="1">
      <protection locked="0"/>
    </xf>
    <xf numFmtId="179" fontId="13" fillId="9" borderId="43" xfId="2" applyNumberFormat="1" applyFont="1" applyFill="1" applyBorder="1" applyProtection="1">
      <protection locked="0"/>
    </xf>
    <xf numFmtId="176" fontId="13" fillId="9" borderId="46" xfId="2" applyNumberFormat="1" applyFont="1" applyFill="1" applyBorder="1" applyProtection="1">
      <protection locked="0"/>
    </xf>
    <xf numFmtId="180" fontId="13" fillId="9" borderId="8" xfId="2" applyNumberFormat="1" applyFont="1" applyFill="1" applyBorder="1" applyAlignment="1" applyProtection="1">
      <alignment vertical="top" wrapText="1"/>
      <protection locked="0"/>
    </xf>
    <xf numFmtId="180" fontId="13" fillId="9" borderId="3" xfId="2" applyNumberFormat="1" applyFont="1" applyFill="1" applyBorder="1" applyAlignment="1" applyProtection="1">
      <alignment vertical="top" wrapText="1"/>
      <protection locked="0"/>
    </xf>
    <xf numFmtId="180" fontId="13" fillId="9" borderId="0" xfId="2" applyNumberFormat="1" applyFont="1" applyFill="1" applyBorder="1" applyAlignment="1" applyProtection="1">
      <alignment vertical="top" wrapText="1"/>
      <protection locked="0"/>
    </xf>
    <xf numFmtId="180" fontId="13" fillId="9" borderId="43" xfId="2" applyNumberFormat="1" applyFont="1" applyFill="1" applyBorder="1" applyAlignment="1" applyProtection="1">
      <alignment vertical="top" wrapText="1"/>
      <protection locked="0"/>
    </xf>
    <xf numFmtId="182" fontId="18" fillId="9" borderId="3" xfId="0" applyNumberFormat="1" applyFont="1" applyFill="1" applyBorder="1" applyAlignment="1" applyProtection="1">
      <alignment horizontal="left" indent="2"/>
      <protection locked="0"/>
    </xf>
    <xf numFmtId="182" fontId="13" fillId="9" borderId="3" xfId="0" applyNumberFormat="1" applyFont="1" applyFill="1" applyBorder="1" applyAlignment="1" applyProtection="1">
      <alignment horizontal="left" wrapText="1" indent="2"/>
      <protection locked="0"/>
    </xf>
    <xf numFmtId="176" fontId="13" fillId="9" borderId="0" xfId="2" applyNumberFormat="1" applyFont="1" applyFill="1" applyBorder="1" applyAlignment="1" applyProtection="1">
      <protection locked="0"/>
    </xf>
    <xf numFmtId="176" fontId="13" fillId="9" borderId="3" xfId="2" applyNumberFormat="1" applyFont="1" applyFill="1" applyBorder="1" applyAlignment="1" applyProtection="1">
      <protection locked="0"/>
    </xf>
    <xf numFmtId="176" fontId="13" fillId="9" borderId="8" xfId="2" applyNumberFormat="1" applyFont="1" applyFill="1" applyBorder="1" applyAlignment="1" applyProtection="1">
      <protection locked="0"/>
    </xf>
    <xf numFmtId="176" fontId="13" fillId="9" borderId="47" xfId="2" applyNumberFormat="1" applyFont="1" applyFill="1" applyBorder="1" applyAlignment="1" applyProtection="1">
      <protection locked="0"/>
    </xf>
    <xf numFmtId="177" fontId="13" fillId="17" borderId="43" xfId="2" applyNumberFormat="1" applyFont="1" applyFill="1" applyBorder="1" applyProtection="1">
      <protection locked="0"/>
    </xf>
    <xf numFmtId="177" fontId="13" fillId="9" borderId="0" xfId="2" applyNumberFormat="1" applyFont="1" applyFill="1" applyBorder="1" applyProtection="1">
      <protection locked="0"/>
    </xf>
    <xf numFmtId="177" fontId="13" fillId="17" borderId="3" xfId="14" applyNumberFormat="1" applyFont="1" applyFill="1" applyBorder="1" applyAlignment="1" applyProtection="1">
      <alignment horizontal="center"/>
      <protection locked="0"/>
    </xf>
    <xf numFmtId="177" fontId="13" fillId="17" borderId="43" xfId="14" applyNumberFormat="1" applyFont="1" applyFill="1" applyBorder="1" applyAlignment="1" applyProtection="1">
      <alignment horizontal="center"/>
      <protection locked="0"/>
    </xf>
    <xf numFmtId="177" fontId="13" fillId="17" borderId="78" xfId="14" applyNumberFormat="1" applyFont="1" applyFill="1" applyBorder="1" applyAlignment="1" applyProtection="1">
      <alignment horizontal="center"/>
      <protection locked="0"/>
    </xf>
    <xf numFmtId="182" fontId="18" fillId="9" borderId="3" xfId="0" applyNumberFormat="1" applyFont="1" applyFill="1" applyBorder="1" applyAlignment="1" applyProtection="1">
      <alignment horizontal="left" indent="1"/>
      <protection locked="0"/>
    </xf>
    <xf numFmtId="182" fontId="24" fillId="17" borderId="0" xfId="0" applyNumberFormat="1" applyFont="1" applyFill="1" applyProtection="1">
      <protection locked="0"/>
    </xf>
    <xf numFmtId="182" fontId="24" fillId="17" borderId="3" xfId="0" applyNumberFormat="1" applyFont="1" applyFill="1" applyBorder="1" applyProtection="1">
      <protection locked="0"/>
    </xf>
    <xf numFmtId="182" fontId="13" fillId="17" borderId="81" xfId="0" applyNumberFormat="1" applyFont="1" applyFill="1" applyBorder="1" applyProtection="1">
      <protection locked="0"/>
    </xf>
    <xf numFmtId="182" fontId="13" fillId="17" borderId="68" xfId="0" applyNumberFormat="1" applyFont="1" applyFill="1" applyBorder="1" applyProtection="1">
      <protection locked="0"/>
    </xf>
    <xf numFmtId="182" fontId="13" fillId="17" borderId="70" xfId="0" applyNumberFormat="1" applyFont="1" applyFill="1" applyBorder="1" applyProtection="1">
      <protection locked="0"/>
    </xf>
    <xf numFmtId="2" fontId="13" fillId="9" borderId="36" xfId="0" applyNumberFormat="1" applyFont="1" applyFill="1" applyBorder="1" applyProtection="1">
      <protection locked="0"/>
    </xf>
    <xf numFmtId="2" fontId="13" fillId="9" borderId="64" xfId="0" applyNumberFormat="1" applyFont="1" applyFill="1" applyBorder="1" applyProtection="1">
      <protection locked="0"/>
    </xf>
    <xf numFmtId="2" fontId="13" fillId="9" borderId="66" xfId="0" applyNumberFormat="1" applyFont="1" applyFill="1" applyBorder="1" applyProtection="1">
      <protection locked="0"/>
    </xf>
    <xf numFmtId="169" fontId="7" fillId="9" borderId="1" xfId="0" applyNumberFormat="1" applyFont="1" applyFill="1" applyBorder="1" applyProtection="1">
      <protection locked="0"/>
    </xf>
    <xf numFmtId="169" fontId="7" fillId="9" borderId="88" xfId="0" applyNumberFormat="1" applyFont="1" applyFill="1" applyBorder="1" applyProtection="1">
      <protection locked="0"/>
    </xf>
    <xf numFmtId="176" fontId="7" fillId="9" borderId="1" xfId="0" applyNumberFormat="1" applyFont="1" applyFill="1" applyBorder="1" applyProtection="1">
      <protection locked="0"/>
    </xf>
    <xf numFmtId="176" fontId="7" fillId="9" borderId="88" xfId="0" applyNumberFormat="1" applyFont="1" applyFill="1" applyBorder="1" applyProtection="1">
      <protection locked="0"/>
    </xf>
    <xf numFmtId="176" fontId="13" fillId="9" borderId="78" xfId="2" applyNumberFormat="1" applyFont="1" applyFill="1" applyBorder="1" applyProtection="1">
      <protection locked="0"/>
    </xf>
    <xf numFmtId="176" fontId="50" fillId="9" borderId="8" xfId="0" applyNumberFormat="1" applyFont="1" applyFill="1" applyBorder="1" applyProtection="1">
      <protection locked="0"/>
    </xf>
    <xf numFmtId="176" fontId="13" fillId="9" borderId="73" xfId="8" applyNumberFormat="1" applyFont="1" applyFill="1" applyBorder="1" applyProtection="1">
      <protection locked="0"/>
    </xf>
    <xf numFmtId="177" fontId="13" fillId="9" borderId="8" xfId="9" applyNumberFormat="1" applyFont="1" applyFill="1" applyBorder="1" applyProtection="1">
      <protection locked="0"/>
    </xf>
    <xf numFmtId="177" fontId="13" fillId="9" borderId="73" xfId="9" applyNumberFormat="1" applyFont="1" applyFill="1" applyBorder="1" applyProtection="1">
      <protection locked="0"/>
    </xf>
    <xf numFmtId="176" fontId="13" fillId="9" borderId="43" xfId="2" applyNumberFormat="1" applyFont="1" applyFill="1" applyBorder="1" applyAlignment="1" applyProtection="1">
      <protection locked="0"/>
    </xf>
    <xf numFmtId="176" fontId="13" fillId="17" borderId="44" xfId="0" applyNumberFormat="1" applyFont="1" applyFill="1" applyBorder="1" applyProtection="1">
      <protection locked="0"/>
    </xf>
    <xf numFmtId="176" fontId="15" fillId="0" borderId="69" xfId="0" applyNumberFormat="1" applyFont="1" applyBorder="1"/>
    <xf numFmtId="3" fontId="13" fillId="9" borderId="47" xfId="0" applyNumberFormat="1" applyFont="1" applyFill="1" applyBorder="1" applyProtection="1">
      <protection locked="0"/>
    </xf>
    <xf numFmtId="4" fontId="13" fillId="9" borderId="47" xfId="0" applyNumberFormat="1" applyFont="1" applyFill="1" applyBorder="1" applyProtection="1">
      <protection locked="0"/>
    </xf>
    <xf numFmtId="176" fontId="49" fillId="0" borderId="43" xfId="0" applyNumberFormat="1" applyFont="1" applyFill="1" applyBorder="1"/>
    <xf numFmtId="176" fontId="49" fillId="0" borderId="8" xfId="0" applyNumberFormat="1" applyFont="1" applyFill="1" applyBorder="1"/>
    <xf numFmtId="176" fontId="49" fillId="0" borderId="3" xfId="0" applyNumberFormat="1" applyFont="1" applyFill="1" applyBorder="1"/>
    <xf numFmtId="176" fontId="49" fillId="0" borderId="0" xfId="0" applyNumberFormat="1" applyFont="1" applyFill="1" applyBorder="1"/>
    <xf numFmtId="176" fontId="49" fillId="0" borderId="47" xfId="0" applyNumberFormat="1" applyFont="1" applyFill="1" applyBorder="1"/>
    <xf numFmtId="176" fontId="13" fillId="9" borderId="43" xfId="0" applyNumberFormat="1" applyFont="1" applyFill="1" applyBorder="1" applyAlignment="1" applyProtection="1">
      <protection locked="0"/>
    </xf>
    <xf numFmtId="176" fontId="13" fillId="9" borderId="8" xfId="0" applyNumberFormat="1" applyFont="1" applyFill="1" applyBorder="1" applyAlignment="1" applyProtection="1">
      <protection locked="0"/>
    </xf>
    <xf numFmtId="184" fontId="13" fillId="17" borderId="78" xfId="12" applyNumberFormat="1" applyFont="1" applyFill="1" applyBorder="1" applyAlignment="1" applyProtection="1">
      <alignment horizontal="center"/>
      <protection locked="0"/>
    </xf>
    <xf numFmtId="176" fontId="13" fillId="17" borderId="68" xfId="0" applyNumberFormat="1" applyFont="1" applyFill="1" applyBorder="1" applyAlignment="1" applyProtection="1">
      <alignment vertical="top" wrapText="1"/>
      <protection locked="0"/>
    </xf>
    <xf numFmtId="176" fontId="13" fillId="17" borderId="11" xfId="0" applyNumberFormat="1" applyFont="1" applyFill="1" applyBorder="1" applyAlignment="1" applyProtection="1">
      <alignment vertical="top" wrapText="1"/>
      <protection locked="0"/>
    </xf>
    <xf numFmtId="176" fontId="13" fillId="17" borderId="1" xfId="0" applyNumberFormat="1" applyFont="1" applyFill="1" applyBorder="1" applyAlignment="1" applyProtection="1">
      <alignment vertical="top" wrapText="1"/>
      <protection locked="0"/>
    </xf>
    <xf numFmtId="176" fontId="13" fillId="17" borderId="101" xfId="0" applyNumberFormat="1" applyFont="1" applyFill="1" applyBorder="1" applyAlignment="1" applyProtection="1">
      <alignment vertical="top" wrapText="1"/>
      <protection locked="0"/>
    </xf>
    <xf numFmtId="176" fontId="15" fillId="0" borderId="102" xfId="0" applyNumberFormat="1" applyFont="1" applyBorder="1"/>
    <xf numFmtId="176" fontId="15" fillId="0" borderId="89" xfId="0" applyNumberFormat="1" applyFont="1" applyBorder="1"/>
    <xf numFmtId="176" fontId="13" fillId="17" borderId="78" xfId="0" applyNumberFormat="1" applyFont="1" applyFill="1" applyBorder="1" applyAlignment="1" applyProtection="1">
      <alignment vertical="top" wrapText="1"/>
      <protection locked="0"/>
    </xf>
    <xf numFmtId="176" fontId="15" fillId="0" borderId="85" xfId="0" applyNumberFormat="1" applyFont="1" applyBorder="1"/>
    <xf numFmtId="0" fontId="3" fillId="9" borderId="7" xfId="0" applyFont="1" applyFill="1" applyBorder="1" applyAlignment="1" applyProtection="1">
      <alignment vertical="center"/>
      <protection locked="0"/>
    </xf>
    <xf numFmtId="0" fontId="52" fillId="9" borderId="8" xfId="5" applyFont="1" applyFill="1" applyBorder="1" applyAlignment="1" applyProtection="1">
      <alignment horizontal="justify" vertical="top" wrapText="1"/>
      <protection locked="0"/>
    </xf>
    <xf numFmtId="182" fontId="52" fillId="9" borderId="8" xfId="5" applyNumberFormat="1" applyFont="1" applyFill="1" applyBorder="1" applyAlignment="1" applyProtection="1">
      <alignment horizontal="left" vertical="top" wrapText="1"/>
      <protection locked="0"/>
    </xf>
    <xf numFmtId="182" fontId="31" fillId="9" borderId="34" xfId="0" applyNumberFormat="1" applyFont="1" applyFill="1" applyBorder="1" applyAlignment="1" applyProtection="1">
      <alignment horizontal="justify" wrapText="1"/>
      <protection locked="0"/>
    </xf>
    <xf numFmtId="183" fontId="31" fillId="9" borderId="7" xfId="0" applyNumberFormat="1" applyFont="1" applyFill="1" applyBorder="1" applyAlignment="1" applyProtection="1">
      <alignment horizontal="justify" wrapText="1"/>
      <protection locked="0"/>
    </xf>
    <xf numFmtId="182" fontId="34" fillId="9" borderId="34" xfId="0" applyNumberFormat="1" applyFont="1" applyFill="1" applyBorder="1" applyAlignment="1" applyProtection="1">
      <alignment horizontal="justify" wrapText="1"/>
      <protection locked="0"/>
    </xf>
    <xf numFmtId="182" fontId="53" fillId="9" borderId="34" xfId="5" applyNumberFormat="1" applyFont="1" applyFill="1" applyBorder="1" applyAlignment="1" applyProtection="1">
      <alignment horizontal="justify" wrapText="1"/>
      <protection locked="0"/>
    </xf>
    <xf numFmtId="182" fontId="52" fillId="9" borderId="34" xfId="5" applyNumberFormat="1" applyFont="1" applyFill="1" applyBorder="1" applyAlignment="1" applyProtection="1">
      <alignment horizontal="justify" wrapText="1"/>
      <protection locked="0"/>
    </xf>
    <xf numFmtId="182" fontId="52" fillId="9" borderId="8" xfId="5" applyNumberFormat="1" applyFont="1" applyFill="1" applyBorder="1" applyAlignment="1" applyProtection="1">
      <alignment horizontal="justify" wrapText="1"/>
      <protection locked="0"/>
    </xf>
    <xf numFmtId="0" fontId="54" fillId="17" borderId="34" xfId="0" applyFont="1" applyFill="1" applyBorder="1" applyAlignment="1" applyProtection="1">
      <alignment horizontal="justify" wrapText="1"/>
      <protection locked="0"/>
    </xf>
    <xf numFmtId="182" fontId="53" fillId="9" borderId="7" xfId="5" applyNumberFormat="1" applyFont="1" applyFill="1" applyBorder="1" applyAlignment="1" applyProtection="1">
      <alignment horizontal="justify" wrapText="1"/>
      <protection locked="0"/>
    </xf>
    <xf numFmtId="182" fontId="52" fillId="9" borderId="7" xfId="5" applyNumberFormat="1" applyFont="1" applyFill="1" applyBorder="1" applyAlignment="1" applyProtection="1">
      <alignment horizontal="justify" wrapText="1"/>
      <protection locked="0"/>
    </xf>
    <xf numFmtId="182" fontId="6" fillId="9" borderId="34" xfId="5" applyNumberFormat="1" applyFont="1" applyFill="1" applyBorder="1" applyAlignment="1" applyProtection="1">
      <alignment horizontal="justify" wrapText="1"/>
      <protection locked="0"/>
    </xf>
    <xf numFmtId="176" fontId="13" fillId="9" borderId="68" xfId="0" applyNumberFormat="1" applyFont="1" applyFill="1" applyBorder="1" applyProtection="1">
      <protection locked="0"/>
    </xf>
    <xf numFmtId="176" fontId="13" fillId="9" borderId="81" xfId="0" applyNumberFormat="1" applyFont="1" applyFill="1" applyBorder="1" applyProtection="1">
      <protection locked="0"/>
    </xf>
    <xf numFmtId="176" fontId="15" fillId="9" borderId="81" xfId="0" applyNumberFormat="1" applyFont="1" applyFill="1" applyBorder="1" applyProtection="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31" fillId="0" borderId="0" xfId="0" applyFont="1" applyBorder="1" applyAlignment="1" applyProtection="1">
      <alignment horizontal="justify" vertical="top" wrapText="1"/>
    </xf>
    <xf numFmtId="0" fontId="29" fillId="0" borderId="124" xfId="0" applyFont="1" applyBorder="1" applyAlignment="1" applyProtection="1">
      <alignment horizontal="justify" vertical="center" wrapText="1"/>
    </xf>
    <xf numFmtId="0" fontId="30" fillId="0" borderId="124" xfId="0" applyFont="1" applyBorder="1" applyAlignment="1">
      <alignment horizontal="justify" vertical="center" wrapText="1"/>
    </xf>
    <xf numFmtId="0" fontId="29" fillId="0" borderId="122" xfId="0" applyFont="1" applyBorder="1" applyAlignment="1" applyProtection="1">
      <alignment horizontal="justify" vertical="center"/>
    </xf>
    <xf numFmtId="0" fontId="0" fillId="0" borderId="123" xfId="0" applyBorder="1" applyAlignment="1">
      <alignment horizontal="justify" vertical="center"/>
    </xf>
    <xf numFmtId="0" fontId="33"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34" fillId="0" borderId="0" xfId="0" applyFont="1" applyBorder="1" applyAlignment="1" applyProtection="1">
      <alignment horizontal="justify" vertical="top" wrapText="1"/>
    </xf>
    <xf numFmtId="0" fontId="31" fillId="0" borderId="122" xfId="0" applyFont="1" applyBorder="1" applyAlignment="1" applyProtection="1">
      <alignment horizontal="justify" vertical="center" wrapText="1"/>
    </xf>
    <xf numFmtId="0" fontId="0" fillId="0" borderId="123" xfId="0" applyBorder="1" applyAlignment="1">
      <alignment horizontal="justify" vertical="center" wrapText="1"/>
    </xf>
    <xf numFmtId="0" fontId="31" fillId="0" borderId="125" xfId="0" applyFont="1" applyBorder="1" applyAlignment="1" applyProtection="1">
      <alignment horizontal="justify" wrapText="1"/>
    </xf>
    <xf numFmtId="0" fontId="0" fillId="0" borderId="126" xfId="0" applyBorder="1" applyAlignment="1">
      <alignment horizontal="justify" wrapText="1"/>
    </xf>
    <xf numFmtId="0" fontId="35" fillId="0" borderId="17" xfId="0" applyFont="1" applyBorder="1" applyAlignment="1" applyProtection="1">
      <alignment horizontal="justify" wrapText="1"/>
    </xf>
    <xf numFmtId="0" fontId="0" fillId="0" borderId="34" xfId="0" applyBorder="1" applyAlignment="1">
      <alignment horizontal="justify" wrapText="1"/>
    </xf>
    <xf numFmtId="0" fontId="31" fillId="0" borderId="17" xfId="0" applyFont="1" applyBorder="1" applyAlignment="1" applyProtection="1">
      <alignment horizontal="justify" wrapText="1"/>
    </xf>
    <xf numFmtId="0" fontId="35" fillId="0" borderId="3" xfId="0" applyFont="1" applyFill="1" applyBorder="1" applyAlignment="1" applyProtection="1">
      <alignment horizontal="justify" wrapText="1"/>
    </xf>
    <xf numFmtId="0" fontId="0" fillId="0" borderId="8" xfId="0" applyFill="1" applyBorder="1" applyAlignment="1">
      <alignment horizontal="justify" wrapText="1"/>
    </xf>
    <xf numFmtId="0" fontId="29" fillId="0" borderId="120" xfId="0" applyFont="1" applyBorder="1" applyAlignment="1" applyProtection="1">
      <alignment horizontal="justify" vertical="center" wrapText="1"/>
    </xf>
    <xf numFmtId="0" fontId="30" fillId="0" borderId="121" xfId="0" applyFont="1" applyBorder="1" applyAlignment="1">
      <alignment horizontal="justify" vertical="center" wrapText="1"/>
    </xf>
    <xf numFmtId="0" fontId="35" fillId="0" borderId="12" xfId="0" applyFont="1" applyFill="1" applyBorder="1" applyAlignment="1" applyProtection="1">
      <alignment horizontal="justify" wrapText="1"/>
    </xf>
    <xf numFmtId="0" fontId="0" fillId="0" borderId="7" xfId="0" applyFill="1" applyBorder="1" applyAlignment="1">
      <alignment horizontal="justify" wrapText="1"/>
    </xf>
    <xf numFmtId="0" fontId="31" fillId="0" borderId="120" xfId="0" applyFont="1" applyBorder="1" applyAlignment="1" applyProtection="1">
      <alignment horizontal="justify" vertical="center" wrapText="1"/>
    </xf>
    <xf numFmtId="0" fontId="0" fillId="0" borderId="121" xfId="0" applyBorder="1" applyAlignment="1">
      <alignment horizontal="justify" vertical="center" wrapText="1"/>
    </xf>
    <xf numFmtId="0" fontId="15" fillId="0" borderId="39"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39" xfId="0" applyFont="1" applyFill="1" applyBorder="1" applyAlignment="1">
      <alignment horizontal="center" vertical="center"/>
    </xf>
    <xf numFmtId="0" fontId="15" fillId="0" borderId="40" xfId="0" applyFont="1" applyFill="1" applyBorder="1" applyAlignment="1">
      <alignment horizontal="center" vertical="center"/>
    </xf>
    <xf numFmtId="0" fontId="10" fillId="0" borderId="9" xfId="0" applyFont="1" applyFill="1" applyBorder="1" applyAlignment="1">
      <alignment horizontal="left"/>
    </xf>
    <xf numFmtId="0" fontId="24" fillId="0" borderId="9" xfId="0" applyFont="1" applyBorder="1" applyAlignment="1"/>
    <xf numFmtId="0" fontId="18" fillId="0" borderId="0" xfId="0" applyFont="1" applyFill="1" applyBorder="1" applyAlignment="1" applyProtection="1">
      <alignment horizontal="left" vertical="top" wrapText="1"/>
    </xf>
    <xf numFmtId="0" fontId="15" fillId="0" borderId="41" xfId="0" applyFont="1" applyFill="1" applyBorder="1" applyAlignment="1">
      <alignment horizontal="center" vertical="center"/>
    </xf>
    <xf numFmtId="0" fontId="15" fillId="0" borderId="39" xfId="0" applyFont="1" applyFill="1" applyBorder="1" applyAlignment="1" applyProtection="1">
      <alignment horizontal="center" vertical="center"/>
    </xf>
    <xf numFmtId="0" fontId="15" fillId="0" borderId="40" xfId="0" applyFont="1" applyFill="1" applyBorder="1" applyAlignment="1" applyProtection="1">
      <alignment horizontal="center" vertical="center"/>
    </xf>
    <xf numFmtId="0" fontId="15" fillId="0" borderId="39" xfId="0" applyFont="1" applyFill="1" applyBorder="1" applyAlignment="1" applyProtection="1">
      <alignment horizontal="center" vertical="center" wrapText="1"/>
    </xf>
    <xf numFmtId="0" fontId="15" fillId="0" borderId="40" xfId="0" applyFont="1" applyFill="1" applyBorder="1" applyAlignment="1" applyProtection="1">
      <alignment horizontal="center" vertical="center" wrapText="1"/>
    </xf>
    <xf numFmtId="0" fontId="15" fillId="0" borderId="41" xfId="0" applyFont="1" applyFill="1" applyBorder="1" applyAlignment="1" applyProtection="1">
      <alignment horizontal="center" vertical="center" wrapText="1"/>
    </xf>
    <xf numFmtId="0" fontId="15" fillId="2" borderId="17" xfId="0" applyFont="1" applyFill="1" applyBorder="1" applyAlignment="1">
      <alignment horizontal="center" vertical="center" wrapText="1"/>
    </xf>
    <xf numFmtId="0" fontId="24" fillId="0" borderId="35" xfId="0" applyFont="1" applyBorder="1"/>
    <xf numFmtId="0" fontId="24" fillId="0" borderId="34" xfId="0" applyFont="1" applyBorder="1"/>
    <xf numFmtId="0" fontId="15" fillId="2" borderId="35"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41"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5" fillId="0" borderId="4"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36" xfId="0" applyFont="1" applyFill="1" applyBorder="1" applyAlignment="1" applyProtection="1">
      <alignment horizontal="center" vertical="center"/>
    </xf>
    <xf numFmtId="0" fontId="15" fillId="0" borderId="1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38" xfId="0" applyFont="1" applyFill="1" applyBorder="1" applyAlignment="1">
      <alignment horizontal="center" vertical="center"/>
    </xf>
    <xf numFmtId="0" fontId="15" fillId="0" borderId="43" xfId="0" applyFont="1" applyFill="1" applyBorder="1" applyAlignment="1">
      <alignment horizontal="center" vertical="center"/>
    </xf>
    <xf numFmtId="0" fontId="15" fillId="0" borderId="38" xfId="0" applyFont="1" applyFill="1" applyBorder="1" applyAlignment="1" applyProtection="1">
      <alignment horizontal="center" vertical="top" wrapText="1"/>
    </xf>
    <xf numFmtId="0" fontId="15" fillId="0" borderId="36" xfId="0" applyFont="1" applyFill="1" applyBorder="1" applyAlignment="1" applyProtection="1">
      <alignment horizontal="center" vertical="top" wrapText="1"/>
    </xf>
    <xf numFmtId="0" fontId="15" fillId="0" borderId="11" xfId="0" applyFont="1" applyFill="1" applyBorder="1" applyAlignment="1">
      <alignment horizontal="center" vertical="top" wrapText="1"/>
    </xf>
    <xf numFmtId="0" fontId="15" fillId="0" borderId="5" xfId="0" applyFont="1" applyFill="1" applyBorder="1" applyAlignment="1">
      <alignment horizontal="center" vertical="top" wrapText="1"/>
    </xf>
    <xf numFmtId="0" fontId="15" fillId="0" borderId="36" xfId="0" applyFont="1" applyFill="1" applyBorder="1" applyAlignment="1">
      <alignment horizontal="center" vertical="center"/>
    </xf>
    <xf numFmtId="0" fontId="15" fillId="0" borderId="75" xfId="0" applyFont="1" applyFill="1" applyBorder="1" applyAlignment="1">
      <alignment horizontal="center" vertical="center" wrapText="1"/>
    </xf>
    <xf numFmtId="0" fontId="15" fillId="0" borderId="66"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8" fillId="0" borderId="0" xfId="0" applyFont="1" applyBorder="1" applyAlignment="1">
      <alignment horizontal="left" vertical="top" wrapText="1"/>
    </xf>
    <xf numFmtId="0" fontId="15" fillId="0" borderId="35" xfId="0"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67"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45" xfId="0" applyFont="1" applyFill="1" applyBorder="1" applyAlignment="1">
      <alignment horizontal="center" vertical="center"/>
    </xf>
    <xf numFmtId="0" fontId="15" fillId="0" borderId="47" xfId="0" applyFont="1" applyFill="1" applyBorder="1" applyAlignment="1">
      <alignment horizontal="center" vertical="center"/>
    </xf>
    <xf numFmtId="0" fontId="15" fillId="0" borderId="127"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15" fillId="0" borderId="11"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4" fillId="0" borderId="0" xfId="0" applyFont="1" applyAlignment="1" applyProtection="1">
      <alignment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64" xfId="0" applyFont="1" applyFill="1" applyBorder="1" applyAlignment="1">
      <alignment horizontal="center" vertical="center" wrapText="1"/>
    </xf>
    <xf numFmtId="49" fontId="15" fillId="0" borderId="12"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2" borderId="130"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15">
    <cellStyle name="Comma" xfId="1" builtinId="3"/>
    <cellStyle name="Comma 2" xfId="2"/>
    <cellStyle name="Comma 3" xfId="3"/>
    <cellStyle name="Comma_B Schedule Municipal Adjustments Budget - 23 March 2009 cb" xfId="4"/>
    <cellStyle name="Hyperlink" xfId="5" builtinId="8"/>
    <cellStyle name="Hyperlink_AppA_Muncde_2010" xfId="6"/>
    <cellStyle name="Hyperlink_Bills" xfId="7"/>
    <cellStyle name="Normal" xfId="0" builtinId="0"/>
    <cellStyle name="Normal 2" xfId="8"/>
    <cellStyle name="Normal 3 2" xfId="9"/>
    <cellStyle name="Normal 3 3" xfId="10"/>
    <cellStyle name="Normal_Final cover - LG Reporting" xfId="11"/>
    <cellStyle name="Percent" xfId="12" builtinId="5"/>
    <cellStyle name="Percent 10 2" xfId="13"/>
    <cellStyle name="Percent 2" xfId="14"/>
  </cellStyles>
  <dxfs count="0"/>
  <tableStyles count="0" defaultTableStyle="TableStyleMedium9" defaultPivotStyle="PivotStyleLight16"/>
  <colors>
    <mruColors>
      <color rgb="FF0000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4" val="3"/>
</file>

<file path=xl/ctrlProps/ctrlProp4.xml><?xml version="1.0" encoding="utf-8"?>
<formControlPr xmlns="http://schemas.microsoft.com/office/spreadsheetml/2009/9/main" objectType="Drop" dropLines="10" dropStyle="combo" dx="16" fmlaLink="'Lookup and lists'!$B$27" fmlaRange="'Lookup and lists'!$B$29:$C$312" noThreeD="1" sel="130" val="12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Circulars/Circular%2051/MFMA%20Circular%20No%2051%20-%20Municipal%20Budget%20Circular%20for%20the%20201011%20MTREF.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Regulations%20and%20Gazettes/Municipal%20Budget%20and%20Reporting%20Regulations/Version%20of%20formats%20to%20be%20used%20for%20201011%20tabled%20and%20approved%20budgets/Budget%20Format%20Guidelines%2024022010.pdf" TargetMode="External"/><Relationship Id="rId5" Type="http://schemas.openxmlformats.org/officeDocument/2006/relationships/hyperlink" Target="http://mfma.treasury.gov.za/MFMA/Circulars/Circular%2048/MFMA%20Circular%20No%2048%20-%20Municipal%20Budget%20Circular%20for%20the%20200910%20MTREF%20-%202%20March%202009.pdf"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40668" name="Group 316"/>
        <xdr:cNvGrpSpPr>
          <a:grpSpLocks/>
        </xdr:cNvGrpSpPr>
      </xdr:nvGrpSpPr>
      <xdr:grpSpPr bwMode="auto">
        <a:xfrm>
          <a:off x="0" y="0"/>
          <a:ext cx="7534275" cy="6400800"/>
          <a:chOff x="0" y="0"/>
          <a:chExt cx="791" cy="672"/>
        </a:xfrm>
      </xdr:grpSpPr>
      <xdr:grpSp>
        <xdr:nvGrpSpPr>
          <xdr:cNvPr id="140670" name="Group 11"/>
          <xdr:cNvGrpSpPr>
            <a:grpSpLocks/>
          </xdr:cNvGrpSpPr>
        </xdr:nvGrpSpPr>
        <xdr:grpSpPr bwMode="auto">
          <a:xfrm>
            <a:off x="0" y="0"/>
            <a:ext cx="791" cy="672"/>
            <a:chOff x="0" y="0"/>
            <a:chExt cx="791" cy="672"/>
          </a:xfrm>
        </xdr:grpSpPr>
        <xdr:grpSp>
          <xdr:nvGrpSpPr>
            <xdr:cNvPr id="140672" name="Group 12"/>
            <xdr:cNvGrpSpPr>
              <a:grpSpLocks/>
            </xdr:cNvGrpSpPr>
          </xdr:nvGrpSpPr>
          <xdr:grpSpPr bwMode="auto">
            <a:xfrm>
              <a:off x="0" y="0"/>
              <a:ext cx="791" cy="672"/>
              <a:chOff x="12" y="17"/>
              <a:chExt cx="791" cy="672"/>
            </a:xfrm>
          </xdr:grpSpPr>
          <xdr:pic>
            <xdr:nvPicPr>
              <xdr:cNvPr id="140674"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40675"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40676" name="Group 15"/>
              <xdr:cNvGrpSpPr>
                <a:grpSpLocks/>
              </xdr:cNvGrpSpPr>
            </xdr:nvGrpSpPr>
            <xdr:grpSpPr bwMode="auto">
              <a:xfrm>
                <a:off x="416" y="255"/>
                <a:ext cx="367" cy="413"/>
                <a:chOff x="416" y="255"/>
                <a:chExt cx="367" cy="413"/>
              </a:xfrm>
            </xdr:grpSpPr>
            <xdr:pic>
              <xdr:nvPicPr>
                <xdr:cNvPr id="140681"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40682" name="Group 17"/>
                <xdr:cNvGrpSpPr>
                  <a:grpSpLocks/>
                </xdr:cNvGrpSpPr>
              </xdr:nvGrpSpPr>
              <xdr:grpSpPr bwMode="auto">
                <a:xfrm>
                  <a:off x="432" y="264"/>
                  <a:ext cx="286" cy="128"/>
                  <a:chOff x="426" y="263"/>
                  <a:chExt cx="290" cy="130"/>
                </a:xfrm>
              </xdr:grpSpPr>
              <xdr:pic>
                <xdr:nvPicPr>
                  <xdr:cNvPr id="140684"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40685"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Technical enquiries to the MFMA Helpline at:</a:t>
                  </a:r>
                </a:p>
                <a:p>
                  <a:pPr algn="l" rtl="1">
                    <a:defRPr sz="1000"/>
                  </a:pPr>
                  <a:r>
                    <a:rPr lang="en-US" sz="1000" b="0" i="0" strike="noStrike">
                      <a:solidFill>
                        <a:srgbClr val="000000"/>
                      </a:solidFill>
                      <a:latin typeface="Calibri"/>
                    </a:rPr>
                    <a:t>mfma@treasury.gov.za</a:t>
                  </a:r>
                </a:p>
                <a:p>
                  <a:pPr algn="l" rtl="1">
                    <a:defRPr sz="1000"/>
                  </a:pPr>
                  <a:endParaRPr lang="en-US" sz="10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r>
                    <a:rPr lang="en-US" sz="1000" b="0" i="0" strike="noStrike">
                      <a:solidFill>
                        <a:srgbClr val="000000"/>
                      </a:solidFill>
                      <a:latin typeface="Calibri"/>
                    </a:rPr>
                    <a:t>Queries on formats: lgdataqueries@treasury.gov.za</a:t>
                  </a:r>
                </a:p>
                <a:p>
                  <a:pPr algn="l" rtl="1">
                    <a:defRPr sz="1000"/>
                  </a:pPr>
                  <a:endParaRPr lang="en-US" sz="1000" b="0" i="0" strike="noStrike">
                    <a:solidFill>
                      <a:srgbClr val="000000"/>
                    </a:solidFill>
                    <a:latin typeface="Calibri"/>
                  </a:endParaRPr>
                </a:p>
              </xdr:txBody>
            </xdr:sp>
          </xdr:grpSp>
          <xdr:grpSp>
            <xdr:nvGrpSpPr>
              <xdr:cNvPr id="140677" name="Group 21"/>
              <xdr:cNvGrpSpPr>
                <a:grpSpLocks/>
              </xdr:cNvGrpSpPr>
            </xdr:nvGrpSpPr>
            <xdr:grpSpPr bwMode="auto">
              <a:xfrm>
                <a:off x="76" y="364"/>
                <a:ext cx="289" cy="256"/>
                <a:chOff x="76" y="364"/>
                <a:chExt cx="289" cy="256"/>
              </a:xfrm>
            </xdr:grpSpPr>
            <xdr:pic>
              <xdr:nvPicPr>
                <xdr:cNvPr id="140678"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40679"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40680"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40673"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2.3.</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49548"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49549"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47625</xdr:rowOff>
    </xdr:from>
    <xdr:to>
      <xdr:col>12</xdr:col>
      <xdr:colOff>257175</xdr:colOff>
      <xdr:row>45</xdr:row>
      <xdr:rowOff>66675</xdr:rowOff>
    </xdr:to>
    <xdr:pic>
      <xdr:nvPicPr>
        <xdr:cNvPr id="149564"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81525"/>
          <a:ext cx="3533775" cy="27717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 2011/12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Circular 48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9</xdr:col>
      <xdr:colOff>114301</xdr:colOff>
      <xdr:row>41</xdr:row>
      <xdr:rowOff>142875</xdr:rowOff>
    </xdr:to>
    <xdr:sp macro="" textlink="">
      <xdr:nvSpPr>
        <xdr:cNvPr id="44" name="Text Box 233"/>
        <xdr:cNvSpPr txBox="1">
          <a:spLocks noChangeArrowheads="1"/>
        </xdr:cNvSpPr>
      </xdr:nvSpPr>
      <xdr:spPr bwMode="auto">
        <a:xfrm>
          <a:off x="4171951" y="6457950"/>
          <a:ext cx="142875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a:t>
          </a:r>
          <a:r>
            <a:rPr lang="en-GB" sz="1400" b="1" i="0" u="sng" strike="noStrike" baseline="0">
              <a:solidFill>
                <a:srgbClr val="FFFFFF"/>
              </a:solidFill>
              <a:latin typeface="Calibri"/>
              <a:cs typeface="Calibri"/>
            </a:rPr>
            <a:t> </a:t>
          </a:r>
          <a:r>
            <a:rPr lang="en-GB" sz="1200" b="1" i="0" u="sng" strike="noStrike" baseline="0">
              <a:solidFill>
                <a:srgbClr val="FFFFFF"/>
              </a:solidFill>
              <a:latin typeface="Calibri"/>
              <a:cs typeface="Calibri"/>
            </a:rPr>
            <a:t>Circular</a:t>
          </a:r>
          <a:r>
            <a:rPr lang="en-GB" sz="1400" b="1" i="0" u="sng" strike="noStrike" baseline="0">
              <a:solidFill>
                <a:srgbClr val="FFFFFF"/>
              </a:solidFill>
              <a:latin typeface="Calibri"/>
              <a:cs typeface="Calibri"/>
            </a:rPr>
            <a:t> 51</a:t>
          </a: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33911" name="TextBox2"/>
            <xdr:cNvPicPr preferRelativeResize="0">
              <a:picLocks noChangeArrowheads="1" noChangeShapeType="1"/>
              <a:extLst>
                <a:ext uri="{84589F7E-364E-4C9E-8A38-B11213B215E9}">
                  <a14:cameraTool cellRange="FinYear" spid="_x0000_s133913"/>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AU" sz="800" b="0" i="0" strike="noStrike">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AU" sz="800" b="0" i="0" strike="noStrike">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lindam1/Application%20Data/Microsoft/Excel/A1%20Schedule%20Municipal%20Budget-25%20May%2020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lindam1/Application%20Data/Microsoft/Excel/Copy%20of%20B%20Schedule%20Municipal%20Adjustments%20Budget%20-%20Ver%202-2%20(Linda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Mattie/Desktop/A1%20Schedule%20Municipal%20Budget%20Master%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6">
          <cell r="C36">
            <v>100945469</v>
          </cell>
          <cell r="D36">
            <v>73606196</v>
          </cell>
          <cell r="E36">
            <v>124585407</v>
          </cell>
        </row>
        <row r="37">
          <cell r="C37">
            <v>13808673</v>
          </cell>
          <cell r="D37">
            <v>19175333</v>
          </cell>
          <cell r="E37">
            <v>5452189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A12" t="str">
            <v>Municipal Systems Improvement</v>
          </cell>
        </row>
        <row r="16">
          <cell r="A16" t="str">
            <v>Other transfers and grants [insert description]</v>
          </cell>
        </row>
        <row r="17">
          <cell r="A17" t="str">
            <v>Provincial Government:</v>
          </cell>
        </row>
        <row r="18">
          <cell r="A18" t="str">
            <v>Neighbourhood Partnership Grant</v>
          </cell>
        </row>
        <row r="19">
          <cell r="A19" t="str">
            <v>Expanded Public Works Grant</v>
          </cell>
        </row>
        <row r="20">
          <cell r="A20" t="str">
            <v>Operating Grant - Property Rates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Votes and Sub votes"/>
      <sheetName val="Lookup and lists"/>
      <sheetName val="Org structure"/>
      <sheetName val="A1-Sum"/>
      <sheetName val="A2-FinPerf SC"/>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0">
          <cell r="A20" t="str">
            <v xml:space="preserve">  Other transfers/grants - Various Grants</v>
          </cell>
        </row>
        <row r="25">
          <cell r="A25" t="str">
            <v>Total Transfers and Grants</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Thokozani.Maseko@msunduzi.gov.za" TargetMode="External"/><Relationship Id="rId13" Type="http://schemas.openxmlformats.org/officeDocument/2006/relationships/hyperlink" Target="mailto:bronwyn.benjamin@msunduzi.gov.za" TargetMode="External"/><Relationship Id="rId3" Type="http://schemas.openxmlformats.org/officeDocument/2006/relationships/hyperlink" Target="mailto:baboo.baijoo@msunduzi.gov.za" TargetMode="External"/><Relationship Id="rId7" Type="http://schemas.openxmlformats.org/officeDocument/2006/relationships/hyperlink" Target="mailto:kavina.christian@msunduzi.gov.za" TargetMode="External"/><Relationship Id="rId12" Type="http://schemas.openxmlformats.org/officeDocument/2006/relationships/hyperlink" Target="mailto:roshine.padayachee@msunduzi.gov.za" TargetMode="External"/><Relationship Id="rId2" Type="http://schemas.openxmlformats.org/officeDocument/2006/relationships/hyperlink" Target="mailto:mahendra.sahibdeen@msunduzi.gov.za" TargetMode="External"/><Relationship Id="rId1" Type="http://schemas.openxmlformats.org/officeDocument/2006/relationships/hyperlink" Target="http://www.msunduzi.gov.za/" TargetMode="External"/><Relationship Id="rId6" Type="http://schemas.openxmlformats.org/officeDocument/2006/relationships/hyperlink" Target="mailto:ashreena.jethoo@msunduzi.gov.za" TargetMode="External"/><Relationship Id="rId11" Type="http://schemas.openxmlformats.org/officeDocument/2006/relationships/hyperlink" Target="mailto:sixtus.gwala@msunduzi.gov.za" TargetMode="External"/><Relationship Id="rId5" Type="http://schemas.openxmlformats.org/officeDocument/2006/relationships/hyperlink" Target="mailto:kavina.christian@msunduzi.gov.za" TargetMode="External"/><Relationship Id="rId10" Type="http://schemas.openxmlformats.org/officeDocument/2006/relationships/hyperlink" Target="mailto:neville.sarawan@msunduzi.gov.za" TargetMode="External"/><Relationship Id="rId4" Type="http://schemas.openxmlformats.org/officeDocument/2006/relationships/hyperlink" Target="mailto:Nonhlanhla.Mkhize@msunduzi.gov.za" TargetMode="External"/><Relationship Id="rId9" Type="http://schemas.openxmlformats.org/officeDocument/2006/relationships/hyperlink" Target="mailto:mercia.daniel@msunduzi.gov.za"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pageSetUpPr fitToPage="1"/>
  </sheetPr>
  <dimension ref="A1"/>
  <sheetViews>
    <sheetView showGridLines="0" tabSelected="1" workbookViewId="0"/>
  </sheetViews>
  <sheetFormatPr defaultColWidth="8" defaultRowHeight="12.75"/>
  <cols>
    <col min="1" max="16384" width="8" style="1431"/>
  </cols>
  <sheetData>
    <row r="1" spans="1:1">
      <c r="A1" s="1431" t="str">
        <f>muni</f>
        <v>KZN225 Msunduzi</v>
      </c>
    </row>
  </sheetData>
  <sheetProtection sheet="1" objects="1" scenarios="1"/>
  <phoneticPr fontId="26" type="noConversion"/>
  <pageMargins left="0.75" right="0.75" top="1" bottom="1" header="0.5" footer="0.5"/>
  <pageSetup paperSize="8" fitToHeight="0"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workbookViewId="0">
      <selection activeCell="D45" sqref="D45"/>
    </sheetView>
  </sheetViews>
  <sheetFormatPr defaultRowHeight="12.75"/>
  <cols>
    <col min="1" max="1" width="30.7109375" style="150" customWidth="1"/>
    <col min="2" max="2" width="3" style="1075" customWidth="1"/>
    <col min="3" max="11" width="9.28515625" style="150" customWidth="1"/>
    <col min="12" max="23" width="0" style="150" hidden="1" customWidth="1"/>
    <col min="24" max="16384" width="9.140625" style="150"/>
  </cols>
  <sheetData>
    <row r="1" spans="1:24" s="180" customFormat="1">
      <c r="A1" s="1159" t="str">
        <f>muni&amp;" - "&amp;Approve2</f>
        <v>KZN225 Msunduzi - Table A3 Budgeted Financial Performance (revenue and expenditure by municipal vote)</v>
      </c>
      <c r="B1" s="1159"/>
      <c r="C1" s="1159"/>
      <c r="D1" s="1159"/>
      <c r="E1" s="1159"/>
      <c r="F1" s="1159"/>
      <c r="G1" s="1159"/>
      <c r="H1" s="1159"/>
      <c r="I1" s="1159"/>
      <c r="J1" s="1159"/>
      <c r="K1" s="1159"/>
    </row>
    <row r="2" spans="1:24" ht="28.5" customHeight="1">
      <c r="A2" s="1242" t="str">
        <f>Vdesc</f>
        <v>Vote Description</v>
      </c>
      <c r="B2" s="1243" t="str">
        <f>head27</f>
        <v>Ref</v>
      </c>
      <c r="C2" s="1161" t="str">
        <f>head1b</f>
        <v>2007/8</v>
      </c>
      <c r="D2" s="1161" t="str">
        <f>head1A</f>
        <v>2008/9</v>
      </c>
      <c r="E2" s="1162" t="str">
        <f>Head1</f>
        <v>2009/10</v>
      </c>
      <c r="F2" s="2421" t="str">
        <f>Head2</f>
        <v>Current Year 2010/11</v>
      </c>
      <c r="G2" s="2422"/>
      <c r="H2" s="2422"/>
      <c r="I2" s="2423" t="str">
        <f>Head3</f>
        <v>2011/12 Medium Term Revenue &amp; Expenditure Framework</v>
      </c>
      <c r="J2" s="2424"/>
      <c r="K2" s="2425"/>
      <c r="L2" s="2426" t="str">
        <f>Head4</f>
        <v>LTFS</v>
      </c>
      <c r="M2" s="2427"/>
      <c r="N2" s="2427"/>
      <c r="O2" s="2427"/>
      <c r="P2" s="2427"/>
      <c r="Q2" s="2427"/>
      <c r="R2" s="2427"/>
      <c r="S2" s="2427"/>
      <c r="T2" s="2427"/>
      <c r="U2" s="2427"/>
      <c r="V2" s="2427"/>
      <c r="W2" s="2428"/>
    </row>
    <row r="3" spans="1:24" ht="25.5">
      <c r="A3" s="1244" t="s">
        <v>703</v>
      </c>
      <c r="B3" s="1245"/>
      <c r="C3" s="1163" t="str">
        <f>Head5</f>
        <v>Audited Outcome</v>
      </c>
      <c r="D3" s="1163" t="str">
        <f>Head5</f>
        <v>Audited Outcome</v>
      </c>
      <c r="E3" s="1164" t="str">
        <f>Head5</f>
        <v>Audited Outcome</v>
      </c>
      <c r="F3" s="1165" t="str">
        <f>Head6</f>
        <v>Original Budget</v>
      </c>
      <c r="G3" s="1163" t="str">
        <f>Head7</f>
        <v>Adjusted Budget</v>
      </c>
      <c r="H3" s="1164" t="str">
        <f>Head8</f>
        <v>Full Year Forecast</v>
      </c>
      <c r="I3" s="1165" t="str">
        <f>Head9</f>
        <v>Budget Year 2011/12</v>
      </c>
      <c r="J3" s="1163" t="str">
        <f>Head10</f>
        <v>Budget Year +1 2012/13</v>
      </c>
      <c r="K3" s="1164" t="str">
        <f>Head11</f>
        <v>Budget Year +2 2013/14</v>
      </c>
      <c r="L3" s="1639" t="str">
        <f>Head12</f>
        <v>Forecast 2014/15</v>
      </c>
      <c r="M3" s="1640" t="str">
        <f>Head13</f>
        <v>Forecast 2015/16</v>
      </c>
      <c r="N3" s="1640" t="str">
        <f>Head14</f>
        <v>Forecast 2016/17</v>
      </c>
      <c r="O3" s="1640" t="str">
        <f>Head15</f>
        <v>Forecast 2017/18</v>
      </c>
      <c r="P3" s="1640" t="str">
        <f>Head16</f>
        <v>Forecast 2018/19</v>
      </c>
      <c r="Q3" s="1640" t="str">
        <f>Head17</f>
        <v>Forecast 2019/20</v>
      </c>
      <c r="R3" s="1640" t="str">
        <f>Head18</f>
        <v>Forecast 2020/21</v>
      </c>
      <c r="S3" s="1640" t="str">
        <f>Head19</f>
        <v>Forecast 2021/22</v>
      </c>
      <c r="T3" s="1640" t="str">
        <f>Head20</f>
        <v>Forecast 2022/23</v>
      </c>
      <c r="U3" s="1640" t="str">
        <f>Head21</f>
        <v>Forecast 2023/24</v>
      </c>
      <c r="V3" s="1640" t="str">
        <f>Head22</f>
        <v>Forecast 2024/25</v>
      </c>
      <c r="W3" s="1640" t="str">
        <f>Head23</f>
        <v>Forecast 2025/26</v>
      </c>
    </row>
    <row r="4" spans="1:24" ht="11.25" customHeight="1">
      <c r="A4" s="1246" t="s">
        <v>1501</v>
      </c>
      <c r="B4" s="1231">
        <v>1</v>
      </c>
      <c r="C4" s="1247"/>
      <c r="D4" s="1247"/>
      <c r="E4" s="1248"/>
      <c r="F4" s="1249"/>
      <c r="G4" s="1247"/>
      <c r="H4" s="1250"/>
      <c r="I4" s="1251"/>
      <c r="J4" s="1247"/>
      <c r="K4" s="1248"/>
      <c r="L4" s="189"/>
      <c r="M4" s="190"/>
      <c r="N4" s="190"/>
      <c r="O4" s="190"/>
      <c r="P4" s="190"/>
      <c r="Q4" s="190"/>
      <c r="R4" s="190"/>
      <c r="S4" s="190"/>
      <c r="T4" s="190"/>
      <c r="U4" s="190"/>
      <c r="V4" s="190"/>
      <c r="W4" s="190"/>
    </row>
    <row r="5" spans="1:24" ht="11.25" customHeight="1">
      <c r="A5" s="1252" t="str">
        <f>A3A!A5</f>
        <v>Vote 1 - Corporate Services and Planning</v>
      </c>
      <c r="B5" s="1231"/>
      <c r="C5" s="1253">
        <f>A3A!C5</f>
        <v>0</v>
      </c>
      <c r="D5" s="1253">
        <f>A3A!D5</f>
        <v>0</v>
      </c>
      <c r="E5" s="1254">
        <f>A3A!E5</f>
        <v>15487148</v>
      </c>
      <c r="F5" s="1255">
        <f>A3A!F5</f>
        <v>2172041</v>
      </c>
      <c r="G5" s="1253">
        <f>A3A!G5</f>
        <v>3301739</v>
      </c>
      <c r="H5" s="1256">
        <f>A3A!H5</f>
        <v>3301739</v>
      </c>
      <c r="I5" s="1257">
        <f>A3A!I5</f>
        <v>6842423</v>
      </c>
      <c r="J5" s="1253">
        <f>A3A!J5</f>
        <v>6604868</v>
      </c>
      <c r="K5" s="1254">
        <f>A3A!K5</f>
        <v>20638135</v>
      </c>
      <c r="L5" s="189"/>
      <c r="M5" s="190"/>
      <c r="N5" s="190"/>
      <c r="O5" s="190"/>
      <c r="P5" s="190"/>
      <c r="Q5" s="190"/>
      <c r="R5" s="190"/>
      <c r="S5" s="190"/>
      <c r="T5" s="190"/>
      <c r="U5" s="190"/>
      <c r="V5" s="190"/>
      <c r="W5" s="190"/>
    </row>
    <row r="6" spans="1:24" ht="11.25" customHeight="1">
      <c r="A6" s="1252" t="str">
        <f>A3A!A16</f>
        <v>Vote 2 - Financial Management Area</v>
      </c>
      <c r="B6" s="1231"/>
      <c r="C6" s="1253">
        <f>A3A!C16</f>
        <v>0</v>
      </c>
      <c r="D6" s="1253">
        <f>A3A!D16</f>
        <v>0</v>
      </c>
      <c r="E6" s="1254">
        <f>A3A!E16</f>
        <v>891528205</v>
      </c>
      <c r="F6" s="1255">
        <f>A3A!F16</f>
        <v>536056564</v>
      </c>
      <c r="G6" s="1253">
        <f>A3A!G16</f>
        <v>928179581</v>
      </c>
      <c r="H6" s="1256">
        <f>A3A!H16</f>
        <v>928179581</v>
      </c>
      <c r="I6" s="1257">
        <f>A3A!I16</f>
        <v>985438904</v>
      </c>
      <c r="J6" s="1253">
        <f>A3A!J16</f>
        <v>1037087923</v>
      </c>
      <c r="K6" s="1254">
        <f>A3A!K16</f>
        <v>1093801258</v>
      </c>
      <c r="L6" s="189"/>
      <c r="M6" s="190"/>
      <c r="N6" s="190"/>
      <c r="O6" s="190"/>
      <c r="P6" s="190"/>
      <c r="Q6" s="190"/>
      <c r="R6" s="190"/>
      <c r="S6" s="190"/>
      <c r="T6" s="190"/>
      <c r="U6" s="190"/>
      <c r="V6" s="190"/>
      <c r="W6" s="190"/>
    </row>
    <row r="7" spans="1:24" ht="11.25" customHeight="1">
      <c r="A7" s="1252" t="str">
        <f>A3A!A27</f>
        <v>Vote 3 - Infrastructure Development, Service Delivery and Maintenance Management</v>
      </c>
      <c r="B7" s="1231"/>
      <c r="C7" s="1253">
        <f>A3A!C27</f>
        <v>0</v>
      </c>
      <c r="D7" s="1253">
        <f>A3A!D27</f>
        <v>0</v>
      </c>
      <c r="E7" s="1254">
        <f>A3A!E27</f>
        <v>1548538412</v>
      </c>
      <c r="F7" s="1255">
        <f>A3A!F27</f>
        <v>1801754271</v>
      </c>
      <c r="G7" s="1253">
        <f>A3A!G27</f>
        <v>2072193461</v>
      </c>
      <c r="H7" s="1256">
        <f>A3A!H27</f>
        <v>2072193461</v>
      </c>
      <c r="I7" s="1257">
        <f>A3A!I27</f>
        <v>2314052770</v>
      </c>
      <c r="J7" s="1253">
        <f>A3A!J27</f>
        <v>2474842910</v>
      </c>
      <c r="K7" s="1254">
        <f>A3A!K27</f>
        <v>2552912504</v>
      </c>
      <c r="L7" s="189"/>
      <c r="M7" s="190"/>
      <c r="N7" s="190"/>
      <c r="O7" s="190"/>
      <c r="P7" s="190"/>
      <c r="Q7" s="190"/>
      <c r="R7" s="190"/>
      <c r="S7" s="190"/>
      <c r="T7" s="190"/>
      <c r="U7" s="190"/>
      <c r="V7" s="190"/>
      <c r="W7" s="190"/>
    </row>
    <row r="8" spans="1:24" ht="11.25" customHeight="1">
      <c r="A8" s="1252" t="str">
        <f>A3A!A38</f>
        <v>Vote 4 - Sustainable Community Service Delivery Provision Management</v>
      </c>
      <c r="B8" s="1231"/>
      <c r="C8" s="1253">
        <f>A3A!C38</f>
        <v>0</v>
      </c>
      <c r="D8" s="1253">
        <f>A3A!D38</f>
        <v>0</v>
      </c>
      <c r="E8" s="1254">
        <f>A3A!E38</f>
        <v>50615674</v>
      </c>
      <c r="F8" s="1255">
        <f>A3A!F38</f>
        <v>48426102</v>
      </c>
      <c r="G8" s="1253">
        <f>A3A!G38</f>
        <v>31893441</v>
      </c>
      <c r="H8" s="1256">
        <f>A3A!H38</f>
        <v>31893441</v>
      </c>
      <c r="I8" s="1257">
        <f>A3A!I38</f>
        <v>32862276</v>
      </c>
      <c r="J8" s="1253">
        <f>A3A!J38</f>
        <v>32672461</v>
      </c>
      <c r="K8" s="1254">
        <f>A3A!K38</f>
        <v>44339131</v>
      </c>
      <c r="L8" s="189"/>
      <c r="M8" s="190"/>
      <c r="N8" s="190"/>
      <c r="O8" s="190"/>
      <c r="P8" s="190"/>
      <c r="Q8" s="190"/>
      <c r="R8" s="190"/>
      <c r="S8" s="190"/>
      <c r="T8" s="190"/>
      <c r="U8" s="190"/>
      <c r="V8" s="190"/>
      <c r="W8" s="190"/>
    </row>
    <row r="9" spans="1:24" ht="11.25" customHeight="1">
      <c r="A9" s="1252" t="str">
        <f>A3A!A49</f>
        <v>Example 5 - Vote5</v>
      </c>
      <c r="B9" s="1231"/>
      <c r="C9" s="1253">
        <f>A3A!C49</f>
        <v>0</v>
      </c>
      <c r="D9" s="1253">
        <f>A3A!D49</f>
        <v>0</v>
      </c>
      <c r="E9" s="1254">
        <f>A3A!E49</f>
        <v>0</v>
      </c>
      <c r="F9" s="1255">
        <f>A3A!F49</f>
        <v>0</v>
      </c>
      <c r="G9" s="1253">
        <f>A3A!G49</f>
        <v>0</v>
      </c>
      <c r="H9" s="1256">
        <f>A3A!H49</f>
        <v>0</v>
      </c>
      <c r="I9" s="1257">
        <f>A3A!I49</f>
        <v>0</v>
      </c>
      <c r="J9" s="1253">
        <f>A3A!J49</f>
        <v>0</v>
      </c>
      <c r="K9" s="1254">
        <f>A3A!K49</f>
        <v>0</v>
      </c>
      <c r="L9" s="189"/>
      <c r="M9" s="190"/>
      <c r="N9" s="190"/>
      <c r="O9" s="190"/>
      <c r="P9" s="190"/>
      <c r="Q9" s="190"/>
      <c r="R9" s="190"/>
      <c r="S9" s="190"/>
      <c r="T9" s="190"/>
      <c r="U9" s="190"/>
      <c r="V9" s="190"/>
      <c r="W9" s="190"/>
    </row>
    <row r="10" spans="1:24" ht="11.25" customHeight="1">
      <c r="A10" s="1252" t="str">
        <f>A3A!A60</f>
        <v>Example 6 - Vote6</v>
      </c>
      <c r="B10" s="1231"/>
      <c r="C10" s="1253">
        <f>A3A!C60</f>
        <v>0</v>
      </c>
      <c r="D10" s="1253">
        <f>A3A!D60</f>
        <v>0</v>
      </c>
      <c r="E10" s="1254">
        <f>A3A!E60</f>
        <v>0</v>
      </c>
      <c r="F10" s="1255">
        <f>A3A!F60</f>
        <v>0</v>
      </c>
      <c r="G10" s="1253">
        <f>A3A!G60</f>
        <v>0</v>
      </c>
      <c r="H10" s="1256">
        <f>A3A!H60</f>
        <v>0</v>
      </c>
      <c r="I10" s="1257">
        <f>A3A!I60</f>
        <v>0</v>
      </c>
      <c r="J10" s="1253">
        <f>A3A!J60</f>
        <v>0</v>
      </c>
      <c r="K10" s="1254">
        <f>A3A!K60</f>
        <v>0</v>
      </c>
      <c r="L10" s="189"/>
      <c r="M10" s="190"/>
      <c r="N10" s="190"/>
      <c r="O10" s="190"/>
      <c r="P10" s="190"/>
      <c r="Q10" s="190"/>
      <c r="R10" s="190"/>
      <c r="S10" s="190"/>
      <c r="T10" s="190"/>
      <c r="U10" s="190"/>
      <c r="V10" s="190"/>
      <c r="W10" s="190"/>
    </row>
    <row r="11" spans="1:24" ht="11.25" customHeight="1">
      <c r="A11" s="1252" t="str">
        <f>A3A!A71</f>
        <v>Example 7 - Vote7</v>
      </c>
      <c r="B11" s="1231"/>
      <c r="C11" s="1253">
        <f>A3A!C71</f>
        <v>0</v>
      </c>
      <c r="D11" s="1253">
        <f>A3A!D71</f>
        <v>0</v>
      </c>
      <c r="E11" s="1254">
        <f>A3A!E71</f>
        <v>0</v>
      </c>
      <c r="F11" s="1255">
        <f>A3A!F71</f>
        <v>0</v>
      </c>
      <c r="G11" s="1253">
        <f>A3A!G71</f>
        <v>0</v>
      </c>
      <c r="H11" s="1256">
        <f>A3A!H71</f>
        <v>0</v>
      </c>
      <c r="I11" s="1257">
        <f>A3A!I71</f>
        <v>0</v>
      </c>
      <c r="J11" s="1253">
        <f>A3A!J71</f>
        <v>0</v>
      </c>
      <c r="K11" s="1254">
        <f>A3A!K71</f>
        <v>0</v>
      </c>
      <c r="L11" s="189"/>
      <c r="M11" s="190"/>
      <c r="N11" s="190"/>
      <c r="O11" s="190"/>
      <c r="P11" s="190"/>
      <c r="Q11" s="190"/>
      <c r="R11" s="190"/>
      <c r="S11" s="190"/>
      <c r="T11" s="190"/>
      <c r="U11" s="190"/>
      <c r="V11" s="190"/>
      <c r="W11" s="190"/>
    </row>
    <row r="12" spans="1:24" ht="11.25" customHeight="1">
      <c r="A12" s="1252" t="str">
        <f>A3A!A82</f>
        <v>Example 8 - Vote8</v>
      </c>
      <c r="B12" s="1231"/>
      <c r="C12" s="1253">
        <f>A3A!C82</f>
        <v>0</v>
      </c>
      <c r="D12" s="1253">
        <f>A3A!D82</f>
        <v>0</v>
      </c>
      <c r="E12" s="1254">
        <f>A3A!E82</f>
        <v>0</v>
      </c>
      <c r="F12" s="1255">
        <f>A3A!F82</f>
        <v>0</v>
      </c>
      <c r="G12" s="1253">
        <f>A3A!G82</f>
        <v>0</v>
      </c>
      <c r="H12" s="1256">
        <f>A3A!H82</f>
        <v>0</v>
      </c>
      <c r="I12" s="1257">
        <f>A3A!I82</f>
        <v>0</v>
      </c>
      <c r="J12" s="1253">
        <f>A3A!J82</f>
        <v>0</v>
      </c>
      <c r="K12" s="1254">
        <f>A3A!K82</f>
        <v>0</v>
      </c>
      <c r="L12" s="189"/>
      <c r="M12" s="190"/>
      <c r="N12" s="190"/>
      <c r="O12" s="190"/>
      <c r="P12" s="190"/>
      <c r="Q12" s="190"/>
      <c r="R12" s="190"/>
      <c r="S12" s="190"/>
      <c r="T12" s="190"/>
      <c r="U12" s="190"/>
      <c r="V12" s="190"/>
      <c r="W12" s="190"/>
    </row>
    <row r="13" spans="1:24" ht="11.25" customHeight="1">
      <c r="A13" s="1252" t="str">
        <f>A3A!A93</f>
        <v>Example 9 - Vote9</v>
      </c>
      <c r="B13" s="1231"/>
      <c r="C13" s="1253">
        <f>A3A!C93</f>
        <v>0</v>
      </c>
      <c r="D13" s="1253">
        <f>A3A!D93</f>
        <v>0</v>
      </c>
      <c r="E13" s="1254">
        <f>A3A!E93</f>
        <v>0</v>
      </c>
      <c r="F13" s="1255">
        <f>A3A!F93</f>
        <v>0</v>
      </c>
      <c r="G13" s="1253">
        <f>A3A!G93</f>
        <v>0</v>
      </c>
      <c r="H13" s="1256">
        <f>A3A!H93</f>
        <v>0</v>
      </c>
      <c r="I13" s="1257">
        <f>A3A!I93</f>
        <v>0</v>
      </c>
      <c r="J13" s="1253">
        <f>A3A!J93</f>
        <v>0</v>
      </c>
      <c r="K13" s="1254">
        <f>A3A!K93</f>
        <v>0</v>
      </c>
      <c r="L13" s="189"/>
      <c r="M13" s="190"/>
      <c r="N13" s="190"/>
      <c r="O13" s="190"/>
      <c r="P13" s="190"/>
      <c r="Q13" s="190"/>
      <c r="R13" s="190"/>
      <c r="S13" s="190"/>
      <c r="T13" s="190"/>
      <c r="U13" s="190"/>
      <c r="V13" s="190"/>
      <c r="W13" s="190"/>
      <c r="X13" s="373"/>
    </row>
    <row r="14" spans="1:24" ht="11.25" customHeight="1">
      <c r="A14" s="1252" t="str">
        <f>A3A!A104</f>
        <v>Example 10 - Vote10</v>
      </c>
      <c r="B14" s="1231"/>
      <c r="C14" s="1253">
        <f>A3A!C104</f>
        <v>0</v>
      </c>
      <c r="D14" s="1253">
        <f>A3A!D104</f>
        <v>0</v>
      </c>
      <c r="E14" s="1254">
        <f>A3A!E104</f>
        <v>0</v>
      </c>
      <c r="F14" s="1255">
        <f>A3A!F104</f>
        <v>0</v>
      </c>
      <c r="G14" s="1253">
        <f>A3A!G104</f>
        <v>0</v>
      </c>
      <c r="H14" s="1256">
        <f>A3A!H104</f>
        <v>0</v>
      </c>
      <c r="I14" s="1257">
        <f>A3A!I104</f>
        <v>0</v>
      </c>
      <c r="J14" s="1253">
        <f>A3A!J104</f>
        <v>0</v>
      </c>
      <c r="K14" s="1254">
        <f>A3A!K104</f>
        <v>0</v>
      </c>
      <c r="L14" s="189"/>
      <c r="M14" s="190"/>
      <c r="N14" s="190"/>
      <c r="O14" s="190"/>
      <c r="P14" s="190"/>
      <c r="Q14" s="190"/>
      <c r="R14" s="190"/>
      <c r="S14" s="190"/>
      <c r="T14" s="190"/>
      <c r="U14" s="190"/>
      <c r="V14" s="190"/>
      <c r="W14" s="190"/>
      <c r="X14" s="373"/>
    </row>
    <row r="15" spans="1:24" ht="11.25" customHeight="1">
      <c r="A15" s="1252" t="str">
        <f>A3A!A115</f>
        <v>Example 11 - Vote11</v>
      </c>
      <c r="B15" s="1231"/>
      <c r="C15" s="193">
        <f>A3A!C115</f>
        <v>0</v>
      </c>
      <c r="D15" s="193">
        <f>A3A!D115</f>
        <v>0</v>
      </c>
      <c r="E15" s="192">
        <f>A3A!E115</f>
        <v>0</v>
      </c>
      <c r="F15" s="195">
        <f>A3A!F115</f>
        <v>0</v>
      </c>
      <c r="G15" s="193">
        <f>A3A!G115</f>
        <v>0</v>
      </c>
      <c r="H15" s="194">
        <f>A3A!H115</f>
        <v>0</v>
      </c>
      <c r="I15" s="192">
        <f>A3A!I115</f>
        <v>0</v>
      </c>
      <c r="J15" s="195">
        <f>A3A!J115</f>
        <v>0</v>
      </c>
      <c r="K15" s="193">
        <f>A3A!K115</f>
        <v>0</v>
      </c>
      <c r="L15" s="194">
        <f>A5A!L115</f>
        <v>0</v>
      </c>
      <c r="M15" s="190"/>
      <c r="N15" s="190"/>
      <c r="O15" s="190"/>
      <c r="P15" s="190"/>
      <c r="Q15" s="190"/>
      <c r="R15" s="190"/>
      <c r="S15" s="190"/>
      <c r="T15" s="190"/>
      <c r="U15" s="190"/>
      <c r="V15" s="190"/>
      <c r="W15" s="190"/>
      <c r="X15" s="373"/>
    </row>
    <row r="16" spans="1:24" ht="11.25" customHeight="1">
      <c r="A16" s="1252" t="str">
        <f>A3A!A126</f>
        <v>Example 12 - Vote12</v>
      </c>
      <c r="B16" s="1231"/>
      <c r="C16" s="193">
        <f>A3A!C126</f>
        <v>0</v>
      </c>
      <c r="D16" s="193">
        <f>A3A!D126</f>
        <v>0</v>
      </c>
      <c r="E16" s="192">
        <f>A3A!E126</f>
        <v>0</v>
      </c>
      <c r="F16" s="195">
        <f>A3A!F126</f>
        <v>0</v>
      </c>
      <c r="G16" s="193">
        <f>A3A!G126</f>
        <v>0</v>
      </c>
      <c r="H16" s="194">
        <f>A3A!H126</f>
        <v>0</v>
      </c>
      <c r="I16" s="192">
        <f>A3A!I126</f>
        <v>0</v>
      </c>
      <c r="J16" s="195">
        <f>A3A!J126</f>
        <v>0</v>
      </c>
      <c r="K16" s="193">
        <f>A3A!K126</f>
        <v>0</v>
      </c>
      <c r="L16" s="194">
        <f>A5A!L126</f>
        <v>0</v>
      </c>
      <c r="M16" s="190"/>
      <c r="N16" s="190"/>
      <c r="O16" s="190"/>
      <c r="P16" s="190"/>
      <c r="Q16" s="190"/>
      <c r="R16" s="190"/>
      <c r="S16" s="190"/>
      <c r="T16" s="190"/>
      <c r="U16" s="190"/>
      <c r="V16" s="190"/>
      <c r="W16" s="190"/>
      <c r="X16" s="373"/>
    </row>
    <row r="17" spans="1:24" ht="11.25" customHeight="1">
      <c r="A17" s="1252" t="str">
        <f>A3A!A137</f>
        <v>Example 13 - Vote13</v>
      </c>
      <c r="B17" s="1231"/>
      <c r="C17" s="193">
        <f>A3A!C137</f>
        <v>0</v>
      </c>
      <c r="D17" s="193">
        <f>A3A!D137</f>
        <v>0</v>
      </c>
      <c r="E17" s="192">
        <f>A3A!E137</f>
        <v>0</v>
      </c>
      <c r="F17" s="195">
        <f>A3A!F137</f>
        <v>0</v>
      </c>
      <c r="G17" s="193">
        <f>A3A!G137</f>
        <v>0</v>
      </c>
      <c r="H17" s="194">
        <f>A3A!H137</f>
        <v>0</v>
      </c>
      <c r="I17" s="192">
        <f>A3A!I137</f>
        <v>0</v>
      </c>
      <c r="J17" s="195">
        <f>A3A!J137</f>
        <v>0</v>
      </c>
      <c r="K17" s="193">
        <f>A3A!K137</f>
        <v>0</v>
      </c>
      <c r="L17" s="194">
        <f>A5A!L137</f>
        <v>0</v>
      </c>
      <c r="M17" s="190"/>
      <c r="N17" s="190"/>
      <c r="O17" s="190"/>
      <c r="P17" s="190"/>
      <c r="Q17" s="190"/>
      <c r="R17" s="190"/>
      <c r="S17" s="190"/>
      <c r="T17" s="190"/>
      <c r="U17" s="190"/>
      <c r="V17" s="190"/>
      <c r="W17" s="190"/>
      <c r="X17" s="373"/>
    </row>
    <row r="18" spans="1:24" ht="11.25" customHeight="1">
      <c r="A18" s="1252" t="str">
        <f>A3A!A148</f>
        <v>Example 14 - Vote14</v>
      </c>
      <c r="B18" s="1231"/>
      <c r="C18" s="193">
        <f>A3A!C148</f>
        <v>0</v>
      </c>
      <c r="D18" s="193">
        <f>A3A!D148</f>
        <v>0</v>
      </c>
      <c r="E18" s="192">
        <f>A3A!E148</f>
        <v>0</v>
      </c>
      <c r="F18" s="195">
        <f>A3A!F148</f>
        <v>0</v>
      </c>
      <c r="G18" s="193">
        <f>A3A!G148</f>
        <v>0</v>
      </c>
      <c r="H18" s="194">
        <f>A3A!H148</f>
        <v>0</v>
      </c>
      <c r="I18" s="192">
        <f>A3A!I148</f>
        <v>0</v>
      </c>
      <c r="J18" s="195">
        <f>A3A!J148</f>
        <v>0</v>
      </c>
      <c r="K18" s="193">
        <f>A3A!K148</f>
        <v>0</v>
      </c>
      <c r="L18" s="194">
        <f>A5A!L148</f>
        <v>0</v>
      </c>
      <c r="M18" s="190"/>
      <c r="N18" s="190"/>
      <c r="O18" s="190"/>
      <c r="P18" s="190"/>
      <c r="Q18" s="190"/>
      <c r="R18" s="190"/>
      <c r="S18" s="190"/>
      <c r="T18" s="190"/>
      <c r="U18" s="190"/>
      <c r="V18" s="190"/>
      <c r="W18" s="190"/>
      <c r="X18" s="373"/>
    </row>
    <row r="19" spans="1:24" ht="11.25" customHeight="1">
      <c r="A19" s="1252" t="str">
        <f>A3A!A159</f>
        <v>Example 15 - Vote15</v>
      </c>
      <c r="B19" s="1231"/>
      <c r="C19" s="193">
        <f>A3A!C159</f>
        <v>0</v>
      </c>
      <c r="D19" s="193">
        <f>A3A!D159</f>
        <v>0</v>
      </c>
      <c r="E19" s="192">
        <f>A3A!E159</f>
        <v>0</v>
      </c>
      <c r="F19" s="195">
        <f>A3A!F159</f>
        <v>0</v>
      </c>
      <c r="G19" s="193">
        <f>A3A!G159</f>
        <v>0</v>
      </c>
      <c r="H19" s="194">
        <f>A3A!H159</f>
        <v>0</v>
      </c>
      <c r="I19" s="192">
        <f>A3A!I159</f>
        <v>0</v>
      </c>
      <c r="J19" s="195">
        <f>A3A!J159</f>
        <v>0</v>
      </c>
      <c r="K19" s="193">
        <f>A3A!K159</f>
        <v>0</v>
      </c>
      <c r="L19" s="194">
        <f>A5A!L159</f>
        <v>0</v>
      </c>
      <c r="M19" s="190"/>
      <c r="N19" s="190"/>
      <c r="O19" s="190"/>
      <c r="P19" s="190"/>
      <c r="Q19" s="190"/>
      <c r="R19" s="190"/>
      <c r="S19" s="190"/>
      <c r="T19" s="190"/>
      <c r="U19" s="190"/>
      <c r="V19" s="190"/>
      <c r="W19" s="190"/>
      <c r="X19" s="373"/>
    </row>
    <row r="20" spans="1:24" ht="11.25" customHeight="1">
      <c r="A20" s="1411" t="s">
        <v>186</v>
      </c>
      <c r="B20" s="1410">
        <v>2</v>
      </c>
      <c r="C20" s="1412">
        <f>SUM(C5:C19)</f>
        <v>0</v>
      </c>
      <c r="D20" s="1412">
        <f t="shared" ref="D20:K20" si="0">SUM(D5:D19)</f>
        <v>0</v>
      </c>
      <c r="E20" s="1413">
        <f t="shared" si="0"/>
        <v>2506169439</v>
      </c>
      <c r="F20" s="1414">
        <f t="shared" si="0"/>
        <v>2388408978</v>
      </c>
      <c r="G20" s="1412">
        <f t="shared" si="0"/>
        <v>3035568222</v>
      </c>
      <c r="H20" s="1415">
        <f t="shared" si="0"/>
        <v>3035568222</v>
      </c>
      <c r="I20" s="1416">
        <f t="shared" si="0"/>
        <v>3339196373</v>
      </c>
      <c r="J20" s="1412">
        <f t="shared" si="0"/>
        <v>3551208162</v>
      </c>
      <c r="K20" s="1413">
        <f t="shared" si="0"/>
        <v>3711691028</v>
      </c>
      <c r="L20" s="200" t="e">
        <f>SUM(#REF!)</f>
        <v>#REF!</v>
      </c>
      <c r="M20" s="201" t="e">
        <f>SUM(#REF!)</f>
        <v>#REF!</v>
      </c>
      <c r="N20" s="201" t="e">
        <f>SUM(#REF!)</f>
        <v>#REF!</v>
      </c>
      <c r="O20" s="201" t="e">
        <f>SUM(#REF!)</f>
        <v>#REF!</v>
      </c>
      <c r="P20" s="201" t="e">
        <f>SUM(#REF!)</f>
        <v>#REF!</v>
      </c>
      <c r="Q20" s="201" t="e">
        <f>SUM(#REF!)</f>
        <v>#REF!</v>
      </c>
      <c r="R20" s="201" t="e">
        <f>SUM(#REF!)</f>
        <v>#REF!</v>
      </c>
      <c r="S20" s="201" t="e">
        <f>SUM(#REF!)</f>
        <v>#REF!</v>
      </c>
      <c r="T20" s="201" t="e">
        <f>SUM(#REF!)</f>
        <v>#REF!</v>
      </c>
      <c r="U20" s="201" t="e">
        <f>SUM(#REF!)</f>
        <v>#REF!</v>
      </c>
      <c r="V20" s="201" t="e">
        <f>SUM(#REF!)</f>
        <v>#REF!</v>
      </c>
      <c r="W20" s="201" t="e">
        <f>SUM(#REF!)</f>
        <v>#REF!</v>
      </c>
      <c r="X20" s="373"/>
    </row>
    <row r="21" spans="1:24" ht="5.0999999999999996" customHeight="1">
      <c r="A21" s="1264"/>
      <c r="B21" s="1231"/>
      <c r="C21" s="1265"/>
      <c r="D21" s="1265"/>
      <c r="E21" s="1266"/>
      <c r="F21" s="1267"/>
      <c r="G21" s="1265"/>
      <c r="H21" s="1268"/>
      <c r="I21" s="1269"/>
      <c r="J21" s="1265"/>
      <c r="K21" s="1266"/>
      <c r="L21" s="196"/>
      <c r="M21" s="197"/>
      <c r="N21" s="197"/>
      <c r="O21" s="197"/>
      <c r="P21" s="197"/>
      <c r="Q21" s="197"/>
      <c r="R21" s="197"/>
      <c r="S21" s="197"/>
      <c r="T21" s="197"/>
      <c r="U21" s="197"/>
      <c r="V21" s="197"/>
      <c r="W21" s="197"/>
      <c r="X21" s="373"/>
    </row>
    <row r="22" spans="1:24" ht="11.25" customHeight="1">
      <c r="A22" s="1246" t="s">
        <v>1029</v>
      </c>
      <c r="B22" s="1231">
        <v>1</v>
      </c>
      <c r="C22" s="1265"/>
      <c r="D22" s="1265"/>
      <c r="E22" s="1266"/>
      <c r="F22" s="1267"/>
      <c r="G22" s="1265"/>
      <c r="H22" s="1268"/>
      <c r="I22" s="1269"/>
      <c r="J22" s="1265"/>
      <c r="K22" s="1266"/>
      <c r="L22" s="196"/>
      <c r="M22" s="197"/>
      <c r="N22" s="197"/>
      <c r="O22" s="197"/>
      <c r="P22" s="197"/>
      <c r="Q22" s="197"/>
      <c r="R22" s="197"/>
      <c r="S22" s="197"/>
      <c r="T22" s="197"/>
      <c r="U22" s="197"/>
      <c r="V22" s="197"/>
      <c r="W22" s="197"/>
      <c r="X22" s="373"/>
    </row>
    <row r="23" spans="1:24" ht="11.25" customHeight="1">
      <c r="A23" s="1252" t="str">
        <f>A3A!A173</f>
        <v>Vote 1 - Corporate Services and Planning</v>
      </c>
      <c r="B23" s="1231"/>
      <c r="C23" s="1253">
        <f>A3A!C173</f>
        <v>0</v>
      </c>
      <c r="D23" s="1253">
        <f>A3A!D173</f>
        <v>0</v>
      </c>
      <c r="E23" s="1254">
        <f>A3A!E173</f>
        <v>16911750</v>
      </c>
      <c r="F23" s="1255">
        <f>A3A!F173</f>
        <v>17682105</v>
      </c>
      <c r="G23" s="1253">
        <f>A3A!G173</f>
        <v>26933708</v>
      </c>
      <c r="H23" s="1256">
        <f>A3A!H173</f>
        <v>26933708</v>
      </c>
      <c r="I23" s="1257">
        <f>A3A!I173</f>
        <v>213713221</v>
      </c>
      <c r="J23" s="1253">
        <f>A3A!J173</f>
        <v>259102064</v>
      </c>
      <c r="K23" s="1254">
        <f>A3A!K173</f>
        <v>288090735</v>
      </c>
      <c r="L23" s="196"/>
      <c r="M23" s="197"/>
      <c r="N23" s="197"/>
      <c r="O23" s="197"/>
      <c r="P23" s="197"/>
      <c r="Q23" s="197"/>
      <c r="R23" s="197"/>
      <c r="S23" s="197"/>
      <c r="T23" s="197"/>
      <c r="U23" s="197"/>
      <c r="V23" s="197"/>
      <c r="W23" s="197"/>
      <c r="X23" s="373"/>
    </row>
    <row r="24" spans="1:24" ht="11.25" customHeight="1">
      <c r="A24" s="1252" t="str">
        <f>A3A!A184</f>
        <v>Vote 2 - Financial Management Area</v>
      </c>
      <c r="B24" s="1231"/>
      <c r="C24" s="1253">
        <f>A3A!C184</f>
        <v>0</v>
      </c>
      <c r="D24" s="1253">
        <f>A3A!D184</f>
        <v>0</v>
      </c>
      <c r="E24" s="1254">
        <f>A3A!E184</f>
        <v>470475319</v>
      </c>
      <c r="F24" s="1255">
        <f>A3A!F184</f>
        <v>197690226</v>
      </c>
      <c r="G24" s="1253">
        <f>A3A!G184</f>
        <v>699403328</v>
      </c>
      <c r="H24" s="1256">
        <f>A3A!H184</f>
        <v>699403328</v>
      </c>
      <c r="I24" s="1257">
        <f>A3A!I184</f>
        <v>657457241</v>
      </c>
      <c r="J24" s="1253">
        <f>A3A!J184</f>
        <v>619802285</v>
      </c>
      <c r="K24" s="1254">
        <f>A3A!K184</f>
        <v>651636777</v>
      </c>
      <c r="L24" s="209"/>
      <c r="M24" s="210"/>
      <c r="N24" s="210"/>
      <c r="O24" s="210"/>
      <c r="P24" s="210"/>
      <c r="Q24" s="210"/>
      <c r="R24" s="210"/>
      <c r="S24" s="210"/>
      <c r="T24" s="210"/>
      <c r="U24" s="210"/>
      <c r="V24" s="210"/>
      <c r="W24" s="210"/>
      <c r="X24" s="373"/>
    </row>
    <row r="25" spans="1:24" ht="11.25" customHeight="1">
      <c r="A25" s="1252" t="str">
        <f>A3A!A195</f>
        <v>Vote 3 - Infrastructure Development, Service Delivery and Maintenance Management</v>
      </c>
      <c r="B25" s="1231"/>
      <c r="C25" s="1253">
        <f>A3A!C195</f>
        <v>0</v>
      </c>
      <c r="D25" s="1253">
        <f>A3A!D195</f>
        <v>0</v>
      </c>
      <c r="E25" s="1254">
        <f>A3A!E195</f>
        <v>1860308309</v>
      </c>
      <c r="F25" s="1255">
        <f>A3A!F195</f>
        <v>1821202824</v>
      </c>
      <c r="G25" s="1253">
        <f>A3A!G195</f>
        <v>1964167495</v>
      </c>
      <c r="H25" s="1256">
        <f>A3A!H195</f>
        <v>1964167495</v>
      </c>
      <c r="I25" s="1257">
        <f>A3A!I195</f>
        <v>2080076482</v>
      </c>
      <c r="J25" s="1253">
        <f>A3A!J195</f>
        <v>2235178934</v>
      </c>
      <c r="K25" s="1254">
        <f>A3A!K195</f>
        <v>2297658315</v>
      </c>
      <c r="L25" s="209"/>
      <c r="M25" s="210"/>
      <c r="N25" s="210"/>
      <c r="O25" s="210"/>
      <c r="P25" s="210"/>
      <c r="Q25" s="210"/>
      <c r="R25" s="210"/>
      <c r="S25" s="210"/>
      <c r="T25" s="210"/>
      <c r="U25" s="210"/>
      <c r="V25" s="210"/>
      <c r="W25" s="210"/>
      <c r="X25" s="373"/>
    </row>
    <row r="26" spans="1:24" ht="11.25" customHeight="1">
      <c r="A26" s="1252" t="str">
        <f>A3A!A206</f>
        <v>Vote 4 - Sustainable Community Service Delivery Provision Management</v>
      </c>
      <c r="B26" s="1231"/>
      <c r="C26" s="1253">
        <f>A3A!C206</f>
        <v>0</v>
      </c>
      <c r="D26" s="1253">
        <f>A3A!D206</f>
        <v>0</v>
      </c>
      <c r="E26" s="1254">
        <f>A3A!E206</f>
        <v>391455252</v>
      </c>
      <c r="F26" s="1255">
        <f>A3A!F206</f>
        <v>351721025</v>
      </c>
      <c r="G26" s="1253">
        <f>A3A!G206</f>
        <v>344950792</v>
      </c>
      <c r="H26" s="1256">
        <f>A3A!H206</f>
        <v>344950792</v>
      </c>
      <c r="I26" s="1257">
        <f>A3A!I206</f>
        <v>387859429</v>
      </c>
      <c r="J26" s="1253">
        <f>A3A!J206</f>
        <v>437024878</v>
      </c>
      <c r="K26" s="1254">
        <f>A3A!K206</f>
        <v>474195201</v>
      </c>
      <c r="L26" s="209"/>
      <c r="M26" s="210"/>
      <c r="N26" s="210"/>
      <c r="O26" s="210"/>
      <c r="P26" s="210"/>
      <c r="Q26" s="210"/>
      <c r="R26" s="210"/>
      <c r="S26" s="210"/>
      <c r="T26" s="210"/>
      <c r="U26" s="210"/>
      <c r="V26" s="210"/>
      <c r="W26" s="210"/>
      <c r="X26" s="373"/>
    </row>
    <row r="27" spans="1:24" ht="11.25" customHeight="1">
      <c r="A27" s="1252" t="str">
        <f>A3A!A217</f>
        <v>Example 5 - Vote5</v>
      </c>
      <c r="B27" s="1231"/>
      <c r="C27" s="1253">
        <f>A3A!C217</f>
        <v>0</v>
      </c>
      <c r="D27" s="1253">
        <f>A3A!D217</f>
        <v>0</v>
      </c>
      <c r="E27" s="1254">
        <f>A3A!E217</f>
        <v>0</v>
      </c>
      <c r="F27" s="1255">
        <f>A3A!F217</f>
        <v>0</v>
      </c>
      <c r="G27" s="1253">
        <f>A3A!G217</f>
        <v>0</v>
      </c>
      <c r="H27" s="1256">
        <f>A3A!H217</f>
        <v>0</v>
      </c>
      <c r="I27" s="1257">
        <f>A3A!I217</f>
        <v>0</v>
      </c>
      <c r="J27" s="1253">
        <f>A3A!J217</f>
        <v>0</v>
      </c>
      <c r="K27" s="1254">
        <f>A3A!K217</f>
        <v>0</v>
      </c>
      <c r="L27" s="209"/>
      <c r="M27" s="210"/>
      <c r="N27" s="210"/>
      <c r="O27" s="210"/>
      <c r="P27" s="210"/>
      <c r="Q27" s="210"/>
      <c r="R27" s="210"/>
      <c r="S27" s="210"/>
      <c r="T27" s="210"/>
      <c r="U27" s="210"/>
      <c r="V27" s="210"/>
      <c r="W27" s="210"/>
      <c r="X27" s="373"/>
    </row>
    <row r="28" spans="1:24" ht="11.25" customHeight="1">
      <c r="A28" s="1252" t="str">
        <f>A3A!A228</f>
        <v>Example 6 - Vote6</v>
      </c>
      <c r="B28" s="1231"/>
      <c r="C28" s="1253">
        <f>A3A!C228</f>
        <v>0</v>
      </c>
      <c r="D28" s="1253">
        <f>A3A!D228</f>
        <v>0</v>
      </c>
      <c r="E28" s="1254">
        <f>A3A!E228</f>
        <v>0</v>
      </c>
      <c r="F28" s="1255">
        <f>A3A!F228</f>
        <v>0</v>
      </c>
      <c r="G28" s="1253">
        <f>A3A!G228</f>
        <v>0</v>
      </c>
      <c r="H28" s="1256">
        <f>A3A!H228</f>
        <v>0</v>
      </c>
      <c r="I28" s="1257">
        <f>A3A!I228</f>
        <v>0</v>
      </c>
      <c r="J28" s="1253">
        <f>A3A!J228</f>
        <v>0</v>
      </c>
      <c r="K28" s="1254">
        <f>A3A!K228</f>
        <v>0</v>
      </c>
      <c r="L28" s="209"/>
      <c r="M28" s="210"/>
      <c r="N28" s="210"/>
      <c r="O28" s="210"/>
      <c r="P28" s="210"/>
      <c r="Q28" s="210"/>
      <c r="R28" s="210"/>
      <c r="S28" s="210"/>
      <c r="T28" s="210"/>
      <c r="U28" s="210"/>
      <c r="V28" s="210"/>
      <c r="W28" s="210"/>
      <c r="X28" s="373"/>
    </row>
    <row r="29" spans="1:24" ht="11.25" customHeight="1">
      <c r="A29" s="1252" t="str">
        <f>A3A!A239</f>
        <v>Example 7 - Vote7</v>
      </c>
      <c r="B29" s="1231"/>
      <c r="C29" s="1253">
        <f>A3A!C239</f>
        <v>0</v>
      </c>
      <c r="D29" s="1253">
        <f>A3A!D239</f>
        <v>0</v>
      </c>
      <c r="E29" s="1254">
        <f>A3A!E239</f>
        <v>0</v>
      </c>
      <c r="F29" s="1255">
        <f>A3A!F239</f>
        <v>0</v>
      </c>
      <c r="G29" s="1253">
        <f>A3A!G239</f>
        <v>0</v>
      </c>
      <c r="H29" s="1256">
        <f>A3A!H239</f>
        <v>0</v>
      </c>
      <c r="I29" s="1257">
        <f>A3A!I239</f>
        <v>0</v>
      </c>
      <c r="J29" s="1253">
        <f>A3A!J239</f>
        <v>0</v>
      </c>
      <c r="K29" s="1254">
        <f>A3A!K239</f>
        <v>0</v>
      </c>
      <c r="L29" s="209"/>
      <c r="M29" s="210"/>
      <c r="N29" s="210"/>
      <c r="O29" s="210"/>
      <c r="P29" s="210"/>
      <c r="Q29" s="210"/>
      <c r="R29" s="210"/>
      <c r="S29" s="210"/>
      <c r="T29" s="210"/>
      <c r="U29" s="210"/>
      <c r="V29" s="210"/>
      <c r="W29" s="210"/>
      <c r="X29" s="373"/>
    </row>
    <row r="30" spans="1:24" ht="11.25" customHeight="1">
      <c r="A30" s="1252" t="str">
        <f>A3A!A250</f>
        <v>Example 8 - Vote8</v>
      </c>
      <c r="B30" s="1231"/>
      <c r="C30" s="1253">
        <f>A3A!C250</f>
        <v>0</v>
      </c>
      <c r="D30" s="1253">
        <f>A3A!D250</f>
        <v>0</v>
      </c>
      <c r="E30" s="1254">
        <f>A3A!E250</f>
        <v>0</v>
      </c>
      <c r="F30" s="1255">
        <f>A3A!F250</f>
        <v>0</v>
      </c>
      <c r="G30" s="1253">
        <f>A3A!G250</f>
        <v>0</v>
      </c>
      <c r="H30" s="1256">
        <f>A3A!H250</f>
        <v>0</v>
      </c>
      <c r="I30" s="1257">
        <f>A3A!I250</f>
        <v>0</v>
      </c>
      <c r="J30" s="1253">
        <f>A3A!J250</f>
        <v>0</v>
      </c>
      <c r="K30" s="1254">
        <f>A3A!K250</f>
        <v>0</v>
      </c>
      <c r="L30" s="209"/>
      <c r="M30" s="210"/>
      <c r="N30" s="210"/>
      <c r="O30" s="210"/>
      <c r="P30" s="210"/>
      <c r="Q30" s="210"/>
      <c r="R30" s="210"/>
      <c r="S30" s="210"/>
      <c r="T30" s="210"/>
      <c r="U30" s="210"/>
      <c r="V30" s="210"/>
      <c r="W30" s="210"/>
      <c r="X30" s="373"/>
    </row>
    <row r="31" spans="1:24" ht="11.25" customHeight="1">
      <c r="A31" s="1252" t="str">
        <f>A3A!A261</f>
        <v>Example 9 - Vote9</v>
      </c>
      <c r="B31" s="1231"/>
      <c r="C31" s="1253">
        <f>A3A!C261</f>
        <v>0</v>
      </c>
      <c r="D31" s="1253">
        <f>A3A!D261</f>
        <v>0</v>
      </c>
      <c r="E31" s="1254">
        <f>A3A!E261</f>
        <v>0</v>
      </c>
      <c r="F31" s="1255">
        <f>A3A!F261</f>
        <v>0</v>
      </c>
      <c r="G31" s="1253">
        <f>A3A!G261</f>
        <v>0</v>
      </c>
      <c r="H31" s="1256">
        <f>A3A!H261</f>
        <v>0</v>
      </c>
      <c r="I31" s="1257">
        <f>A3A!I261</f>
        <v>0</v>
      </c>
      <c r="J31" s="1253">
        <f>A3A!J261</f>
        <v>0</v>
      </c>
      <c r="K31" s="1254">
        <f>A3A!K261</f>
        <v>0</v>
      </c>
      <c r="L31" s="209"/>
      <c r="M31" s="210"/>
      <c r="N31" s="210"/>
      <c r="O31" s="210"/>
      <c r="P31" s="210"/>
      <c r="Q31" s="210"/>
      <c r="R31" s="210"/>
      <c r="S31" s="210"/>
      <c r="T31" s="210"/>
      <c r="U31" s="210"/>
      <c r="V31" s="210"/>
      <c r="W31" s="210"/>
      <c r="X31" s="373"/>
    </row>
    <row r="32" spans="1:24" ht="11.25" customHeight="1">
      <c r="A32" s="1252" t="str">
        <f>A3A!A272</f>
        <v>Example 10 - Vote10</v>
      </c>
      <c r="B32" s="1231"/>
      <c r="C32" s="1253">
        <f>A3A!C272</f>
        <v>0</v>
      </c>
      <c r="D32" s="1253">
        <f>A3A!D272</f>
        <v>0</v>
      </c>
      <c r="E32" s="1254">
        <f>A3A!E272</f>
        <v>0</v>
      </c>
      <c r="F32" s="1255">
        <f>A3A!F272</f>
        <v>0</v>
      </c>
      <c r="G32" s="1253">
        <f>A3A!G272</f>
        <v>0</v>
      </c>
      <c r="H32" s="1256">
        <f>A3A!H272</f>
        <v>0</v>
      </c>
      <c r="I32" s="1257">
        <f>A3A!I272</f>
        <v>0</v>
      </c>
      <c r="J32" s="1253">
        <f>A3A!J272</f>
        <v>0</v>
      </c>
      <c r="K32" s="1254">
        <f>A3A!K272</f>
        <v>0</v>
      </c>
      <c r="L32" s="209"/>
      <c r="M32" s="210"/>
      <c r="N32" s="210"/>
      <c r="O32" s="210"/>
      <c r="P32" s="210"/>
      <c r="Q32" s="210"/>
      <c r="R32" s="210"/>
      <c r="S32" s="210"/>
      <c r="T32" s="210"/>
      <c r="U32" s="210"/>
      <c r="V32" s="210"/>
      <c r="W32" s="210"/>
      <c r="X32" s="373"/>
    </row>
    <row r="33" spans="1:24" ht="11.25" customHeight="1">
      <c r="A33" s="1252" t="str">
        <f>A3A!A283</f>
        <v>Example 11 - Vote11</v>
      </c>
      <c r="B33" s="1231"/>
      <c r="C33" s="325">
        <f>A3A!C283</f>
        <v>0</v>
      </c>
      <c r="D33" s="325">
        <f>A3A!D283</f>
        <v>0</v>
      </c>
      <c r="E33" s="194">
        <f>A3A!E283</f>
        <v>0</v>
      </c>
      <c r="F33" s="195">
        <f>A3A!F283</f>
        <v>0</v>
      </c>
      <c r="G33" s="193">
        <f>A3A!G283</f>
        <v>0</v>
      </c>
      <c r="H33" s="194">
        <f>A3A!H283</f>
        <v>0</v>
      </c>
      <c r="I33" s="192">
        <f>A3A!I283</f>
        <v>0</v>
      </c>
      <c r="J33" s="195">
        <f>A3A!J283</f>
        <v>0</v>
      </c>
      <c r="K33" s="193">
        <f>A3A!K283</f>
        <v>0</v>
      </c>
      <c r="L33" s="194">
        <f>A3A!L284</f>
        <v>0</v>
      </c>
      <c r="M33" s="210"/>
      <c r="N33" s="210"/>
      <c r="O33" s="210"/>
      <c r="P33" s="210"/>
      <c r="Q33" s="210"/>
      <c r="R33" s="210"/>
      <c r="S33" s="210"/>
      <c r="T33" s="210"/>
      <c r="U33" s="210"/>
      <c r="V33" s="210"/>
      <c r="W33" s="210"/>
      <c r="X33" s="373"/>
    </row>
    <row r="34" spans="1:24" ht="11.25" customHeight="1">
      <c r="A34" s="1252" t="str">
        <f>A3A!A294</f>
        <v>Example 12 - Vote12</v>
      </c>
      <c r="B34" s="1231"/>
      <c r="C34" s="325">
        <f>A3A!C294</f>
        <v>0</v>
      </c>
      <c r="D34" s="325">
        <f>A3A!D294</f>
        <v>0</v>
      </c>
      <c r="E34" s="194">
        <f>A3A!E294</f>
        <v>0</v>
      </c>
      <c r="F34" s="195">
        <f>A3A!F294</f>
        <v>0</v>
      </c>
      <c r="G34" s="193">
        <f>A3A!G294</f>
        <v>0</v>
      </c>
      <c r="H34" s="194">
        <f>A3A!H294</f>
        <v>0</v>
      </c>
      <c r="I34" s="192">
        <f>A3A!I294</f>
        <v>0</v>
      </c>
      <c r="J34" s="195">
        <f>A3A!J294</f>
        <v>0</v>
      </c>
      <c r="K34" s="193">
        <f>A3A!K294</f>
        <v>0</v>
      </c>
      <c r="L34" s="194">
        <f>A3A!L295</f>
        <v>0</v>
      </c>
      <c r="M34" s="210"/>
      <c r="N34" s="210"/>
      <c r="O34" s="210"/>
      <c r="P34" s="210"/>
      <c r="Q34" s="210"/>
      <c r="R34" s="210"/>
      <c r="S34" s="210"/>
      <c r="T34" s="210"/>
      <c r="U34" s="210"/>
      <c r="V34" s="210"/>
      <c r="W34" s="210"/>
      <c r="X34" s="373"/>
    </row>
    <row r="35" spans="1:24" ht="11.25" customHeight="1">
      <c r="A35" s="1252" t="str">
        <f>A3A!A305</f>
        <v>Example 13 - Vote13</v>
      </c>
      <c r="B35" s="1231"/>
      <c r="C35" s="1594">
        <f>A3A!C305</f>
        <v>0</v>
      </c>
      <c r="D35" s="1594">
        <f>A3A!D305</f>
        <v>0</v>
      </c>
      <c r="E35" s="1595">
        <f>A3A!E305</f>
        <v>0</v>
      </c>
      <c r="F35" s="1596">
        <f>A3A!F305</f>
        <v>0</v>
      </c>
      <c r="G35" s="1556">
        <f>A3A!G305</f>
        <v>0</v>
      </c>
      <c r="H35" s="1595">
        <f>A3A!H305</f>
        <v>0</v>
      </c>
      <c r="I35" s="1557">
        <f>A3A!I305</f>
        <v>0</v>
      </c>
      <c r="J35" s="1596">
        <f>A3A!J305</f>
        <v>0</v>
      </c>
      <c r="K35" s="1556">
        <f>A3A!K305</f>
        <v>0</v>
      </c>
      <c r="L35" s="1595">
        <f>A3A!L306</f>
        <v>0</v>
      </c>
      <c r="M35" s="210"/>
      <c r="N35" s="210"/>
      <c r="O35" s="210"/>
      <c r="P35" s="210"/>
      <c r="Q35" s="210"/>
      <c r="R35" s="210"/>
      <c r="S35" s="210"/>
      <c r="T35" s="210"/>
      <c r="U35" s="210"/>
      <c r="V35" s="210"/>
      <c r="W35" s="210"/>
      <c r="X35" s="373"/>
    </row>
    <row r="36" spans="1:24" ht="11.25" customHeight="1">
      <c r="A36" s="1252" t="str">
        <f>A3A!A316</f>
        <v>Example 14 - Vote14</v>
      </c>
      <c r="B36" s="1231"/>
      <c r="C36" s="1594">
        <f>A3A!C316</f>
        <v>0</v>
      </c>
      <c r="D36" s="1594">
        <f>A3A!D316</f>
        <v>0</v>
      </c>
      <c r="E36" s="1595">
        <f>A3A!E316</f>
        <v>0</v>
      </c>
      <c r="F36" s="1596">
        <f>A3A!F316</f>
        <v>0</v>
      </c>
      <c r="G36" s="1556">
        <f>A3A!G316</f>
        <v>0</v>
      </c>
      <c r="H36" s="1595">
        <f>A3A!H316</f>
        <v>0</v>
      </c>
      <c r="I36" s="1557">
        <f>A3A!I316</f>
        <v>0</v>
      </c>
      <c r="J36" s="1596">
        <f>A3A!J316</f>
        <v>0</v>
      </c>
      <c r="K36" s="1556">
        <f>A3A!K316</f>
        <v>0</v>
      </c>
      <c r="L36" s="1595">
        <f>A3A!L317</f>
        <v>0</v>
      </c>
      <c r="M36" s="210"/>
      <c r="N36" s="210"/>
      <c r="O36" s="210"/>
      <c r="P36" s="210"/>
      <c r="Q36" s="210"/>
      <c r="R36" s="210"/>
      <c r="S36" s="210"/>
      <c r="T36" s="210"/>
      <c r="U36" s="210"/>
      <c r="V36" s="210"/>
      <c r="W36" s="210"/>
      <c r="X36" s="373"/>
    </row>
    <row r="37" spans="1:24" ht="11.25" customHeight="1">
      <c r="A37" s="1252" t="str">
        <f>A3A!A327</f>
        <v>Example 15 - Vote15</v>
      </c>
      <c r="B37" s="1231"/>
      <c r="C37" s="1594">
        <f>A3A!C327</f>
        <v>0</v>
      </c>
      <c r="D37" s="1594">
        <f>A3A!D327</f>
        <v>0</v>
      </c>
      <c r="E37" s="1595">
        <f>A3A!E327</f>
        <v>0</v>
      </c>
      <c r="F37" s="1596">
        <f>A3A!F327</f>
        <v>0</v>
      </c>
      <c r="G37" s="1556">
        <f>A3A!G327</f>
        <v>0</v>
      </c>
      <c r="H37" s="1595">
        <f>A3A!H327</f>
        <v>0</v>
      </c>
      <c r="I37" s="1557">
        <f>A3A!I327</f>
        <v>0</v>
      </c>
      <c r="J37" s="1596">
        <f>A3A!J327</f>
        <v>0</v>
      </c>
      <c r="K37" s="1556">
        <f>A3A!K327</f>
        <v>0</v>
      </c>
      <c r="L37" s="1595">
        <f>A3A!L328</f>
        <v>0</v>
      </c>
      <c r="M37" s="210"/>
      <c r="N37" s="210"/>
      <c r="O37" s="210"/>
      <c r="P37" s="210"/>
      <c r="Q37" s="210"/>
      <c r="R37" s="210"/>
      <c r="S37" s="210"/>
      <c r="T37" s="210"/>
      <c r="U37" s="210"/>
      <c r="V37" s="210"/>
      <c r="W37" s="210"/>
      <c r="X37" s="373"/>
    </row>
    <row r="38" spans="1:24" ht="11.25" customHeight="1">
      <c r="A38" s="1411" t="s">
        <v>185</v>
      </c>
      <c r="B38" s="1410">
        <v>2</v>
      </c>
      <c r="C38" s="1417">
        <f>SUM(C23:C37)</f>
        <v>0</v>
      </c>
      <c r="D38" s="1417">
        <f t="shared" ref="D38:K38" si="1">SUM(D23:D37)</f>
        <v>0</v>
      </c>
      <c r="E38" s="1418">
        <f t="shared" si="1"/>
        <v>2739150630</v>
      </c>
      <c r="F38" s="1419">
        <f t="shared" si="1"/>
        <v>2388296180</v>
      </c>
      <c r="G38" s="1417">
        <f t="shared" si="1"/>
        <v>3035455323</v>
      </c>
      <c r="H38" s="1420">
        <f t="shared" si="1"/>
        <v>3035455323</v>
      </c>
      <c r="I38" s="1421">
        <f t="shared" si="1"/>
        <v>3339106373</v>
      </c>
      <c r="J38" s="1417">
        <f t="shared" si="1"/>
        <v>3551108161</v>
      </c>
      <c r="K38" s="1418">
        <f t="shared" si="1"/>
        <v>3711581028</v>
      </c>
      <c r="L38" s="200">
        <f t="shared" ref="L38:W38" si="2">SUM(L23:L29)</f>
        <v>0</v>
      </c>
      <c r="M38" s="201">
        <f t="shared" si="2"/>
        <v>0</v>
      </c>
      <c r="N38" s="201">
        <f t="shared" si="2"/>
        <v>0</v>
      </c>
      <c r="O38" s="201">
        <f t="shared" si="2"/>
        <v>0</v>
      </c>
      <c r="P38" s="201">
        <f t="shared" si="2"/>
        <v>0</v>
      </c>
      <c r="Q38" s="201">
        <f t="shared" si="2"/>
        <v>0</v>
      </c>
      <c r="R38" s="201">
        <f t="shared" si="2"/>
        <v>0</v>
      </c>
      <c r="S38" s="201">
        <f t="shared" si="2"/>
        <v>0</v>
      </c>
      <c r="T38" s="201">
        <f t="shared" si="2"/>
        <v>0</v>
      </c>
      <c r="U38" s="201">
        <f t="shared" si="2"/>
        <v>0</v>
      </c>
      <c r="V38" s="201">
        <f t="shared" si="2"/>
        <v>0</v>
      </c>
      <c r="W38" s="201">
        <f t="shared" si="2"/>
        <v>0</v>
      </c>
      <c r="X38" s="373"/>
    </row>
    <row r="39" spans="1:24" ht="13.5" thickBot="1">
      <c r="A39" s="1270" t="str">
        <f>result</f>
        <v>Surplus/(Deficit) for the year</v>
      </c>
      <c r="B39" s="1235">
        <v>2</v>
      </c>
      <c r="C39" s="1193">
        <f t="shared" ref="C39:W39" si="3">C20-C38</f>
        <v>0</v>
      </c>
      <c r="D39" s="1193">
        <f t="shared" si="3"/>
        <v>0</v>
      </c>
      <c r="E39" s="1271">
        <f t="shared" si="3"/>
        <v>-232981191</v>
      </c>
      <c r="F39" s="1272">
        <f t="shared" si="3"/>
        <v>112798</v>
      </c>
      <c r="G39" s="1273">
        <f t="shared" si="3"/>
        <v>112899</v>
      </c>
      <c r="H39" s="1274">
        <f t="shared" si="3"/>
        <v>112899</v>
      </c>
      <c r="I39" s="1275">
        <f t="shared" si="3"/>
        <v>90000</v>
      </c>
      <c r="J39" s="1273">
        <f t="shared" si="3"/>
        <v>100001</v>
      </c>
      <c r="K39" s="1271">
        <f t="shared" si="3"/>
        <v>110000</v>
      </c>
      <c r="L39" s="234" t="e">
        <f t="shared" si="3"/>
        <v>#REF!</v>
      </c>
      <c r="M39" s="235" t="e">
        <f t="shared" si="3"/>
        <v>#REF!</v>
      </c>
      <c r="N39" s="235" t="e">
        <f t="shared" si="3"/>
        <v>#REF!</v>
      </c>
      <c r="O39" s="235" t="e">
        <f t="shared" si="3"/>
        <v>#REF!</v>
      </c>
      <c r="P39" s="235" t="e">
        <f t="shared" si="3"/>
        <v>#REF!</v>
      </c>
      <c r="Q39" s="235" t="e">
        <f t="shared" si="3"/>
        <v>#REF!</v>
      </c>
      <c r="R39" s="235" t="e">
        <f t="shared" si="3"/>
        <v>#REF!</v>
      </c>
      <c r="S39" s="235" t="e">
        <f t="shared" si="3"/>
        <v>#REF!</v>
      </c>
      <c r="T39" s="235" t="e">
        <f t="shared" si="3"/>
        <v>#REF!</v>
      </c>
      <c r="U39" s="235" t="e">
        <f t="shared" si="3"/>
        <v>#REF!</v>
      </c>
      <c r="V39" s="235" t="e">
        <f t="shared" si="3"/>
        <v>#REF!</v>
      </c>
      <c r="W39" s="235" t="e">
        <f t="shared" si="3"/>
        <v>#REF!</v>
      </c>
      <c r="X39" s="373"/>
    </row>
    <row r="40" spans="1:24" s="722" customFormat="1" ht="11.25" customHeight="1" thickTop="1">
      <c r="A40" s="1276" t="str">
        <f>head27a</f>
        <v>References</v>
      </c>
      <c r="B40" s="1277"/>
      <c r="C40" s="1199"/>
      <c r="D40" s="1278"/>
      <c r="E40" s="1279"/>
      <c r="F40" s="1279"/>
      <c r="G40" s="1279"/>
      <c r="H40" s="1279"/>
      <c r="I40" s="1279"/>
      <c r="J40" s="1279"/>
      <c r="K40" s="1279"/>
    </row>
    <row r="41" spans="1:24" s="722" customFormat="1" ht="11.25" customHeight="1">
      <c r="A41" s="1241" t="s">
        <v>196</v>
      </c>
      <c r="B41" s="1277"/>
      <c r="C41" s="1280"/>
      <c r="D41" s="1280"/>
      <c r="E41" s="1281"/>
      <c r="F41" s="1281"/>
      <c r="G41" s="1281"/>
      <c r="H41" s="1281"/>
      <c r="I41" s="1281"/>
      <c r="J41" s="1281"/>
      <c r="K41" s="1281"/>
    </row>
    <row r="42" spans="1:24" s="722" customFormat="1" ht="11.25" customHeight="1">
      <c r="A42" s="1282" t="s">
        <v>195</v>
      </c>
      <c r="B42" s="1277"/>
      <c r="C42" s="1280"/>
      <c r="D42" s="1280"/>
      <c r="E42" s="1281"/>
      <c r="F42" s="1281"/>
      <c r="G42" s="1281"/>
      <c r="H42" s="1281"/>
      <c r="I42" s="1281"/>
      <c r="J42" s="1281"/>
      <c r="K42" s="1281"/>
    </row>
    <row r="43" spans="1:24" s="722" customFormat="1" ht="11.25" customHeight="1">
      <c r="A43" s="1282" t="s">
        <v>460</v>
      </c>
      <c r="B43" s="1237"/>
      <c r="C43" s="1283"/>
      <c r="D43" s="1283"/>
      <c r="E43" s="1284"/>
      <c r="F43" s="1284"/>
      <c r="G43" s="1284"/>
      <c r="H43" s="1284"/>
      <c r="I43" s="1284"/>
      <c r="J43" s="1284"/>
      <c r="K43" s="1284"/>
    </row>
    <row r="44" spans="1:24" ht="11.25" customHeight="1">
      <c r="A44" s="1238"/>
      <c r="B44" s="717"/>
      <c r="C44" s="720"/>
      <c r="D44" s="720"/>
      <c r="E44" s="720"/>
      <c r="F44" s="720"/>
      <c r="G44" s="720"/>
      <c r="H44" s="720"/>
      <c r="I44" s="720"/>
      <c r="J44" s="720"/>
      <c r="K44" s="720"/>
    </row>
    <row r="45" spans="1:24" ht="11.25" customHeight="1">
      <c r="A45" s="1283" t="str">
        <f>"check "&amp;A39</f>
        <v>check Surplus/(Deficit) for the year</v>
      </c>
      <c r="B45" s="717"/>
      <c r="C45" s="1284">
        <f>C39-A3A!C340</f>
        <v>0</v>
      </c>
      <c r="D45" s="1284">
        <f>D39-A3A!D340</f>
        <v>0</v>
      </c>
      <c r="E45" s="1284">
        <f>E39-A3A!E340</f>
        <v>0</v>
      </c>
      <c r="F45" s="1284">
        <f>F39-A3A!F340</f>
        <v>0</v>
      </c>
      <c r="G45" s="1284">
        <f>G39-A3A!G340</f>
        <v>0</v>
      </c>
      <c r="H45" s="1284">
        <f>H39-A3A!H340</f>
        <v>0</v>
      </c>
      <c r="I45" s="1284">
        <f>I39-A3A!I340</f>
        <v>0</v>
      </c>
      <c r="J45" s="1284">
        <f>J39-A3A!J340</f>
        <v>0</v>
      </c>
      <c r="K45" s="1284">
        <f>K39-A3A!K340</f>
        <v>0</v>
      </c>
    </row>
    <row r="46" spans="1:24" ht="11.25" customHeight="1">
      <c r="A46" s="245"/>
      <c r="C46" s="246"/>
      <c r="D46" s="246"/>
      <c r="E46" s="246"/>
      <c r="F46" s="246"/>
      <c r="G46" s="246"/>
      <c r="H46" s="246"/>
      <c r="I46" s="246"/>
      <c r="J46" s="246"/>
      <c r="K46" s="246"/>
    </row>
    <row r="47" spans="1:24" ht="11.25" customHeight="1">
      <c r="A47" s="247"/>
    </row>
    <row r="48" spans="1:24" ht="11.25" customHeight="1">
      <c r="A48" s="247"/>
    </row>
    <row r="49" spans="3:11" ht="11.25" customHeight="1">
      <c r="C49" s="364"/>
      <c r="D49" s="364"/>
      <c r="E49" s="364"/>
      <c r="F49" s="364"/>
      <c r="G49" s="364"/>
      <c r="H49" s="364"/>
      <c r="I49" s="364"/>
      <c r="J49" s="364"/>
      <c r="K49" s="364"/>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A35B"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zoomScaleNormal="100" workbookViewId="0">
      <pane xSplit="2" ySplit="3" topLeftCell="C64" activePane="bottomRight" state="frozen"/>
      <selection activeCell="O37" sqref="A1:IV65536"/>
      <selection pane="topRight" activeCell="O37" sqref="A1:IV65536"/>
      <selection pane="bottomLeft" activeCell="O37" sqref="A1:IV65536"/>
      <selection pane="bottomRight" activeCell="Z49" sqref="Z49"/>
    </sheetView>
  </sheetViews>
  <sheetFormatPr defaultRowHeight="12.75"/>
  <cols>
    <col min="1" max="1" width="30.7109375" style="150" customWidth="1"/>
    <col min="2" max="2" width="3" style="1075" customWidth="1"/>
    <col min="3" max="11" width="9.28515625" style="150" customWidth="1"/>
    <col min="12" max="23" width="0" style="150" hidden="1" customWidth="1"/>
    <col min="24" max="16384" width="9.140625" style="150"/>
  </cols>
  <sheetData>
    <row r="1" spans="1:23" s="180" customFormat="1">
      <c r="A1" s="1159" t="str">
        <f>muni&amp;" - "&amp;Approve2&amp;"A"</f>
        <v>KZN225 Msunduzi - Table A3 Budgeted Financial Performance (revenue and expenditure by municipal vote)A</v>
      </c>
      <c r="B1" s="1159"/>
      <c r="C1" s="1159"/>
      <c r="D1" s="1159"/>
      <c r="E1" s="1159"/>
      <c r="F1" s="1159"/>
      <c r="G1" s="1159"/>
      <c r="H1" s="1159"/>
      <c r="I1" s="1159"/>
      <c r="J1" s="1159"/>
      <c r="K1" s="1159"/>
    </row>
    <row r="2" spans="1:23" ht="28.5" customHeight="1">
      <c r="A2" s="1242" t="str">
        <f>Vdesc</f>
        <v>Vote Description</v>
      </c>
      <c r="B2" s="1243" t="str">
        <f>head27</f>
        <v>Ref</v>
      </c>
      <c r="C2" s="1161" t="str">
        <f>head1b</f>
        <v>2007/8</v>
      </c>
      <c r="D2" s="1161" t="str">
        <f>head1A</f>
        <v>2008/9</v>
      </c>
      <c r="E2" s="1162" t="str">
        <f>Head1</f>
        <v>2009/10</v>
      </c>
      <c r="F2" s="2421" t="str">
        <f>Head2</f>
        <v>Current Year 2010/11</v>
      </c>
      <c r="G2" s="2422"/>
      <c r="H2" s="2422"/>
      <c r="I2" s="2423" t="str">
        <f>Head3</f>
        <v>2011/12 Medium Term Revenue &amp; Expenditure Framework</v>
      </c>
      <c r="J2" s="2424"/>
      <c r="K2" s="2425"/>
      <c r="L2" s="2426" t="str">
        <f>Head4</f>
        <v>LTFS</v>
      </c>
      <c r="M2" s="2427"/>
      <c r="N2" s="2427"/>
      <c r="O2" s="2427"/>
      <c r="P2" s="2427"/>
      <c r="Q2" s="2427"/>
      <c r="R2" s="2427"/>
      <c r="S2" s="2427"/>
      <c r="T2" s="2427"/>
      <c r="U2" s="2427"/>
      <c r="V2" s="2427"/>
      <c r="W2" s="2428"/>
    </row>
    <row r="3" spans="1:23" ht="25.5">
      <c r="A3" s="1244" t="s">
        <v>703</v>
      </c>
      <c r="B3" s="1245"/>
      <c r="C3" s="1163" t="str">
        <f>Head5</f>
        <v>Audited Outcome</v>
      </c>
      <c r="D3" s="1163" t="str">
        <f>Head5</f>
        <v>Audited Outcome</v>
      </c>
      <c r="E3" s="1164" t="str">
        <f>Head5</f>
        <v>Audited Outcome</v>
      </c>
      <c r="F3" s="1165" t="str">
        <f>Head6</f>
        <v>Original Budget</v>
      </c>
      <c r="G3" s="1163" t="str">
        <f>Head7</f>
        <v>Adjusted Budget</v>
      </c>
      <c r="H3" s="1164" t="str">
        <f>Head8</f>
        <v>Full Year Forecast</v>
      </c>
      <c r="I3" s="1165" t="str">
        <f>Head9</f>
        <v>Budget Year 2011/12</v>
      </c>
      <c r="J3" s="1163" t="str">
        <f>Head10</f>
        <v>Budget Year +1 2012/13</v>
      </c>
      <c r="K3" s="1164" t="str">
        <f>Head11</f>
        <v>Budget Year +2 2013/14</v>
      </c>
      <c r="L3" s="1639" t="str">
        <f>Head12</f>
        <v>Forecast 2014/15</v>
      </c>
      <c r="M3" s="1640" t="str">
        <f>Head13</f>
        <v>Forecast 2015/16</v>
      </c>
      <c r="N3" s="1640" t="str">
        <f>Head14</f>
        <v>Forecast 2016/17</v>
      </c>
      <c r="O3" s="1640" t="str">
        <f>Head15</f>
        <v>Forecast 2017/18</v>
      </c>
      <c r="P3" s="1640" t="str">
        <f>Head16</f>
        <v>Forecast 2018/19</v>
      </c>
      <c r="Q3" s="1640" t="str">
        <f>Head17</f>
        <v>Forecast 2019/20</v>
      </c>
      <c r="R3" s="1640" t="str">
        <f>Head18</f>
        <v>Forecast 2020/21</v>
      </c>
      <c r="S3" s="1640" t="str">
        <f>Head19</f>
        <v>Forecast 2021/22</v>
      </c>
      <c r="T3" s="1640" t="str">
        <f>Head20</f>
        <v>Forecast 2022/23</v>
      </c>
      <c r="U3" s="1640" t="str">
        <f>Head21</f>
        <v>Forecast 2023/24</v>
      </c>
      <c r="V3" s="1640" t="str">
        <f>Head22</f>
        <v>Forecast 2024/25</v>
      </c>
      <c r="W3" s="1640" t="str">
        <f>Head23</f>
        <v>Forecast 2025/26</v>
      </c>
    </row>
    <row r="4" spans="1:23" ht="11.25" customHeight="1">
      <c r="A4" s="1246" t="s">
        <v>1501</v>
      </c>
      <c r="B4" s="1231">
        <v>1</v>
      </c>
      <c r="C4" s="1247"/>
      <c r="D4" s="1247"/>
      <c r="E4" s="1248"/>
      <c r="F4" s="1249"/>
      <c r="G4" s="1247"/>
      <c r="H4" s="1250"/>
      <c r="I4" s="1251"/>
      <c r="J4" s="1247"/>
      <c r="K4" s="1248"/>
      <c r="L4" s="189"/>
      <c r="M4" s="190"/>
      <c r="N4" s="190"/>
      <c r="O4" s="190"/>
      <c r="P4" s="190"/>
      <c r="Q4" s="190"/>
      <c r="R4" s="190"/>
      <c r="S4" s="190"/>
      <c r="T4" s="190"/>
      <c r="U4" s="190"/>
      <c r="V4" s="190"/>
      <c r="W4" s="190"/>
    </row>
    <row r="5" spans="1:23" ht="11.25" customHeight="1">
      <c r="A5" s="1726" t="s">
        <v>2134</v>
      </c>
      <c r="B5" s="1085"/>
      <c r="C5" s="1002">
        <f>SUM(C6:C15)</f>
        <v>0</v>
      </c>
      <c r="D5" s="1002">
        <f t="shared" ref="D5:K5" si="0">SUM(D6:D15)</f>
        <v>0</v>
      </c>
      <c r="E5" s="1003">
        <f t="shared" si="0"/>
        <v>15487148</v>
      </c>
      <c r="F5" s="1004">
        <f>SUM(F6:F15)</f>
        <v>2172041</v>
      </c>
      <c r="G5" s="1002">
        <f t="shared" si="0"/>
        <v>3301739</v>
      </c>
      <c r="H5" s="1005">
        <f t="shared" si="0"/>
        <v>3301739</v>
      </c>
      <c r="I5" s="1006">
        <f t="shared" si="0"/>
        <v>6842423</v>
      </c>
      <c r="J5" s="1002">
        <f t="shared" si="0"/>
        <v>6604868</v>
      </c>
      <c r="K5" s="1003">
        <f t="shared" si="0"/>
        <v>20638135</v>
      </c>
      <c r="L5" s="189"/>
      <c r="M5" s="190"/>
      <c r="N5" s="190"/>
      <c r="O5" s="190"/>
      <c r="P5" s="190"/>
      <c r="Q5" s="190"/>
      <c r="R5" s="190"/>
      <c r="S5" s="190"/>
      <c r="T5" s="190"/>
      <c r="U5" s="190"/>
      <c r="V5" s="190"/>
      <c r="W5" s="190"/>
    </row>
    <row r="6" spans="1:23" ht="11.25" customHeight="1">
      <c r="A6" s="1727" t="s">
        <v>2150</v>
      </c>
      <c r="B6" s="1073"/>
      <c r="C6" s="1721"/>
      <c r="D6" s="1725">
        <v>0</v>
      </c>
      <c r="E6" s="1722">
        <v>475053</v>
      </c>
      <c r="F6" s="1725">
        <v>3866</v>
      </c>
      <c r="G6" s="1721">
        <v>159345</v>
      </c>
      <c r="H6" s="1721">
        <v>159345</v>
      </c>
      <c r="I6" s="1725">
        <v>6333995</v>
      </c>
      <c r="J6" s="1721">
        <v>6069493</v>
      </c>
      <c r="K6" s="1722">
        <v>20073315</v>
      </c>
      <c r="L6" s="189"/>
      <c r="M6" s="190"/>
      <c r="N6" s="190"/>
      <c r="O6" s="190"/>
      <c r="P6" s="190"/>
      <c r="Q6" s="190"/>
      <c r="R6" s="190"/>
      <c r="S6" s="190"/>
      <c r="T6" s="190"/>
      <c r="U6" s="190"/>
      <c r="V6" s="190"/>
      <c r="W6" s="190"/>
    </row>
    <row r="7" spans="1:23" ht="11.25" customHeight="1">
      <c r="A7" s="1727" t="s">
        <v>2151</v>
      </c>
      <c r="B7" s="1073"/>
      <c r="C7" s="1721"/>
      <c r="D7" s="1725">
        <v>0</v>
      </c>
      <c r="E7" s="1722"/>
      <c r="F7" s="1725">
        <v>0</v>
      </c>
      <c r="G7" s="1721"/>
      <c r="H7" s="1721"/>
      <c r="I7" s="1725"/>
      <c r="J7" s="1721"/>
      <c r="K7" s="1722"/>
      <c r="L7" s="189"/>
      <c r="M7" s="190"/>
      <c r="N7" s="190"/>
      <c r="O7" s="190"/>
      <c r="P7" s="190"/>
      <c r="Q7" s="190"/>
      <c r="R7" s="190"/>
      <c r="S7" s="190"/>
      <c r="T7" s="190"/>
      <c r="U7" s="190"/>
      <c r="V7" s="190"/>
      <c r="W7" s="190"/>
    </row>
    <row r="8" spans="1:23" ht="11.25" customHeight="1">
      <c r="A8" s="1727" t="s">
        <v>2152</v>
      </c>
      <c r="B8" s="1073"/>
      <c r="C8" s="1721"/>
      <c r="D8" s="1725">
        <v>0</v>
      </c>
      <c r="E8" s="1722">
        <v>13245245</v>
      </c>
      <c r="F8" s="1725">
        <v>1047627</v>
      </c>
      <c r="G8" s="1721">
        <v>1047627</v>
      </c>
      <c r="H8" s="1721">
        <v>1047627</v>
      </c>
      <c r="I8" s="1725">
        <v>362165</v>
      </c>
      <c r="J8" s="1721">
        <v>381360</v>
      </c>
      <c r="K8" s="1722">
        <v>402335</v>
      </c>
      <c r="L8" s="189"/>
      <c r="M8" s="190"/>
      <c r="N8" s="190"/>
      <c r="O8" s="190"/>
      <c r="P8" s="190"/>
      <c r="Q8" s="190"/>
      <c r="R8" s="190"/>
      <c r="S8" s="190"/>
      <c r="T8" s="190"/>
      <c r="U8" s="190"/>
      <c r="V8" s="190"/>
      <c r="W8" s="190"/>
    </row>
    <row r="9" spans="1:23" ht="11.25" customHeight="1">
      <c r="A9" s="1727" t="s">
        <v>2153</v>
      </c>
      <c r="B9" s="1073"/>
      <c r="C9" s="1721"/>
      <c r="D9" s="1725">
        <v>0</v>
      </c>
      <c r="E9" s="1722">
        <v>22032</v>
      </c>
      <c r="F9" s="1725">
        <v>16866</v>
      </c>
      <c r="G9" s="1721">
        <v>16866</v>
      </c>
      <c r="H9" s="1721">
        <v>16866</v>
      </c>
      <c r="I9" s="1725">
        <v>38466</v>
      </c>
      <c r="J9" s="1721">
        <v>40505</v>
      </c>
      <c r="K9" s="1722">
        <v>42732</v>
      </c>
      <c r="L9" s="189"/>
      <c r="M9" s="190"/>
      <c r="N9" s="190"/>
      <c r="O9" s="190"/>
      <c r="P9" s="190"/>
      <c r="Q9" s="190"/>
      <c r="R9" s="190"/>
      <c r="S9" s="190"/>
      <c r="T9" s="190"/>
      <c r="U9" s="190"/>
      <c r="V9" s="190"/>
      <c r="W9" s="190"/>
    </row>
    <row r="10" spans="1:23" ht="11.25" customHeight="1">
      <c r="A10" s="1727" t="s">
        <v>2154</v>
      </c>
      <c r="B10" s="1073"/>
      <c r="C10" s="1721"/>
      <c r="D10" s="1725">
        <v>0</v>
      </c>
      <c r="E10" s="1722">
        <v>976318</v>
      </c>
      <c r="F10" s="1725">
        <v>1061383</v>
      </c>
      <c r="G10" s="1721">
        <v>2035602</v>
      </c>
      <c r="H10" s="1721">
        <v>2035602</v>
      </c>
      <c r="I10" s="1725">
        <v>355</v>
      </c>
      <c r="J10" s="1721">
        <v>374</v>
      </c>
      <c r="K10" s="1722">
        <v>394</v>
      </c>
      <c r="L10" s="189"/>
      <c r="M10" s="190"/>
      <c r="N10" s="190"/>
      <c r="O10" s="190"/>
      <c r="P10" s="190"/>
      <c r="Q10" s="190"/>
      <c r="R10" s="190"/>
      <c r="S10" s="190"/>
      <c r="T10" s="190"/>
      <c r="U10" s="190"/>
      <c r="V10" s="190"/>
      <c r="W10" s="190"/>
    </row>
    <row r="11" spans="1:23" ht="11.25" customHeight="1">
      <c r="A11" s="1727" t="s">
        <v>2155</v>
      </c>
      <c r="B11" s="1073"/>
      <c r="C11" s="1721"/>
      <c r="D11" s="1725">
        <v>0</v>
      </c>
      <c r="E11" s="1722">
        <v>756507</v>
      </c>
      <c r="F11" s="1725">
        <v>33650</v>
      </c>
      <c r="G11" s="1721">
        <v>33650</v>
      </c>
      <c r="H11" s="1721">
        <v>33650</v>
      </c>
      <c r="I11" s="1725">
        <v>32437</v>
      </c>
      <c r="J11" s="1721">
        <v>34156</v>
      </c>
      <c r="K11" s="1722">
        <v>36035</v>
      </c>
      <c r="L11" s="189"/>
      <c r="M11" s="190"/>
      <c r="N11" s="190"/>
      <c r="O11" s="190"/>
      <c r="P11" s="190"/>
      <c r="Q11" s="190"/>
      <c r="R11" s="190"/>
      <c r="S11" s="190"/>
      <c r="T11" s="190"/>
      <c r="U11" s="190"/>
      <c r="V11" s="190"/>
      <c r="W11" s="190"/>
    </row>
    <row r="12" spans="1:23" ht="11.25" customHeight="1">
      <c r="A12" s="1727" t="s">
        <v>2156</v>
      </c>
      <c r="B12" s="1073"/>
      <c r="C12" s="1721"/>
      <c r="D12" s="1725">
        <v>0</v>
      </c>
      <c r="E12" s="1722">
        <v>11993</v>
      </c>
      <c r="F12" s="1725">
        <v>8649</v>
      </c>
      <c r="G12" s="1721">
        <v>8649</v>
      </c>
      <c r="H12" s="1721">
        <v>8649</v>
      </c>
      <c r="I12" s="1725">
        <v>75005</v>
      </c>
      <c r="J12" s="1721">
        <v>78980</v>
      </c>
      <c r="K12" s="1722">
        <v>83324</v>
      </c>
      <c r="L12" s="189"/>
      <c r="M12" s="190"/>
      <c r="N12" s="190"/>
      <c r="O12" s="190"/>
      <c r="P12" s="190"/>
      <c r="Q12" s="190"/>
      <c r="R12" s="190"/>
      <c r="S12" s="190"/>
      <c r="T12" s="190"/>
      <c r="U12" s="190"/>
      <c r="V12" s="190"/>
      <c r="W12" s="190"/>
    </row>
    <row r="13" spans="1:23" ht="11.25" customHeight="1">
      <c r="A13" s="1727" t="s">
        <v>1498</v>
      </c>
      <c r="B13" s="1073"/>
      <c r="C13" s="1721"/>
      <c r="D13" s="1725"/>
      <c r="E13" s="1722"/>
      <c r="F13" s="1725"/>
      <c r="G13" s="1721"/>
      <c r="H13" s="1724"/>
      <c r="I13" s="1725"/>
      <c r="J13" s="1721"/>
      <c r="K13" s="1722"/>
      <c r="L13" s="189"/>
      <c r="M13" s="190"/>
      <c r="N13" s="190"/>
      <c r="O13" s="190"/>
      <c r="P13" s="190"/>
      <c r="Q13" s="190"/>
      <c r="R13" s="190"/>
      <c r="S13" s="190"/>
      <c r="T13" s="190"/>
      <c r="U13" s="190"/>
      <c r="V13" s="190"/>
      <c r="W13" s="190"/>
    </row>
    <row r="14" spans="1:23" ht="11.25" customHeight="1">
      <c r="A14" s="1727" t="s">
        <v>1498</v>
      </c>
      <c r="B14" s="1073"/>
      <c r="C14" s="1721"/>
      <c r="D14" s="1725"/>
      <c r="E14" s="1722"/>
      <c r="F14" s="1725"/>
      <c r="G14" s="1721"/>
      <c r="H14" s="1724"/>
      <c r="I14" s="1725"/>
      <c r="J14" s="1721"/>
      <c r="K14" s="1722"/>
      <c r="L14" s="189"/>
      <c r="M14" s="190"/>
      <c r="N14" s="190"/>
      <c r="O14" s="190"/>
      <c r="P14" s="190"/>
      <c r="Q14" s="190"/>
      <c r="R14" s="190"/>
      <c r="S14" s="190"/>
      <c r="T14" s="190"/>
      <c r="U14" s="190"/>
      <c r="V14" s="190"/>
      <c r="W14" s="190"/>
    </row>
    <row r="15" spans="1:23" ht="11.25" customHeight="1">
      <c r="A15" s="1727" t="s">
        <v>1498</v>
      </c>
      <c r="B15" s="1073"/>
      <c r="C15" s="1721"/>
      <c r="D15" s="1725"/>
      <c r="E15" s="1722"/>
      <c r="F15" s="1725"/>
      <c r="G15" s="1721"/>
      <c r="H15" s="1724"/>
      <c r="I15" s="1725"/>
      <c r="J15" s="1721"/>
      <c r="K15" s="1722"/>
      <c r="L15" s="189"/>
      <c r="M15" s="190"/>
      <c r="N15" s="190"/>
      <c r="O15" s="190"/>
      <c r="P15" s="190"/>
      <c r="Q15" s="190"/>
      <c r="R15" s="190"/>
      <c r="S15" s="190"/>
      <c r="T15" s="190"/>
      <c r="U15" s="190"/>
      <c r="V15" s="190"/>
      <c r="W15" s="190"/>
    </row>
    <row r="16" spans="1:23" ht="11.25" customHeight="1">
      <c r="A16" s="1726" t="s">
        <v>2135</v>
      </c>
      <c r="B16" s="1085"/>
      <c r="C16" s="1002">
        <f>SUM(C17:C26)</f>
        <v>0</v>
      </c>
      <c r="D16" s="1002">
        <f t="shared" ref="D16:K16" si="1">SUM(D17:D26)</f>
        <v>0</v>
      </c>
      <c r="E16" s="1003">
        <f t="shared" si="1"/>
        <v>891528205</v>
      </c>
      <c r="F16" s="1004">
        <f>SUM(F17:F26)</f>
        <v>536056564</v>
      </c>
      <c r="G16" s="1002">
        <f t="shared" si="1"/>
        <v>928179581</v>
      </c>
      <c r="H16" s="1005">
        <f t="shared" si="1"/>
        <v>928179581</v>
      </c>
      <c r="I16" s="1006">
        <f t="shared" si="1"/>
        <v>985438904</v>
      </c>
      <c r="J16" s="1002">
        <f t="shared" si="1"/>
        <v>1037087923</v>
      </c>
      <c r="K16" s="1003">
        <f t="shared" si="1"/>
        <v>1093801258</v>
      </c>
      <c r="L16" s="189"/>
      <c r="M16" s="190"/>
      <c r="N16" s="190"/>
      <c r="O16" s="190"/>
      <c r="P16" s="190"/>
      <c r="Q16" s="190"/>
      <c r="R16" s="190"/>
      <c r="S16" s="190"/>
      <c r="T16" s="190"/>
      <c r="U16" s="190"/>
      <c r="V16" s="190"/>
      <c r="W16" s="190"/>
    </row>
    <row r="17" spans="1:23" ht="11.25" customHeight="1">
      <c r="A17" s="1727" t="s">
        <v>2158</v>
      </c>
      <c r="B17" s="1073"/>
      <c r="C17" s="1721"/>
      <c r="D17" s="1721"/>
      <c r="E17" s="1722">
        <v>16106</v>
      </c>
      <c r="F17" s="1723">
        <v>2500</v>
      </c>
      <c r="G17" s="1721">
        <v>2500</v>
      </c>
      <c r="H17" s="1721">
        <v>2500</v>
      </c>
      <c r="I17" s="1725">
        <v>335</v>
      </c>
      <c r="J17" s="1721">
        <v>353</v>
      </c>
      <c r="K17" s="1722">
        <v>372</v>
      </c>
      <c r="L17" s="189"/>
      <c r="M17" s="190"/>
      <c r="N17" s="190"/>
      <c r="O17" s="190"/>
      <c r="P17" s="190"/>
      <c r="Q17" s="190"/>
      <c r="R17" s="190"/>
      <c r="S17" s="190"/>
      <c r="T17" s="190"/>
      <c r="U17" s="190"/>
      <c r="V17" s="190"/>
      <c r="W17" s="190"/>
    </row>
    <row r="18" spans="1:23" ht="11.25" customHeight="1">
      <c r="A18" s="1727" t="s">
        <v>2159</v>
      </c>
      <c r="B18" s="1073"/>
      <c r="C18" s="1721"/>
      <c r="D18" s="1721"/>
      <c r="E18" s="1722">
        <v>769010</v>
      </c>
      <c r="F18" s="1723">
        <v>679609</v>
      </c>
      <c r="G18" s="1721">
        <v>679609</v>
      </c>
      <c r="H18" s="1721">
        <v>679609</v>
      </c>
      <c r="I18" s="1725">
        <v>366273</v>
      </c>
      <c r="J18" s="1721">
        <v>385685</v>
      </c>
      <c r="K18" s="1722">
        <v>406898</v>
      </c>
      <c r="L18" s="189"/>
      <c r="M18" s="190"/>
      <c r="N18" s="190"/>
      <c r="O18" s="190"/>
      <c r="P18" s="190"/>
      <c r="Q18" s="190"/>
      <c r="R18" s="190"/>
      <c r="S18" s="190"/>
      <c r="T18" s="190"/>
      <c r="U18" s="190"/>
      <c r="V18" s="190"/>
      <c r="W18" s="190"/>
    </row>
    <row r="19" spans="1:23" ht="11.25" customHeight="1">
      <c r="A19" s="1727" t="s">
        <v>2160</v>
      </c>
      <c r="B19" s="1073"/>
      <c r="C19" s="1721"/>
      <c r="D19" s="1721"/>
      <c r="E19" s="1722">
        <v>1218764</v>
      </c>
      <c r="F19" s="1723">
        <v>1645288</v>
      </c>
      <c r="G19" s="1721">
        <v>18781629</v>
      </c>
      <c r="H19" s="1721">
        <v>18781629</v>
      </c>
      <c r="I19" s="1725">
        <f>19324911+790000</f>
        <v>20114911</v>
      </c>
      <c r="J19" s="1721">
        <f>20331758+800000</f>
        <v>21131758</v>
      </c>
      <c r="K19" s="1722">
        <f>21617505+900000</f>
        <v>22517505</v>
      </c>
      <c r="L19" s="189"/>
      <c r="M19" s="190"/>
      <c r="N19" s="190"/>
      <c r="O19" s="190"/>
      <c r="P19" s="190"/>
      <c r="Q19" s="190"/>
      <c r="R19" s="190"/>
      <c r="S19" s="190"/>
      <c r="T19" s="190"/>
      <c r="U19" s="190"/>
      <c r="V19" s="190"/>
      <c r="W19" s="190"/>
    </row>
    <row r="20" spans="1:23" ht="11.25" customHeight="1">
      <c r="A20" s="1727" t="s">
        <v>968</v>
      </c>
      <c r="B20" s="1073"/>
      <c r="C20" s="1721"/>
      <c r="D20" s="1721"/>
      <c r="E20" s="1722">
        <v>889491276</v>
      </c>
      <c r="F20" s="1723">
        <v>533687725</v>
      </c>
      <c r="G20" s="1721">
        <v>908674401</v>
      </c>
      <c r="H20" s="1721">
        <v>908674401</v>
      </c>
      <c r="I20" s="1725">
        <v>964719129</v>
      </c>
      <c r="J20" s="1721">
        <v>1015319243</v>
      </c>
      <c r="K20" s="1722">
        <v>1070611801</v>
      </c>
      <c r="L20" s="189"/>
      <c r="M20" s="190"/>
      <c r="N20" s="190"/>
      <c r="O20" s="190"/>
      <c r="P20" s="190"/>
      <c r="Q20" s="190"/>
      <c r="R20" s="190"/>
      <c r="S20" s="190"/>
      <c r="T20" s="190"/>
      <c r="U20" s="190"/>
      <c r="V20" s="190"/>
      <c r="W20" s="190"/>
    </row>
    <row r="21" spans="1:23" ht="11.25" customHeight="1">
      <c r="A21" s="1727" t="s">
        <v>2161</v>
      </c>
      <c r="B21" s="1073"/>
      <c r="C21" s="1721"/>
      <c r="D21" s="1721"/>
      <c r="E21" s="1722">
        <v>33049</v>
      </c>
      <c r="F21" s="1723">
        <v>41442</v>
      </c>
      <c r="G21" s="1721">
        <v>41442</v>
      </c>
      <c r="H21" s="1721">
        <v>41442</v>
      </c>
      <c r="I21" s="1725">
        <v>238256</v>
      </c>
      <c r="J21" s="1721">
        <v>250884</v>
      </c>
      <c r="K21" s="1722">
        <v>264682</v>
      </c>
      <c r="L21" s="189"/>
      <c r="M21" s="190"/>
      <c r="N21" s="190"/>
      <c r="O21" s="190"/>
      <c r="P21" s="190"/>
      <c r="Q21" s="190"/>
      <c r="R21" s="190"/>
      <c r="S21" s="190"/>
      <c r="T21" s="190"/>
      <c r="U21" s="190"/>
      <c r="V21" s="190"/>
      <c r="W21" s="190"/>
    </row>
    <row r="22" spans="1:23" ht="11.25" customHeight="1">
      <c r="A22" s="1727" t="s">
        <v>838</v>
      </c>
      <c r="B22" s="1073"/>
      <c r="C22" s="1721"/>
      <c r="D22" s="1721"/>
      <c r="E22" s="1722"/>
      <c r="F22" s="1723"/>
      <c r="G22" s="1721"/>
      <c r="H22" s="1721"/>
      <c r="I22" s="1725"/>
      <c r="J22" s="1721"/>
      <c r="K22" s="1722"/>
      <c r="L22" s="189"/>
      <c r="M22" s="190"/>
      <c r="N22" s="190"/>
      <c r="O22" s="190"/>
      <c r="P22" s="190"/>
      <c r="Q22" s="190"/>
      <c r="R22" s="190"/>
      <c r="S22" s="190"/>
      <c r="T22" s="190"/>
      <c r="U22" s="190"/>
      <c r="V22" s="190"/>
      <c r="W22" s="190"/>
    </row>
    <row r="23" spans="1:23" ht="11.25" customHeight="1">
      <c r="A23" s="1727" t="s">
        <v>839</v>
      </c>
      <c r="B23" s="1073"/>
      <c r="C23" s="1721"/>
      <c r="D23" s="1721"/>
      <c r="E23" s="1722"/>
      <c r="F23" s="1723"/>
      <c r="G23" s="1721"/>
      <c r="H23" s="1721"/>
      <c r="I23" s="1725"/>
      <c r="J23" s="1721"/>
      <c r="K23" s="1722"/>
      <c r="L23" s="189"/>
      <c r="M23" s="190"/>
      <c r="N23" s="190"/>
      <c r="O23" s="190"/>
      <c r="P23" s="190"/>
      <c r="Q23" s="190"/>
      <c r="R23" s="190"/>
      <c r="S23" s="190"/>
      <c r="T23" s="190"/>
      <c r="U23" s="190"/>
      <c r="V23" s="190"/>
      <c r="W23" s="190"/>
    </row>
    <row r="24" spans="1:23" ht="11.25" customHeight="1">
      <c r="A24" s="1727" t="s">
        <v>840</v>
      </c>
      <c r="B24" s="1073"/>
      <c r="C24" s="1721"/>
      <c r="D24" s="1721"/>
      <c r="E24" s="1722"/>
      <c r="F24" s="1723"/>
      <c r="G24" s="1721"/>
      <c r="H24" s="1724"/>
      <c r="I24" s="1725"/>
      <c r="J24" s="1721"/>
      <c r="K24" s="1722"/>
      <c r="L24" s="189"/>
      <c r="M24" s="190"/>
      <c r="N24" s="190"/>
      <c r="O24" s="190"/>
      <c r="P24" s="190"/>
      <c r="Q24" s="190"/>
      <c r="R24" s="190"/>
      <c r="S24" s="190"/>
      <c r="T24" s="190"/>
      <c r="U24" s="190"/>
      <c r="V24" s="190"/>
      <c r="W24" s="190"/>
    </row>
    <row r="25" spans="1:23" ht="11.25" customHeight="1">
      <c r="A25" s="1727" t="s">
        <v>841</v>
      </c>
      <c r="B25" s="1073"/>
      <c r="C25" s="1721"/>
      <c r="D25" s="1721"/>
      <c r="E25" s="1722"/>
      <c r="F25" s="1723"/>
      <c r="G25" s="1721"/>
      <c r="H25" s="1724"/>
      <c r="I25" s="1725"/>
      <c r="J25" s="1721"/>
      <c r="K25" s="1722"/>
      <c r="L25" s="189"/>
      <c r="M25" s="190"/>
      <c r="N25" s="190"/>
      <c r="O25" s="190"/>
      <c r="P25" s="190"/>
      <c r="Q25" s="190"/>
      <c r="R25" s="190"/>
      <c r="S25" s="190"/>
      <c r="T25" s="190"/>
      <c r="U25" s="190"/>
      <c r="V25" s="190"/>
      <c r="W25" s="190"/>
    </row>
    <row r="26" spans="1:23" ht="11.25" customHeight="1">
      <c r="A26" s="1727" t="s">
        <v>841</v>
      </c>
      <c r="B26" s="1073"/>
      <c r="C26" s="1721"/>
      <c r="D26" s="1721"/>
      <c r="E26" s="1722"/>
      <c r="F26" s="1723"/>
      <c r="G26" s="1721"/>
      <c r="H26" s="1724"/>
      <c r="I26" s="1725"/>
      <c r="J26" s="1721"/>
      <c r="K26" s="1722"/>
      <c r="L26" s="189"/>
      <c r="M26" s="190"/>
      <c r="N26" s="190"/>
      <c r="O26" s="190"/>
      <c r="P26" s="190"/>
      <c r="Q26" s="190"/>
      <c r="R26" s="190"/>
      <c r="S26" s="190"/>
      <c r="T26" s="190"/>
      <c r="U26" s="190"/>
      <c r="V26" s="190"/>
      <c r="W26" s="190"/>
    </row>
    <row r="27" spans="1:23" ht="11.25" customHeight="1">
      <c r="A27" s="1726" t="s">
        <v>2136</v>
      </c>
      <c r="B27" s="1085"/>
      <c r="C27" s="1002">
        <f t="shared" ref="C27:K27" si="2">SUM(C28:C37)</f>
        <v>0</v>
      </c>
      <c r="D27" s="1002">
        <f t="shared" si="2"/>
        <v>0</v>
      </c>
      <c r="E27" s="1003">
        <f t="shared" si="2"/>
        <v>1548538412</v>
      </c>
      <c r="F27" s="1004">
        <f>SUM(F28:F37)</f>
        <v>1801754271</v>
      </c>
      <c r="G27" s="1002">
        <f t="shared" si="2"/>
        <v>2072193461</v>
      </c>
      <c r="H27" s="1005">
        <f t="shared" si="2"/>
        <v>2072193461</v>
      </c>
      <c r="I27" s="1006">
        <f t="shared" si="2"/>
        <v>2314052770</v>
      </c>
      <c r="J27" s="1002">
        <f t="shared" si="2"/>
        <v>2474842910</v>
      </c>
      <c r="K27" s="1003">
        <f t="shared" si="2"/>
        <v>2552912504</v>
      </c>
      <c r="L27" s="189"/>
      <c r="M27" s="190"/>
      <c r="N27" s="190"/>
      <c r="O27" s="190"/>
      <c r="P27" s="190"/>
      <c r="Q27" s="190"/>
      <c r="R27" s="190"/>
      <c r="S27" s="190"/>
      <c r="T27" s="190"/>
      <c r="U27" s="190"/>
      <c r="V27" s="190"/>
      <c r="W27" s="190"/>
    </row>
    <row r="28" spans="1:23" ht="11.25" customHeight="1">
      <c r="A28" s="1727" t="s">
        <v>2163</v>
      </c>
      <c r="B28" s="1073"/>
      <c r="C28" s="1721"/>
      <c r="D28" s="1721"/>
      <c r="E28" s="1722">
        <v>945462701</v>
      </c>
      <c r="F28" s="1723">
        <v>1114015987</v>
      </c>
      <c r="G28" s="1721">
        <v>1189797253</v>
      </c>
      <c r="H28" s="1721">
        <v>1189797253</v>
      </c>
      <c r="I28" s="1725">
        <v>1336997823</v>
      </c>
      <c r="J28" s="1721">
        <v>1401410085</v>
      </c>
      <c r="K28" s="1722">
        <v>1482863065</v>
      </c>
      <c r="L28" s="189"/>
      <c r="M28" s="190"/>
      <c r="N28" s="190"/>
      <c r="O28" s="190"/>
      <c r="P28" s="190"/>
      <c r="Q28" s="190"/>
      <c r="R28" s="190"/>
      <c r="S28" s="190"/>
      <c r="T28" s="190"/>
      <c r="U28" s="190"/>
      <c r="V28" s="190"/>
      <c r="W28" s="190"/>
    </row>
    <row r="29" spans="1:23" ht="11.25" customHeight="1">
      <c r="A29" s="1727" t="s">
        <v>2164</v>
      </c>
      <c r="B29" s="1073"/>
      <c r="C29" s="1721"/>
      <c r="D29" s="1721"/>
      <c r="E29" s="1722">
        <v>58044015</v>
      </c>
      <c r="F29" s="1723">
        <v>12226818</v>
      </c>
      <c r="G29" s="1721">
        <v>24643817</v>
      </c>
      <c r="H29" s="1721">
        <v>24643817</v>
      </c>
      <c r="I29" s="1725">
        <f>15537749+2268000</f>
        <v>17805749</v>
      </c>
      <c r="J29" s="1721">
        <v>18755250</v>
      </c>
      <c r="K29" s="1722">
        <v>22039288</v>
      </c>
      <c r="L29" s="189"/>
      <c r="M29" s="190"/>
      <c r="N29" s="190"/>
      <c r="O29" s="190"/>
      <c r="P29" s="190"/>
      <c r="Q29" s="190"/>
      <c r="R29" s="190"/>
      <c r="S29" s="190"/>
      <c r="T29" s="190"/>
      <c r="U29" s="190"/>
      <c r="V29" s="190"/>
      <c r="W29" s="190"/>
    </row>
    <row r="30" spans="1:23" ht="11.25" customHeight="1">
      <c r="A30" s="1727" t="s">
        <v>2165</v>
      </c>
      <c r="B30" s="1073"/>
      <c r="C30" s="1721"/>
      <c r="D30" s="1721"/>
      <c r="E30" s="1722">
        <v>13813087</v>
      </c>
      <c r="F30" s="1723">
        <v>9224253</v>
      </c>
      <c r="G30" s="1721">
        <v>9222839</v>
      </c>
      <c r="H30" s="1721">
        <v>9222839</v>
      </c>
      <c r="I30" s="1725">
        <v>8525946</v>
      </c>
      <c r="J30" s="1721">
        <v>8990857</v>
      </c>
      <c r="K30" s="1722">
        <v>9485360</v>
      </c>
      <c r="L30" s="189"/>
      <c r="M30" s="190"/>
      <c r="N30" s="190"/>
      <c r="O30" s="190"/>
      <c r="P30" s="190"/>
      <c r="Q30" s="190"/>
      <c r="R30" s="190"/>
      <c r="S30" s="190"/>
      <c r="T30" s="190"/>
      <c r="U30" s="190"/>
      <c r="V30" s="190"/>
      <c r="W30" s="190"/>
    </row>
    <row r="31" spans="1:23" ht="11.25" customHeight="1">
      <c r="A31" s="1727" t="s">
        <v>2166</v>
      </c>
      <c r="B31" s="1073"/>
      <c r="C31" s="1721"/>
      <c r="D31" s="1721"/>
      <c r="E31" s="1722">
        <v>13807838</v>
      </c>
      <c r="F31" s="1723">
        <v>35952997</v>
      </c>
      <c r="G31" s="1721">
        <v>52277382</v>
      </c>
      <c r="H31" s="1721">
        <v>52277382</v>
      </c>
      <c r="I31" s="1725">
        <v>111953621</v>
      </c>
      <c r="J31" s="1721">
        <v>85015870</v>
      </c>
      <c r="K31" s="1722">
        <v>25016743</v>
      </c>
      <c r="L31" s="189"/>
      <c r="M31" s="190"/>
      <c r="N31" s="190"/>
      <c r="O31" s="190"/>
      <c r="P31" s="190"/>
      <c r="Q31" s="190"/>
      <c r="R31" s="190"/>
      <c r="S31" s="190"/>
      <c r="T31" s="190"/>
      <c r="U31" s="190"/>
      <c r="V31" s="190"/>
      <c r="W31" s="190"/>
    </row>
    <row r="32" spans="1:23" ht="11.25" customHeight="1">
      <c r="A32" s="1727" t="s">
        <v>1171</v>
      </c>
      <c r="B32" s="1073"/>
      <c r="C32" s="1721"/>
      <c r="D32" s="1721"/>
      <c r="E32" s="1722">
        <v>65559236</v>
      </c>
      <c r="F32" s="1723">
        <v>114669712</v>
      </c>
      <c r="G32" s="1721">
        <v>116657964</v>
      </c>
      <c r="H32" s="1721">
        <v>116657964</v>
      </c>
      <c r="I32" s="1725">
        <v>124835767</v>
      </c>
      <c r="J32" s="1721">
        <v>131452063</v>
      </c>
      <c r="K32" s="1722">
        <v>138681926</v>
      </c>
      <c r="L32" s="189"/>
      <c r="M32" s="190"/>
      <c r="N32" s="190"/>
      <c r="O32" s="190"/>
      <c r="P32" s="190"/>
      <c r="Q32" s="190"/>
      <c r="R32" s="190"/>
      <c r="S32" s="190"/>
      <c r="T32" s="190"/>
      <c r="U32" s="190"/>
      <c r="V32" s="190"/>
      <c r="W32" s="190"/>
    </row>
    <row r="33" spans="1:23" ht="11.25" customHeight="1">
      <c r="A33" s="1727" t="s">
        <v>2167</v>
      </c>
      <c r="B33" s="1073"/>
      <c r="C33" s="1721"/>
      <c r="D33" s="1721"/>
      <c r="E33" s="1722">
        <v>451851535</v>
      </c>
      <c r="F33" s="1723">
        <f>526841504-11177000</f>
        <v>515664504</v>
      </c>
      <c r="G33" s="1721">
        <v>679594206</v>
      </c>
      <c r="H33" s="1721">
        <v>679594206</v>
      </c>
      <c r="I33" s="1725">
        <v>713933864</v>
      </c>
      <c r="J33" s="1721">
        <v>829218785</v>
      </c>
      <c r="K33" s="1722">
        <v>874826122</v>
      </c>
      <c r="L33" s="189"/>
      <c r="M33" s="190"/>
      <c r="N33" s="190"/>
      <c r="O33" s="190"/>
      <c r="P33" s="190"/>
      <c r="Q33" s="190"/>
      <c r="R33" s="190"/>
      <c r="S33" s="190"/>
      <c r="T33" s="190"/>
      <c r="U33" s="190"/>
      <c r="V33" s="190"/>
      <c r="W33" s="190"/>
    </row>
    <row r="34" spans="1:23" ht="11.25" customHeight="1">
      <c r="A34" s="1727" t="s">
        <v>839</v>
      </c>
      <c r="B34" s="1073"/>
      <c r="C34" s="1721"/>
      <c r="D34" s="1721"/>
      <c r="E34" s="1722"/>
      <c r="F34" s="1723"/>
      <c r="G34" s="1721"/>
      <c r="H34" s="1724"/>
      <c r="I34" s="1725"/>
      <c r="J34" s="1721"/>
      <c r="K34" s="1722"/>
      <c r="L34" s="189"/>
      <c r="M34" s="190"/>
      <c r="N34" s="190"/>
      <c r="O34" s="190"/>
      <c r="P34" s="190"/>
      <c r="Q34" s="190"/>
      <c r="R34" s="190"/>
      <c r="S34" s="190"/>
      <c r="T34" s="190"/>
      <c r="U34" s="190"/>
      <c r="V34" s="190"/>
      <c r="W34" s="190"/>
    </row>
    <row r="35" spans="1:23" ht="11.25" customHeight="1">
      <c r="A35" s="1727" t="s">
        <v>1498</v>
      </c>
      <c r="B35" s="1073"/>
      <c r="C35" s="1721"/>
      <c r="D35" s="1721"/>
      <c r="E35" s="1722"/>
      <c r="F35" s="1723"/>
      <c r="G35" s="1721"/>
      <c r="H35" s="1724"/>
      <c r="I35" s="1725"/>
      <c r="J35" s="1721"/>
      <c r="K35" s="1722"/>
      <c r="L35" s="189"/>
      <c r="M35" s="190"/>
      <c r="N35" s="190"/>
      <c r="O35" s="190"/>
      <c r="P35" s="190"/>
      <c r="Q35" s="190"/>
      <c r="R35" s="190"/>
      <c r="S35" s="190"/>
      <c r="T35" s="190"/>
      <c r="U35" s="190"/>
      <c r="V35" s="190"/>
      <c r="W35" s="190"/>
    </row>
    <row r="36" spans="1:23" ht="11.25" customHeight="1">
      <c r="A36" s="1727" t="s">
        <v>1498</v>
      </c>
      <c r="B36" s="1073"/>
      <c r="C36" s="1721"/>
      <c r="D36" s="1721"/>
      <c r="E36" s="1722"/>
      <c r="F36" s="1723"/>
      <c r="G36" s="1721"/>
      <c r="H36" s="1724"/>
      <c r="I36" s="1725"/>
      <c r="J36" s="1721"/>
      <c r="K36" s="1722"/>
      <c r="L36" s="189"/>
      <c r="M36" s="190"/>
      <c r="N36" s="190"/>
      <c r="O36" s="190"/>
      <c r="P36" s="190"/>
      <c r="Q36" s="190"/>
      <c r="R36" s="190"/>
      <c r="S36" s="190"/>
      <c r="T36" s="190"/>
      <c r="U36" s="190"/>
      <c r="V36" s="190"/>
      <c r="W36" s="190"/>
    </row>
    <row r="37" spans="1:23" ht="11.25" customHeight="1">
      <c r="A37" s="1727" t="s">
        <v>1498</v>
      </c>
      <c r="B37" s="1073"/>
      <c r="C37" s="1721"/>
      <c r="D37" s="1721"/>
      <c r="E37" s="1722"/>
      <c r="F37" s="1723"/>
      <c r="G37" s="1721"/>
      <c r="H37" s="1724"/>
      <c r="I37" s="1725"/>
      <c r="J37" s="1721"/>
      <c r="K37" s="1722"/>
      <c r="L37" s="189"/>
      <c r="M37" s="190"/>
      <c r="N37" s="190"/>
      <c r="O37" s="190"/>
      <c r="P37" s="190"/>
      <c r="Q37" s="190"/>
      <c r="R37" s="190"/>
      <c r="S37" s="190"/>
      <c r="T37" s="190"/>
      <c r="U37" s="190"/>
      <c r="V37" s="190"/>
      <c r="W37" s="190"/>
    </row>
    <row r="38" spans="1:23" ht="11.25" customHeight="1">
      <c r="A38" s="1726" t="s">
        <v>2137</v>
      </c>
      <c r="B38" s="1085"/>
      <c r="C38" s="1002">
        <f t="shared" ref="C38:K38" si="3">SUM(C39:C48)</f>
        <v>0</v>
      </c>
      <c r="D38" s="1002">
        <f t="shared" si="3"/>
        <v>0</v>
      </c>
      <c r="E38" s="1003">
        <f t="shared" si="3"/>
        <v>50615674</v>
      </c>
      <c r="F38" s="1004">
        <f>SUM(F39:F48)</f>
        <v>48426102</v>
      </c>
      <c r="G38" s="1002">
        <f t="shared" si="3"/>
        <v>31893441</v>
      </c>
      <c r="H38" s="1005">
        <f t="shared" si="3"/>
        <v>31893441</v>
      </c>
      <c r="I38" s="1006">
        <f t="shared" si="3"/>
        <v>32862276</v>
      </c>
      <c r="J38" s="1002">
        <f t="shared" si="3"/>
        <v>32672461</v>
      </c>
      <c r="K38" s="1003">
        <f t="shared" si="3"/>
        <v>44339131</v>
      </c>
      <c r="L38" s="189"/>
      <c r="M38" s="190"/>
      <c r="N38" s="190"/>
      <c r="O38" s="190"/>
      <c r="P38" s="190"/>
      <c r="Q38" s="190"/>
      <c r="R38" s="190"/>
      <c r="S38" s="190"/>
      <c r="T38" s="190"/>
      <c r="U38" s="190"/>
      <c r="V38" s="190"/>
      <c r="W38" s="190"/>
    </row>
    <row r="39" spans="1:23" ht="11.25" customHeight="1">
      <c r="A39" s="1727" t="s">
        <v>2169</v>
      </c>
      <c r="B39" s="1073"/>
      <c r="C39" s="1721"/>
      <c r="D39" s="1721"/>
      <c r="E39" s="1722">
        <v>32973275</v>
      </c>
      <c r="F39" s="1723">
        <v>36101177</v>
      </c>
      <c r="G39" s="1721">
        <v>17872227</v>
      </c>
      <c r="H39" s="1721">
        <v>17872227</v>
      </c>
      <c r="I39" s="1725">
        <v>15812034</v>
      </c>
      <c r="J39" s="1721">
        <v>14438772</v>
      </c>
      <c r="K39" s="1722">
        <v>15232904</v>
      </c>
      <c r="L39" s="189"/>
      <c r="M39" s="190"/>
      <c r="N39" s="190"/>
      <c r="O39" s="190"/>
      <c r="P39" s="190"/>
      <c r="Q39" s="190"/>
      <c r="R39" s="190"/>
      <c r="S39" s="190"/>
      <c r="T39" s="190"/>
      <c r="U39" s="190"/>
      <c r="V39" s="190"/>
      <c r="W39" s="190"/>
    </row>
    <row r="40" spans="1:23" ht="11.25" customHeight="1">
      <c r="A40" s="1727" t="s">
        <v>2170</v>
      </c>
      <c r="B40" s="1073"/>
      <c r="C40" s="1721"/>
      <c r="D40" s="1721"/>
      <c r="E40" s="1722">
        <v>9652463</v>
      </c>
      <c r="F40" s="1723">
        <v>8587711</v>
      </c>
      <c r="G40" s="1721">
        <v>8587711</v>
      </c>
      <c r="H40" s="1721">
        <v>8587711</v>
      </c>
      <c r="I40" s="1725">
        <v>8312324</v>
      </c>
      <c r="J40" s="1721">
        <v>2665654</v>
      </c>
      <c r="K40" s="1722">
        <v>2812265</v>
      </c>
      <c r="L40" s="189"/>
      <c r="M40" s="190"/>
      <c r="N40" s="190"/>
      <c r="O40" s="190"/>
      <c r="P40" s="190"/>
      <c r="Q40" s="190"/>
      <c r="R40" s="190"/>
      <c r="S40" s="190"/>
      <c r="T40" s="190"/>
      <c r="U40" s="190"/>
      <c r="V40" s="190"/>
      <c r="W40" s="190"/>
    </row>
    <row r="41" spans="1:23" ht="11.25" customHeight="1">
      <c r="A41" s="1727" t="s">
        <v>2171</v>
      </c>
      <c r="B41" s="1073"/>
      <c r="C41" s="1721"/>
      <c r="D41" s="1721"/>
      <c r="E41" s="1722">
        <v>7989936</v>
      </c>
      <c r="F41" s="1723">
        <v>3737214</v>
      </c>
      <c r="G41" s="1721">
        <v>5433503</v>
      </c>
      <c r="H41" s="1721">
        <v>5433503</v>
      </c>
      <c r="I41" s="1725">
        <v>8737918</v>
      </c>
      <c r="J41" s="1721">
        <v>15568035</v>
      </c>
      <c r="K41" s="1722">
        <v>26293962</v>
      </c>
      <c r="L41" s="189"/>
      <c r="M41" s="190"/>
      <c r="N41" s="190"/>
      <c r="O41" s="190"/>
      <c r="P41" s="190"/>
      <c r="Q41" s="190"/>
      <c r="R41" s="190"/>
      <c r="S41" s="190"/>
      <c r="T41" s="190"/>
      <c r="U41" s="190"/>
      <c r="V41" s="190"/>
      <c r="W41" s="190"/>
    </row>
    <row r="42" spans="1:23" ht="11.25" customHeight="1">
      <c r="A42" s="1727" t="s">
        <v>836</v>
      </c>
      <c r="B42" s="1073"/>
      <c r="C42" s="1721"/>
      <c r="D42" s="1721"/>
      <c r="E42" s="1722"/>
      <c r="F42" s="1723"/>
      <c r="G42" s="1721"/>
      <c r="H42" s="1724"/>
      <c r="I42" s="1725"/>
      <c r="J42" s="1721"/>
      <c r="K42" s="1722"/>
      <c r="L42" s="189"/>
      <c r="M42" s="190"/>
      <c r="N42" s="190"/>
      <c r="O42" s="190"/>
      <c r="P42" s="190"/>
      <c r="Q42" s="190"/>
      <c r="R42" s="190"/>
      <c r="S42" s="190"/>
      <c r="T42" s="190"/>
      <c r="U42" s="190"/>
      <c r="V42" s="190"/>
      <c r="W42" s="190"/>
    </row>
    <row r="43" spans="1:23" ht="11.25" customHeight="1">
      <c r="A43" s="1727" t="s">
        <v>1498</v>
      </c>
      <c r="B43" s="1073"/>
      <c r="C43" s="1721"/>
      <c r="D43" s="1721"/>
      <c r="E43" s="1722"/>
      <c r="F43" s="1723"/>
      <c r="G43" s="1721"/>
      <c r="H43" s="1724"/>
      <c r="I43" s="1725"/>
      <c r="J43" s="1721"/>
      <c r="K43" s="1722"/>
      <c r="L43" s="189"/>
      <c r="M43" s="190"/>
      <c r="N43" s="190"/>
      <c r="O43" s="190"/>
      <c r="P43" s="190"/>
      <c r="Q43" s="190"/>
      <c r="R43" s="190"/>
      <c r="S43" s="190"/>
      <c r="T43" s="190"/>
      <c r="U43" s="190"/>
      <c r="V43" s="190"/>
      <c r="W43" s="190"/>
    </row>
    <row r="44" spans="1:23" ht="11.25" customHeight="1">
      <c r="A44" s="1727" t="s">
        <v>1498</v>
      </c>
      <c r="B44" s="1073"/>
      <c r="C44" s="1721"/>
      <c r="D44" s="1721"/>
      <c r="E44" s="1722"/>
      <c r="F44" s="1723"/>
      <c r="G44" s="1721"/>
      <c r="H44" s="1724"/>
      <c r="I44" s="1725"/>
      <c r="J44" s="1721"/>
      <c r="K44" s="1722"/>
      <c r="L44" s="189"/>
      <c r="M44" s="190"/>
      <c r="N44" s="190"/>
      <c r="O44" s="190"/>
      <c r="P44" s="190"/>
      <c r="Q44" s="190"/>
      <c r="R44" s="190"/>
      <c r="S44" s="190"/>
      <c r="T44" s="190"/>
      <c r="U44" s="190"/>
      <c r="V44" s="190"/>
      <c r="W44" s="190"/>
    </row>
    <row r="45" spans="1:23" ht="11.25" customHeight="1">
      <c r="A45" s="1727" t="s">
        <v>1498</v>
      </c>
      <c r="B45" s="1073"/>
      <c r="C45" s="1721"/>
      <c r="D45" s="1721"/>
      <c r="E45" s="1722"/>
      <c r="F45" s="1723"/>
      <c r="G45" s="1721"/>
      <c r="H45" s="1724"/>
      <c r="I45" s="1725"/>
      <c r="J45" s="1721"/>
      <c r="K45" s="1722"/>
      <c r="L45" s="189"/>
      <c r="M45" s="190"/>
      <c r="N45" s="190"/>
      <c r="O45" s="190"/>
      <c r="P45" s="190"/>
      <c r="Q45" s="190"/>
      <c r="R45" s="190"/>
      <c r="S45" s="190"/>
      <c r="T45" s="190"/>
      <c r="U45" s="190"/>
      <c r="V45" s="190"/>
      <c r="W45" s="190"/>
    </row>
    <row r="46" spans="1:23" ht="11.25" customHeight="1">
      <c r="A46" s="1727" t="s">
        <v>1498</v>
      </c>
      <c r="B46" s="1073"/>
      <c r="C46" s="1721"/>
      <c r="D46" s="1721"/>
      <c r="E46" s="1722"/>
      <c r="F46" s="1723"/>
      <c r="G46" s="1721"/>
      <c r="H46" s="1724"/>
      <c r="I46" s="1725"/>
      <c r="J46" s="1721"/>
      <c r="K46" s="1722"/>
      <c r="L46" s="189"/>
      <c r="M46" s="190"/>
      <c r="N46" s="190"/>
      <c r="O46" s="190"/>
      <c r="P46" s="190"/>
      <c r="Q46" s="190"/>
      <c r="R46" s="190"/>
      <c r="S46" s="190"/>
      <c r="T46" s="190"/>
      <c r="U46" s="190"/>
      <c r="V46" s="190"/>
      <c r="W46" s="190"/>
    </row>
    <row r="47" spans="1:23" ht="11.25" customHeight="1">
      <c r="A47" s="1727" t="s">
        <v>1498</v>
      </c>
      <c r="B47" s="1073"/>
      <c r="C47" s="1721"/>
      <c r="D47" s="1721"/>
      <c r="E47" s="1722"/>
      <c r="F47" s="1723"/>
      <c r="G47" s="1721"/>
      <c r="H47" s="1724"/>
      <c r="I47" s="1725"/>
      <c r="J47" s="1721"/>
      <c r="K47" s="1722"/>
      <c r="L47" s="189"/>
      <c r="M47" s="190"/>
      <c r="N47" s="190"/>
      <c r="O47" s="190"/>
      <c r="P47" s="190"/>
      <c r="Q47" s="190"/>
      <c r="R47" s="190"/>
      <c r="S47" s="190"/>
      <c r="T47" s="190"/>
      <c r="U47" s="190"/>
      <c r="V47" s="190"/>
      <c r="W47" s="190"/>
    </row>
    <row r="48" spans="1:23" ht="11.25" customHeight="1">
      <c r="A48" s="1727" t="s">
        <v>1498</v>
      </c>
      <c r="B48" s="1073"/>
      <c r="C48" s="1721"/>
      <c r="D48" s="1721"/>
      <c r="E48" s="1722"/>
      <c r="F48" s="1723"/>
      <c r="G48" s="1721"/>
      <c r="H48" s="1724"/>
      <c r="I48" s="1725"/>
      <c r="J48" s="1721"/>
      <c r="K48" s="1722"/>
      <c r="L48" s="189"/>
      <c r="M48" s="190"/>
      <c r="N48" s="190"/>
      <c r="O48" s="190"/>
      <c r="P48" s="190"/>
      <c r="Q48" s="190"/>
      <c r="R48" s="190"/>
      <c r="S48" s="190"/>
      <c r="T48" s="190"/>
      <c r="U48" s="190"/>
      <c r="V48" s="190"/>
      <c r="W48" s="190"/>
    </row>
    <row r="49" spans="1:23" ht="11.25" customHeight="1">
      <c r="A49" s="1726" t="s">
        <v>1793</v>
      </c>
      <c r="B49" s="1085"/>
      <c r="C49" s="1002">
        <f>SUM(C50:C59)</f>
        <v>0</v>
      </c>
      <c r="D49" s="1002">
        <f t="shared" ref="D49:K49" si="4">SUM(D50:D59)</f>
        <v>0</v>
      </c>
      <c r="E49" s="1003">
        <f t="shared" si="4"/>
        <v>0</v>
      </c>
      <c r="F49" s="1004">
        <f t="shared" si="4"/>
        <v>0</v>
      </c>
      <c r="G49" s="1002">
        <f t="shared" si="4"/>
        <v>0</v>
      </c>
      <c r="H49" s="1005">
        <f t="shared" si="4"/>
        <v>0</v>
      </c>
      <c r="I49" s="1006">
        <f t="shared" si="4"/>
        <v>0</v>
      </c>
      <c r="J49" s="1002">
        <f t="shared" si="4"/>
        <v>0</v>
      </c>
      <c r="K49" s="1003">
        <f t="shared" si="4"/>
        <v>0</v>
      </c>
      <c r="L49" s="189"/>
      <c r="M49" s="190"/>
      <c r="N49" s="190"/>
      <c r="O49" s="190"/>
      <c r="P49" s="190"/>
      <c r="Q49" s="190"/>
      <c r="R49" s="190"/>
      <c r="S49" s="190"/>
      <c r="T49" s="190"/>
      <c r="U49" s="190"/>
      <c r="V49" s="190"/>
      <c r="W49" s="190"/>
    </row>
    <row r="50" spans="1:23" ht="11.25" customHeight="1">
      <c r="A50" s="1727" t="s">
        <v>837</v>
      </c>
      <c r="B50" s="1073"/>
      <c r="C50" s="1721"/>
      <c r="D50" s="1721"/>
      <c r="E50" s="1722"/>
      <c r="F50" s="1723"/>
      <c r="G50" s="1721"/>
      <c r="H50" s="1724"/>
      <c r="I50" s="1725"/>
      <c r="J50" s="1721"/>
      <c r="K50" s="1722"/>
      <c r="L50" s="189"/>
      <c r="M50" s="190"/>
      <c r="N50" s="190"/>
      <c r="O50" s="190"/>
      <c r="P50" s="190"/>
      <c r="Q50" s="190"/>
      <c r="R50" s="190"/>
      <c r="S50" s="190"/>
      <c r="T50" s="190"/>
      <c r="U50" s="190"/>
      <c r="V50" s="190"/>
      <c r="W50" s="190"/>
    </row>
    <row r="51" spans="1:23" ht="11.25" customHeight="1">
      <c r="A51" s="1727" t="s">
        <v>1498</v>
      </c>
      <c r="B51" s="1073"/>
      <c r="C51" s="1721"/>
      <c r="D51" s="1721"/>
      <c r="E51" s="1722"/>
      <c r="F51" s="1723"/>
      <c r="G51" s="1721"/>
      <c r="H51" s="1724"/>
      <c r="I51" s="1725"/>
      <c r="J51" s="1721"/>
      <c r="K51" s="1722"/>
      <c r="L51" s="189"/>
      <c r="M51" s="190"/>
      <c r="N51" s="190"/>
      <c r="O51" s="190"/>
      <c r="P51" s="190"/>
      <c r="Q51" s="190"/>
      <c r="R51" s="190"/>
      <c r="S51" s="190"/>
      <c r="T51" s="190"/>
      <c r="U51" s="190"/>
      <c r="V51" s="190"/>
      <c r="W51" s="190"/>
    </row>
    <row r="52" spans="1:23" ht="11.25" customHeight="1">
      <c r="A52" s="1727" t="s">
        <v>1498</v>
      </c>
      <c r="B52" s="1073"/>
      <c r="C52" s="1721"/>
      <c r="D52" s="1721"/>
      <c r="E52" s="1722"/>
      <c r="F52" s="1723"/>
      <c r="G52" s="1721"/>
      <c r="H52" s="1724"/>
      <c r="I52" s="1725"/>
      <c r="J52" s="1721"/>
      <c r="K52" s="1722"/>
      <c r="L52" s="189"/>
      <c r="M52" s="190"/>
      <c r="N52" s="190"/>
      <c r="O52" s="190"/>
      <c r="P52" s="190"/>
      <c r="Q52" s="190"/>
      <c r="R52" s="190"/>
      <c r="S52" s="190"/>
      <c r="T52" s="190"/>
      <c r="U52" s="190"/>
      <c r="V52" s="190"/>
      <c r="W52" s="190"/>
    </row>
    <row r="53" spans="1:23" ht="11.25" customHeight="1">
      <c r="A53" s="1727" t="s">
        <v>1498</v>
      </c>
      <c r="B53" s="1073"/>
      <c r="C53" s="1721"/>
      <c r="D53" s="1721"/>
      <c r="E53" s="1722"/>
      <c r="F53" s="1723"/>
      <c r="G53" s="1721"/>
      <c r="H53" s="1724"/>
      <c r="I53" s="1725"/>
      <c r="J53" s="1721"/>
      <c r="K53" s="1722"/>
      <c r="L53" s="189"/>
      <c r="M53" s="190"/>
      <c r="N53" s="190"/>
      <c r="O53" s="190"/>
      <c r="P53" s="190"/>
      <c r="Q53" s="190"/>
      <c r="R53" s="190"/>
      <c r="S53" s="190"/>
      <c r="T53" s="190"/>
      <c r="U53" s="190"/>
      <c r="V53" s="190"/>
      <c r="W53" s="190"/>
    </row>
    <row r="54" spans="1:23" ht="11.25" customHeight="1">
      <c r="A54" s="1727" t="s">
        <v>1498</v>
      </c>
      <c r="B54" s="1073"/>
      <c r="C54" s="1721"/>
      <c r="D54" s="1721"/>
      <c r="E54" s="1722"/>
      <c r="F54" s="1723"/>
      <c r="G54" s="1721"/>
      <c r="H54" s="1724"/>
      <c r="I54" s="1725"/>
      <c r="J54" s="1721"/>
      <c r="K54" s="1722"/>
      <c r="L54" s="189"/>
      <c r="M54" s="190"/>
      <c r="N54" s="190"/>
      <c r="O54" s="190"/>
      <c r="P54" s="190"/>
      <c r="Q54" s="190"/>
      <c r="R54" s="190"/>
      <c r="S54" s="190"/>
      <c r="T54" s="190"/>
      <c r="U54" s="190"/>
      <c r="V54" s="190"/>
      <c r="W54" s="190"/>
    </row>
    <row r="55" spans="1:23" ht="11.25" customHeight="1">
      <c r="A55" s="1727" t="s">
        <v>1498</v>
      </c>
      <c r="B55" s="1073"/>
      <c r="C55" s="1721"/>
      <c r="D55" s="1721"/>
      <c r="E55" s="1722"/>
      <c r="F55" s="1723"/>
      <c r="G55" s="1721"/>
      <c r="H55" s="1724"/>
      <c r="I55" s="1725"/>
      <c r="J55" s="1721"/>
      <c r="K55" s="1722"/>
      <c r="L55" s="189"/>
      <c r="M55" s="190"/>
      <c r="N55" s="190"/>
      <c r="O55" s="190"/>
      <c r="P55" s="190"/>
      <c r="Q55" s="190"/>
      <c r="R55" s="190"/>
      <c r="S55" s="190"/>
      <c r="T55" s="190"/>
      <c r="U55" s="190"/>
      <c r="V55" s="190"/>
      <c r="W55" s="190"/>
    </row>
    <row r="56" spans="1:23" ht="11.25" customHeight="1">
      <c r="A56" s="1727" t="s">
        <v>1498</v>
      </c>
      <c r="B56" s="1073"/>
      <c r="C56" s="1721"/>
      <c r="D56" s="1721"/>
      <c r="E56" s="1722"/>
      <c r="F56" s="1723"/>
      <c r="G56" s="1721"/>
      <c r="H56" s="1724"/>
      <c r="I56" s="1725"/>
      <c r="J56" s="1721"/>
      <c r="K56" s="1722"/>
      <c r="L56" s="189"/>
      <c r="M56" s="190"/>
      <c r="N56" s="190"/>
      <c r="O56" s="190"/>
      <c r="P56" s="190"/>
      <c r="Q56" s="190"/>
      <c r="R56" s="190"/>
      <c r="S56" s="190"/>
      <c r="T56" s="190"/>
      <c r="U56" s="190"/>
      <c r="V56" s="190"/>
      <c r="W56" s="190"/>
    </row>
    <row r="57" spans="1:23" ht="11.25" customHeight="1">
      <c r="A57" s="1727" t="s">
        <v>1498</v>
      </c>
      <c r="B57" s="1073"/>
      <c r="C57" s="1721"/>
      <c r="D57" s="1721"/>
      <c r="E57" s="1722"/>
      <c r="F57" s="1723"/>
      <c r="G57" s="1721"/>
      <c r="H57" s="1724"/>
      <c r="I57" s="1725"/>
      <c r="J57" s="1721"/>
      <c r="K57" s="1722"/>
      <c r="L57" s="189"/>
      <c r="M57" s="190"/>
      <c r="N57" s="190"/>
      <c r="O57" s="190"/>
      <c r="P57" s="190"/>
      <c r="Q57" s="190"/>
      <c r="R57" s="190"/>
      <c r="S57" s="190"/>
      <c r="T57" s="190"/>
      <c r="U57" s="190"/>
      <c r="V57" s="190"/>
      <c r="W57" s="190"/>
    </row>
    <row r="58" spans="1:23" ht="11.25" customHeight="1">
      <c r="A58" s="1727" t="s">
        <v>1498</v>
      </c>
      <c r="B58" s="1073"/>
      <c r="C58" s="1721"/>
      <c r="D58" s="1721"/>
      <c r="E58" s="1722"/>
      <c r="F58" s="1723"/>
      <c r="G58" s="1721"/>
      <c r="H58" s="1724"/>
      <c r="I58" s="1725"/>
      <c r="J58" s="1721"/>
      <c r="K58" s="1722"/>
      <c r="L58" s="189"/>
      <c r="M58" s="190"/>
      <c r="N58" s="190"/>
      <c r="O58" s="190"/>
      <c r="P58" s="190"/>
      <c r="Q58" s="190"/>
      <c r="R58" s="190"/>
      <c r="S58" s="190"/>
      <c r="T58" s="190"/>
      <c r="U58" s="190"/>
      <c r="V58" s="190"/>
      <c r="W58" s="190"/>
    </row>
    <row r="59" spans="1:23" ht="11.25" customHeight="1">
      <c r="A59" s="1727" t="s">
        <v>1498</v>
      </c>
      <c r="B59" s="1073"/>
      <c r="C59" s="1721"/>
      <c r="D59" s="1721"/>
      <c r="E59" s="1722"/>
      <c r="F59" s="1723"/>
      <c r="G59" s="1721"/>
      <c r="H59" s="1724"/>
      <c r="I59" s="1725"/>
      <c r="J59" s="1721"/>
      <c r="K59" s="1722"/>
      <c r="L59" s="189"/>
      <c r="M59" s="190"/>
      <c r="N59" s="190"/>
      <c r="O59" s="190"/>
      <c r="P59" s="190"/>
      <c r="Q59" s="190"/>
      <c r="R59" s="190"/>
      <c r="S59" s="190"/>
      <c r="T59" s="190"/>
      <c r="U59" s="190"/>
      <c r="V59" s="190"/>
      <c r="W59" s="190"/>
    </row>
    <row r="60" spans="1:23" ht="11.25" customHeight="1">
      <c r="A60" s="1726" t="s">
        <v>1794</v>
      </c>
      <c r="B60" s="1085"/>
      <c r="C60" s="1002">
        <f>SUM(C61:C70)</f>
        <v>0</v>
      </c>
      <c r="D60" s="1002">
        <f t="shared" ref="D60:K60" si="5">SUM(D61:D70)</f>
        <v>0</v>
      </c>
      <c r="E60" s="1003">
        <f t="shared" si="5"/>
        <v>0</v>
      </c>
      <c r="F60" s="1004">
        <f t="shared" si="5"/>
        <v>0</v>
      </c>
      <c r="G60" s="1002">
        <f t="shared" si="5"/>
        <v>0</v>
      </c>
      <c r="H60" s="1005">
        <f t="shared" si="5"/>
        <v>0</v>
      </c>
      <c r="I60" s="1006">
        <f t="shared" si="5"/>
        <v>0</v>
      </c>
      <c r="J60" s="1002">
        <f t="shared" si="5"/>
        <v>0</v>
      </c>
      <c r="K60" s="1003">
        <f t="shared" si="5"/>
        <v>0</v>
      </c>
      <c r="L60" s="189"/>
      <c r="M60" s="190"/>
      <c r="N60" s="190"/>
      <c r="O60" s="190"/>
      <c r="P60" s="190"/>
      <c r="Q60" s="190"/>
      <c r="R60" s="190"/>
      <c r="S60" s="190"/>
      <c r="T60" s="190"/>
      <c r="U60" s="190"/>
      <c r="V60" s="190"/>
      <c r="W60" s="190"/>
    </row>
    <row r="61" spans="1:23" ht="11.25" customHeight="1">
      <c r="A61" s="1727" t="s">
        <v>838</v>
      </c>
      <c r="B61" s="1073"/>
      <c r="C61" s="1721"/>
      <c r="D61" s="1721"/>
      <c r="E61" s="1722"/>
      <c r="F61" s="1723"/>
      <c r="G61" s="1721"/>
      <c r="H61" s="1724"/>
      <c r="I61" s="1725"/>
      <c r="J61" s="1721"/>
      <c r="K61" s="1722"/>
      <c r="L61" s="189"/>
      <c r="M61" s="190"/>
      <c r="N61" s="190"/>
      <c r="O61" s="190"/>
      <c r="P61" s="190"/>
      <c r="Q61" s="190"/>
      <c r="R61" s="190"/>
      <c r="S61" s="190"/>
      <c r="T61" s="190"/>
      <c r="U61" s="190"/>
      <c r="V61" s="190"/>
      <c r="W61" s="190"/>
    </row>
    <row r="62" spans="1:23" ht="11.25" customHeight="1">
      <c r="A62" s="1727" t="s">
        <v>1498</v>
      </c>
      <c r="B62" s="1073"/>
      <c r="C62" s="1721"/>
      <c r="D62" s="1721"/>
      <c r="E62" s="1722"/>
      <c r="F62" s="1723"/>
      <c r="G62" s="1721"/>
      <c r="H62" s="1724"/>
      <c r="I62" s="1725"/>
      <c r="J62" s="1721"/>
      <c r="K62" s="1722"/>
      <c r="L62" s="189"/>
      <c r="M62" s="190"/>
      <c r="N62" s="190"/>
      <c r="O62" s="190"/>
      <c r="P62" s="190"/>
      <c r="Q62" s="190"/>
      <c r="R62" s="190"/>
      <c r="S62" s="190"/>
      <c r="T62" s="190"/>
      <c r="U62" s="190"/>
      <c r="V62" s="190"/>
      <c r="W62" s="190"/>
    </row>
    <row r="63" spans="1:23" ht="11.25" customHeight="1">
      <c r="A63" s="1727" t="s">
        <v>1498</v>
      </c>
      <c r="B63" s="1073"/>
      <c r="C63" s="1721"/>
      <c r="D63" s="1721"/>
      <c r="E63" s="1722"/>
      <c r="F63" s="1723"/>
      <c r="G63" s="1721"/>
      <c r="H63" s="1724"/>
      <c r="I63" s="1725"/>
      <c r="J63" s="1721"/>
      <c r="K63" s="1722"/>
      <c r="L63" s="189"/>
      <c r="M63" s="190"/>
      <c r="N63" s="190"/>
      <c r="O63" s="190"/>
      <c r="P63" s="190"/>
      <c r="Q63" s="190"/>
      <c r="R63" s="190"/>
      <c r="S63" s="190"/>
      <c r="T63" s="190"/>
      <c r="U63" s="190"/>
      <c r="V63" s="190"/>
      <c r="W63" s="190"/>
    </row>
    <row r="64" spans="1:23" ht="11.25" customHeight="1">
      <c r="A64" s="1727" t="s">
        <v>1498</v>
      </c>
      <c r="B64" s="1073"/>
      <c r="C64" s="1721"/>
      <c r="D64" s="1721"/>
      <c r="E64" s="1722"/>
      <c r="F64" s="1723"/>
      <c r="G64" s="1721"/>
      <c r="H64" s="1724"/>
      <c r="I64" s="1725"/>
      <c r="J64" s="1721"/>
      <c r="K64" s="1722"/>
      <c r="L64" s="189"/>
      <c r="M64" s="190"/>
      <c r="N64" s="190"/>
      <c r="O64" s="190"/>
      <c r="P64" s="190"/>
      <c r="Q64" s="190"/>
      <c r="R64" s="190"/>
      <c r="S64" s="190"/>
      <c r="T64" s="190"/>
      <c r="U64" s="190"/>
      <c r="V64" s="190"/>
      <c r="W64" s="190"/>
    </row>
    <row r="65" spans="1:23" ht="11.25" customHeight="1">
      <c r="A65" s="1727" t="s">
        <v>1498</v>
      </c>
      <c r="B65" s="1073"/>
      <c r="C65" s="1721"/>
      <c r="D65" s="1721"/>
      <c r="E65" s="1722"/>
      <c r="F65" s="1723"/>
      <c r="G65" s="1721"/>
      <c r="H65" s="1724"/>
      <c r="I65" s="1725"/>
      <c r="J65" s="1721"/>
      <c r="K65" s="1722"/>
      <c r="L65" s="189"/>
      <c r="M65" s="190"/>
      <c r="N65" s="190"/>
      <c r="O65" s="190"/>
      <c r="P65" s="190"/>
      <c r="Q65" s="190"/>
      <c r="R65" s="190"/>
      <c r="S65" s="190"/>
      <c r="T65" s="190"/>
      <c r="U65" s="190"/>
      <c r="V65" s="190"/>
      <c r="W65" s="190"/>
    </row>
    <row r="66" spans="1:23" ht="11.25" customHeight="1">
      <c r="A66" s="1727" t="s">
        <v>1498</v>
      </c>
      <c r="B66" s="1073"/>
      <c r="C66" s="1721"/>
      <c r="D66" s="1721"/>
      <c r="E66" s="1722"/>
      <c r="F66" s="1723"/>
      <c r="G66" s="1721"/>
      <c r="H66" s="1724"/>
      <c r="I66" s="1725"/>
      <c r="J66" s="1721"/>
      <c r="K66" s="1722"/>
      <c r="L66" s="189"/>
      <c r="M66" s="190"/>
      <c r="N66" s="190"/>
      <c r="O66" s="190"/>
      <c r="P66" s="190"/>
      <c r="Q66" s="190"/>
      <c r="R66" s="190"/>
      <c r="S66" s="190"/>
      <c r="T66" s="190"/>
      <c r="U66" s="190"/>
      <c r="V66" s="190"/>
      <c r="W66" s="190"/>
    </row>
    <row r="67" spans="1:23" ht="11.25" customHeight="1">
      <c r="A67" s="1727" t="s">
        <v>1498</v>
      </c>
      <c r="B67" s="1073"/>
      <c r="C67" s="1721"/>
      <c r="D67" s="1721"/>
      <c r="E67" s="1722"/>
      <c r="F67" s="1723"/>
      <c r="G67" s="1721"/>
      <c r="H67" s="1724"/>
      <c r="I67" s="1725"/>
      <c r="J67" s="1721"/>
      <c r="K67" s="1722"/>
      <c r="L67" s="189"/>
      <c r="M67" s="190"/>
      <c r="N67" s="190"/>
      <c r="O67" s="190"/>
      <c r="P67" s="190"/>
      <c r="Q67" s="190"/>
      <c r="R67" s="190"/>
      <c r="S67" s="190"/>
      <c r="T67" s="190"/>
      <c r="U67" s="190"/>
      <c r="V67" s="190"/>
      <c r="W67" s="190"/>
    </row>
    <row r="68" spans="1:23" ht="11.25" customHeight="1">
      <c r="A68" s="1727" t="s">
        <v>1498</v>
      </c>
      <c r="B68" s="1073"/>
      <c r="C68" s="1721"/>
      <c r="D68" s="1721"/>
      <c r="E68" s="1722"/>
      <c r="F68" s="1723"/>
      <c r="G68" s="1721"/>
      <c r="H68" s="1724"/>
      <c r="I68" s="1725"/>
      <c r="J68" s="1721"/>
      <c r="K68" s="1722"/>
      <c r="L68" s="189"/>
      <c r="M68" s="190"/>
      <c r="N68" s="190"/>
      <c r="O68" s="190"/>
      <c r="P68" s="190"/>
      <c r="Q68" s="190"/>
      <c r="R68" s="190"/>
      <c r="S68" s="190"/>
      <c r="T68" s="190"/>
      <c r="U68" s="190"/>
      <c r="V68" s="190"/>
      <c r="W68" s="190"/>
    </row>
    <row r="69" spans="1:23" ht="11.25" customHeight="1">
      <c r="A69" s="1727" t="s">
        <v>1498</v>
      </c>
      <c r="B69" s="1073"/>
      <c r="C69" s="1721"/>
      <c r="D69" s="1721"/>
      <c r="E69" s="1722"/>
      <c r="F69" s="1723"/>
      <c r="G69" s="1721"/>
      <c r="H69" s="1724"/>
      <c r="I69" s="1725"/>
      <c r="J69" s="1721"/>
      <c r="K69" s="1722"/>
      <c r="L69" s="189"/>
      <c r="M69" s="190"/>
      <c r="N69" s="190"/>
      <c r="O69" s="190"/>
      <c r="P69" s="190"/>
      <c r="Q69" s="190"/>
      <c r="R69" s="190"/>
      <c r="S69" s="190"/>
      <c r="T69" s="190"/>
      <c r="U69" s="190"/>
      <c r="V69" s="190"/>
      <c r="W69" s="190"/>
    </row>
    <row r="70" spans="1:23" ht="11.25" customHeight="1">
      <c r="A70" s="1727" t="s">
        <v>1498</v>
      </c>
      <c r="B70" s="1073"/>
      <c r="C70" s="1721"/>
      <c r="D70" s="1721"/>
      <c r="E70" s="1722"/>
      <c r="F70" s="1723"/>
      <c r="G70" s="1721"/>
      <c r="H70" s="1724"/>
      <c r="I70" s="1725"/>
      <c r="J70" s="1721"/>
      <c r="K70" s="1722"/>
      <c r="L70" s="189"/>
      <c r="M70" s="190"/>
      <c r="N70" s="190"/>
      <c r="O70" s="190"/>
      <c r="P70" s="190"/>
      <c r="Q70" s="190"/>
      <c r="R70" s="190"/>
      <c r="S70" s="190"/>
      <c r="T70" s="190"/>
      <c r="U70" s="190"/>
      <c r="V70" s="190"/>
      <c r="W70" s="190"/>
    </row>
    <row r="71" spans="1:23" ht="11.25" customHeight="1">
      <c r="A71" s="1726" t="s">
        <v>1795</v>
      </c>
      <c r="B71" s="1085"/>
      <c r="C71" s="1002">
        <f t="shared" ref="C71:K71" si="6">SUM(C72:C81)</f>
        <v>0</v>
      </c>
      <c r="D71" s="1002">
        <f t="shared" si="6"/>
        <v>0</v>
      </c>
      <c r="E71" s="1003">
        <f t="shared" si="6"/>
        <v>0</v>
      </c>
      <c r="F71" s="1004">
        <f t="shared" si="6"/>
        <v>0</v>
      </c>
      <c r="G71" s="1002">
        <f t="shared" si="6"/>
        <v>0</v>
      </c>
      <c r="H71" s="1005">
        <f t="shared" si="6"/>
        <v>0</v>
      </c>
      <c r="I71" s="1006">
        <f t="shared" si="6"/>
        <v>0</v>
      </c>
      <c r="J71" s="1002">
        <f t="shared" si="6"/>
        <v>0</v>
      </c>
      <c r="K71" s="1003">
        <f t="shared" si="6"/>
        <v>0</v>
      </c>
      <c r="L71" s="189"/>
      <c r="M71" s="190"/>
      <c r="N71" s="190"/>
      <c r="O71" s="190"/>
      <c r="P71" s="190"/>
      <c r="Q71" s="190"/>
      <c r="R71" s="190"/>
      <c r="S71" s="190"/>
      <c r="T71" s="190"/>
      <c r="U71" s="190"/>
      <c r="V71" s="190"/>
      <c r="W71" s="190"/>
    </row>
    <row r="72" spans="1:23" ht="11.25" customHeight="1">
      <c r="A72" s="1727" t="s">
        <v>839</v>
      </c>
      <c r="B72" s="1073"/>
      <c r="C72" s="1721"/>
      <c r="D72" s="1721"/>
      <c r="E72" s="1722"/>
      <c r="F72" s="1723"/>
      <c r="G72" s="1721"/>
      <c r="H72" s="1724"/>
      <c r="I72" s="1725"/>
      <c r="J72" s="1721"/>
      <c r="K72" s="1722"/>
      <c r="L72" s="189"/>
      <c r="M72" s="190"/>
      <c r="N72" s="190"/>
      <c r="O72" s="190"/>
      <c r="P72" s="190"/>
      <c r="Q72" s="190"/>
      <c r="R72" s="190"/>
      <c r="S72" s="190"/>
      <c r="T72" s="190"/>
      <c r="U72" s="190"/>
      <c r="V72" s="190"/>
      <c r="W72" s="190"/>
    </row>
    <row r="73" spans="1:23" ht="11.25" customHeight="1">
      <c r="A73" s="1727" t="s">
        <v>1498</v>
      </c>
      <c r="B73" s="1073"/>
      <c r="C73" s="1721"/>
      <c r="D73" s="1721"/>
      <c r="E73" s="1722"/>
      <c r="F73" s="1723"/>
      <c r="G73" s="1721"/>
      <c r="H73" s="1724"/>
      <c r="I73" s="1725"/>
      <c r="J73" s="1721"/>
      <c r="K73" s="1722"/>
      <c r="L73" s="189"/>
      <c r="M73" s="190"/>
      <c r="N73" s="190"/>
      <c r="O73" s="190"/>
      <c r="P73" s="190"/>
      <c r="Q73" s="190"/>
      <c r="R73" s="190"/>
      <c r="S73" s="190"/>
      <c r="T73" s="190"/>
      <c r="U73" s="190"/>
      <c r="V73" s="190"/>
      <c r="W73" s="190"/>
    </row>
    <row r="74" spans="1:23" ht="11.25" customHeight="1">
      <c r="A74" s="1727" t="s">
        <v>1498</v>
      </c>
      <c r="B74" s="1073"/>
      <c r="C74" s="1721"/>
      <c r="D74" s="1721"/>
      <c r="E74" s="1722"/>
      <c r="F74" s="1723"/>
      <c r="G74" s="1721"/>
      <c r="H74" s="1724"/>
      <c r="I74" s="1725"/>
      <c r="J74" s="1721"/>
      <c r="K74" s="1722"/>
      <c r="L74" s="189"/>
      <c r="M74" s="190"/>
      <c r="N74" s="190"/>
      <c r="O74" s="190"/>
      <c r="P74" s="190"/>
      <c r="Q74" s="190"/>
      <c r="R74" s="190"/>
      <c r="S74" s="190"/>
      <c r="T74" s="190"/>
      <c r="U74" s="190"/>
      <c r="V74" s="190"/>
      <c r="W74" s="190"/>
    </row>
    <row r="75" spans="1:23" ht="11.25" customHeight="1">
      <c r="A75" s="1727" t="s">
        <v>1498</v>
      </c>
      <c r="B75" s="1073"/>
      <c r="C75" s="1721"/>
      <c r="D75" s="1721"/>
      <c r="E75" s="1722"/>
      <c r="F75" s="1723"/>
      <c r="G75" s="1721"/>
      <c r="H75" s="1724"/>
      <c r="I75" s="1725"/>
      <c r="J75" s="1721"/>
      <c r="K75" s="1722"/>
      <c r="L75" s="189"/>
      <c r="M75" s="190"/>
      <c r="N75" s="190"/>
      <c r="O75" s="190"/>
      <c r="P75" s="190"/>
      <c r="Q75" s="190"/>
      <c r="R75" s="190"/>
      <c r="S75" s="190"/>
      <c r="T75" s="190"/>
      <c r="U75" s="190"/>
      <c r="V75" s="190"/>
      <c r="W75" s="190"/>
    </row>
    <row r="76" spans="1:23" ht="11.25" customHeight="1">
      <c r="A76" s="1727" t="s">
        <v>1498</v>
      </c>
      <c r="B76" s="1073"/>
      <c r="C76" s="1721"/>
      <c r="D76" s="1721"/>
      <c r="E76" s="1722"/>
      <c r="F76" s="1723"/>
      <c r="G76" s="1721"/>
      <c r="H76" s="1724"/>
      <c r="I76" s="1725"/>
      <c r="J76" s="1721"/>
      <c r="K76" s="1722"/>
      <c r="L76" s="189"/>
      <c r="M76" s="190"/>
      <c r="N76" s="190"/>
      <c r="O76" s="190"/>
      <c r="P76" s="190"/>
      <c r="Q76" s="190"/>
      <c r="R76" s="190"/>
      <c r="S76" s="190"/>
      <c r="T76" s="190"/>
      <c r="U76" s="190"/>
      <c r="V76" s="190"/>
      <c r="W76" s="190"/>
    </row>
    <row r="77" spans="1:23" ht="11.25" customHeight="1">
      <c r="A77" s="1727" t="s">
        <v>1498</v>
      </c>
      <c r="B77" s="1073"/>
      <c r="C77" s="1721"/>
      <c r="D77" s="1721"/>
      <c r="E77" s="1722"/>
      <c r="F77" s="1723"/>
      <c r="G77" s="1721"/>
      <c r="H77" s="1724"/>
      <c r="I77" s="1725"/>
      <c r="J77" s="1721"/>
      <c r="K77" s="1722"/>
      <c r="L77" s="189"/>
      <c r="M77" s="190"/>
      <c r="N77" s="190"/>
      <c r="O77" s="190"/>
      <c r="P77" s="190"/>
      <c r="Q77" s="190"/>
      <c r="R77" s="190"/>
      <c r="S77" s="190"/>
      <c r="T77" s="190"/>
      <c r="U77" s="190"/>
      <c r="V77" s="190"/>
      <c r="W77" s="190"/>
    </row>
    <row r="78" spans="1:23" ht="11.25" customHeight="1">
      <c r="A78" s="1727" t="s">
        <v>1498</v>
      </c>
      <c r="B78" s="1073"/>
      <c r="C78" s="1721"/>
      <c r="D78" s="1721"/>
      <c r="E78" s="1722"/>
      <c r="F78" s="1723"/>
      <c r="G78" s="1721"/>
      <c r="H78" s="1724"/>
      <c r="I78" s="1725"/>
      <c r="J78" s="1721"/>
      <c r="K78" s="1722"/>
      <c r="L78" s="196"/>
      <c r="M78" s="197"/>
      <c r="N78" s="197"/>
      <c r="O78" s="197"/>
      <c r="P78" s="197"/>
      <c r="Q78" s="197"/>
      <c r="R78" s="197"/>
      <c r="S78" s="197"/>
      <c r="T78" s="197"/>
      <c r="U78" s="197"/>
      <c r="V78" s="197"/>
      <c r="W78" s="197"/>
    </row>
    <row r="79" spans="1:23" ht="11.25" customHeight="1">
      <c r="A79" s="1727" t="s">
        <v>1498</v>
      </c>
      <c r="B79" s="1073"/>
      <c r="C79" s="1721"/>
      <c r="D79" s="1721"/>
      <c r="E79" s="1722"/>
      <c r="F79" s="1723"/>
      <c r="G79" s="1721"/>
      <c r="H79" s="1724"/>
      <c r="I79" s="1725"/>
      <c r="J79" s="1721"/>
      <c r="K79" s="1722"/>
      <c r="L79" s="196"/>
      <c r="M79" s="197"/>
      <c r="N79" s="197"/>
      <c r="O79" s="197"/>
      <c r="P79" s="197"/>
      <c r="Q79" s="197"/>
      <c r="R79" s="197"/>
      <c r="S79" s="197"/>
      <c r="T79" s="197"/>
      <c r="U79" s="197"/>
      <c r="V79" s="197"/>
      <c r="W79" s="197"/>
    </row>
    <row r="80" spans="1:23" ht="11.25" customHeight="1">
      <c r="A80" s="1727" t="s">
        <v>1498</v>
      </c>
      <c r="B80" s="1073"/>
      <c r="C80" s="1721"/>
      <c r="D80" s="1721"/>
      <c r="E80" s="1722"/>
      <c r="F80" s="1723"/>
      <c r="G80" s="1721"/>
      <c r="H80" s="1724"/>
      <c r="I80" s="1725"/>
      <c r="J80" s="1721"/>
      <c r="K80" s="1722"/>
      <c r="L80" s="196"/>
      <c r="M80" s="197"/>
      <c r="N80" s="197"/>
      <c r="O80" s="197"/>
      <c r="P80" s="197"/>
      <c r="Q80" s="197"/>
      <c r="R80" s="197"/>
      <c r="S80" s="197"/>
      <c r="T80" s="197"/>
      <c r="U80" s="197"/>
      <c r="V80" s="197"/>
      <c r="W80" s="197"/>
    </row>
    <row r="81" spans="1:23" ht="11.25" customHeight="1">
      <c r="A81" s="1727" t="s">
        <v>1498</v>
      </c>
      <c r="B81" s="1073"/>
      <c r="C81" s="1721"/>
      <c r="D81" s="1721"/>
      <c r="E81" s="1722"/>
      <c r="F81" s="1723"/>
      <c r="G81" s="1721"/>
      <c r="H81" s="1724"/>
      <c r="I81" s="1725"/>
      <c r="J81" s="1721"/>
      <c r="K81" s="1722"/>
      <c r="L81" s="196"/>
      <c r="M81" s="197"/>
      <c r="N81" s="197"/>
      <c r="O81" s="197"/>
      <c r="P81" s="197"/>
      <c r="Q81" s="197"/>
      <c r="R81" s="197"/>
      <c r="S81" s="197"/>
      <c r="T81" s="197"/>
      <c r="U81" s="197"/>
      <c r="V81" s="197"/>
      <c r="W81" s="197"/>
    </row>
    <row r="82" spans="1:23" ht="11.25" customHeight="1">
      <c r="A82" s="1726" t="s">
        <v>1796</v>
      </c>
      <c r="B82" s="1073"/>
      <c r="C82" s="1002">
        <f>SUM(C83:C92)</f>
        <v>0</v>
      </c>
      <c r="D82" s="1002">
        <f t="shared" ref="D82:K82" si="7">SUM(D83:D92)</f>
        <v>0</v>
      </c>
      <c r="E82" s="1003">
        <f t="shared" si="7"/>
        <v>0</v>
      </c>
      <c r="F82" s="1004">
        <f t="shared" si="7"/>
        <v>0</v>
      </c>
      <c r="G82" s="1002">
        <f t="shared" si="7"/>
        <v>0</v>
      </c>
      <c r="H82" s="1005">
        <f t="shared" si="7"/>
        <v>0</v>
      </c>
      <c r="I82" s="1006">
        <f t="shared" si="7"/>
        <v>0</v>
      </c>
      <c r="J82" s="1002">
        <f t="shared" si="7"/>
        <v>0</v>
      </c>
      <c r="K82" s="1003">
        <f t="shared" si="7"/>
        <v>0</v>
      </c>
      <c r="L82" s="196"/>
      <c r="M82" s="197"/>
      <c r="N82" s="197"/>
      <c r="O82" s="197"/>
      <c r="P82" s="197"/>
      <c r="Q82" s="197"/>
      <c r="R82" s="197"/>
      <c r="S82" s="197"/>
      <c r="T82" s="197"/>
      <c r="U82" s="197"/>
      <c r="V82" s="197"/>
      <c r="W82" s="197"/>
    </row>
    <row r="83" spans="1:23" ht="11.25" customHeight="1">
      <c r="A83" s="1727" t="s">
        <v>840</v>
      </c>
      <c r="B83" s="1073"/>
      <c r="C83" s="1721"/>
      <c r="D83" s="1721"/>
      <c r="E83" s="1722"/>
      <c r="F83" s="1723"/>
      <c r="G83" s="1721"/>
      <c r="H83" s="1724"/>
      <c r="I83" s="1725"/>
      <c r="J83" s="1721"/>
      <c r="K83" s="1722"/>
      <c r="L83" s="196"/>
      <c r="M83" s="197"/>
      <c r="N83" s="197"/>
      <c r="O83" s="197"/>
      <c r="P83" s="197"/>
      <c r="Q83" s="197"/>
      <c r="R83" s="197"/>
      <c r="S83" s="197"/>
      <c r="T83" s="197"/>
      <c r="U83" s="197"/>
      <c r="V83" s="197"/>
      <c r="W83" s="197"/>
    </row>
    <row r="84" spans="1:23" ht="11.25" customHeight="1">
      <c r="A84" s="1727" t="s">
        <v>1498</v>
      </c>
      <c r="B84" s="1073"/>
      <c r="C84" s="1721"/>
      <c r="D84" s="1721"/>
      <c r="E84" s="1722"/>
      <c r="F84" s="1723"/>
      <c r="G84" s="1721"/>
      <c r="H84" s="1724"/>
      <c r="I84" s="1725"/>
      <c r="J84" s="1721"/>
      <c r="K84" s="1722"/>
      <c r="L84" s="196"/>
      <c r="M84" s="197"/>
      <c r="N84" s="197"/>
      <c r="O84" s="197"/>
      <c r="P84" s="197"/>
      <c r="Q84" s="197"/>
      <c r="R84" s="197"/>
      <c r="S84" s="197"/>
      <c r="T84" s="197"/>
      <c r="U84" s="197"/>
      <c r="V84" s="197"/>
      <c r="W84" s="197"/>
    </row>
    <row r="85" spans="1:23" ht="11.25" customHeight="1">
      <c r="A85" s="1727" t="s">
        <v>1498</v>
      </c>
      <c r="B85" s="1073"/>
      <c r="C85" s="1721"/>
      <c r="D85" s="1721"/>
      <c r="E85" s="1722"/>
      <c r="F85" s="1723"/>
      <c r="G85" s="1721"/>
      <c r="H85" s="1724"/>
      <c r="I85" s="1725"/>
      <c r="J85" s="1721"/>
      <c r="K85" s="1722"/>
      <c r="L85" s="196"/>
      <c r="M85" s="197"/>
      <c r="N85" s="197"/>
      <c r="O85" s="197"/>
      <c r="P85" s="197"/>
      <c r="Q85" s="197"/>
      <c r="R85" s="197"/>
      <c r="S85" s="197"/>
      <c r="T85" s="197"/>
      <c r="U85" s="197"/>
      <c r="V85" s="197"/>
      <c r="W85" s="197"/>
    </row>
    <row r="86" spans="1:23" ht="11.25" customHeight="1">
      <c r="A86" s="1727" t="s">
        <v>1498</v>
      </c>
      <c r="B86" s="1073"/>
      <c r="C86" s="1721"/>
      <c r="D86" s="1721"/>
      <c r="E86" s="1722"/>
      <c r="F86" s="1723"/>
      <c r="G86" s="1721"/>
      <c r="H86" s="1724"/>
      <c r="I86" s="1725"/>
      <c r="J86" s="1721"/>
      <c r="K86" s="1722"/>
      <c r="L86" s="196"/>
      <c r="M86" s="197"/>
      <c r="N86" s="197"/>
      <c r="O86" s="197"/>
      <c r="P86" s="197"/>
      <c r="Q86" s="197"/>
      <c r="R86" s="197"/>
      <c r="S86" s="197"/>
      <c r="T86" s="197"/>
      <c r="U86" s="197"/>
      <c r="V86" s="197"/>
      <c r="W86" s="197"/>
    </row>
    <row r="87" spans="1:23" ht="11.25" customHeight="1">
      <c r="A87" s="1727" t="s">
        <v>1498</v>
      </c>
      <c r="B87" s="1073"/>
      <c r="C87" s="1721"/>
      <c r="D87" s="1721"/>
      <c r="E87" s="1722"/>
      <c r="F87" s="1723"/>
      <c r="G87" s="1721"/>
      <c r="H87" s="1724"/>
      <c r="I87" s="1725"/>
      <c r="J87" s="1721"/>
      <c r="K87" s="1722"/>
      <c r="L87" s="196"/>
      <c r="M87" s="197"/>
      <c r="N87" s="197"/>
      <c r="O87" s="197"/>
      <c r="P87" s="197"/>
      <c r="Q87" s="197"/>
      <c r="R87" s="197"/>
      <c r="S87" s="197"/>
      <c r="T87" s="197"/>
      <c r="U87" s="197"/>
      <c r="V87" s="197"/>
      <c r="W87" s="197"/>
    </row>
    <row r="88" spans="1:23" ht="11.25" customHeight="1">
      <c r="A88" s="1727" t="s">
        <v>1498</v>
      </c>
      <c r="B88" s="1073"/>
      <c r="C88" s="1721"/>
      <c r="D88" s="1721"/>
      <c r="E88" s="1722"/>
      <c r="F88" s="1723"/>
      <c r="G88" s="1721"/>
      <c r="H88" s="1724"/>
      <c r="I88" s="1725"/>
      <c r="J88" s="1721"/>
      <c r="K88" s="1722"/>
      <c r="L88" s="196"/>
      <c r="M88" s="197"/>
      <c r="N88" s="197"/>
      <c r="O88" s="197"/>
      <c r="P88" s="197"/>
      <c r="Q88" s="197"/>
      <c r="R88" s="197"/>
      <c r="S88" s="197"/>
      <c r="T88" s="197"/>
      <c r="U88" s="197"/>
      <c r="V88" s="197"/>
      <c r="W88" s="197"/>
    </row>
    <row r="89" spans="1:23" ht="11.25" customHeight="1">
      <c r="A89" s="1727" t="s">
        <v>1498</v>
      </c>
      <c r="B89" s="1073"/>
      <c r="C89" s="1721"/>
      <c r="D89" s="1721"/>
      <c r="E89" s="1722"/>
      <c r="F89" s="1723"/>
      <c r="G89" s="1721"/>
      <c r="H89" s="1724"/>
      <c r="I89" s="1725"/>
      <c r="J89" s="1721"/>
      <c r="K89" s="1722"/>
      <c r="L89" s="196"/>
      <c r="M89" s="197"/>
      <c r="N89" s="197"/>
      <c r="O89" s="197"/>
      <c r="P89" s="197"/>
      <c r="Q89" s="197"/>
      <c r="R89" s="197"/>
      <c r="S89" s="197"/>
      <c r="T89" s="197"/>
      <c r="U89" s="197"/>
      <c r="V89" s="197"/>
      <c r="W89" s="197"/>
    </row>
    <row r="90" spans="1:23" ht="11.25" customHeight="1">
      <c r="A90" s="1727" t="s">
        <v>1498</v>
      </c>
      <c r="B90" s="1073"/>
      <c r="C90" s="1721"/>
      <c r="D90" s="1721"/>
      <c r="E90" s="1722"/>
      <c r="F90" s="1723"/>
      <c r="G90" s="1721"/>
      <c r="H90" s="1724"/>
      <c r="I90" s="1725"/>
      <c r="J90" s="1721"/>
      <c r="K90" s="1722"/>
      <c r="L90" s="196"/>
      <c r="M90" s="197"/>
      <c r="N90" s="197"/>
      <c r="O90" s="197"/>
      <c r="P90" s="197"/>
      <c r="Q90" s="197"/>
      <c r="R90" s="197"/>
      <c r="S90" s="197"/>
      <c r="T90" s="197"/>
      <c r="U90" s="197"/>
      <c r="V90" s="197"/>
      <c r="W90" s="197"/>
    </row>
    <row r="91" spans="1:23" ht="11.25" customHeight="1">
      <c r="A91" s="1727" t="s">
        <v>1498</v>
      </c>
      <c r="B91" s="1073"/>
      <c r="C91" s="1721"/>
      <c r="D91" s="1721"/>
      <c r="E91" s="1722"/>
      <c r="F91" s="1723"/>
      <c r="G91" s="1721"/>
      <c r="H91" s="1724"/>
      <c r="I91" s="1725"/>
      <c r="J91" s="1721"/>
      <c r="K91" s="1722"/>
      <c r="L91" s="196"/>
      <c r="M91" s="197"/>
      <c r="N91" s="197"/>
      <c r="O91" s="197"/>
      <c r="P91" s="197"/>
      <c r="Q91" s="197"/>
      <c r="R91" s="197"/>
      <c r="S91" s="197"/>
      <c r="T91" s="197"/>
      <c r="U91" s="197"/>
      <c r="V91" s="197"/>
      <c r="W91" s="197"/>
    </row>
    <row r="92" spans="1:23" ht="11.25" customHeight="1">
      <c r="A92" s="1727" t="s">
        <v>1498</v>
      </c>
      <c r="B92" s="1073"/>
      <c r="C92" s="1721"/>
      <c r="D92" s="1721"/>
      <c r="E92" s="1722"/>
      <c r="F92" s="1723"/>
      <c r="G92" s="1721"/>
      <c r="H92" s="1724"/>
      <c r="I92" s="1725"/>
      <c r="J92" s="1721"/>
      <c r="K92" s="1722"/>
      <c r="L92" s="196"/>
      <c r="M92" s="197"/>
      <c r="N92" s="197"/>
      <c r="O92" s="197"/>
      <c r="P92" s="197"/>
      <c r="Q92" s="197"/>
      <c r="R92" s="197"/>
      <c r="S92" s="197"/>
      <c r="T92" s="197"/>
      <c r="U92" s="197"/>
      <c r="V92" s="197"/>
      <c r="W92" s="197"/>
    </row>
    <row r="93" spans="1:23" ht="11.25" customHeight="1">
      <c r="A93" s="1726" t="s">
        <v>1797</v>
      </c>
      <c r="B93" s="1073"/>
      <c r="C93" s="1002">
        <f>SUM(C94:C103)</f>
        <v>0</v>
      </c>
      <c r="D93" s="1002">
        <f t="shared" ref="D93:K93" si="8">SUM(D94:D103)</f>
        <v>0</v>
      </c>
      <c r="E93" s="1003">
        <f t="shared" si="8"/>
        <v>0</v>
      </c>
      <c r="F93" s="1004">
        <f t="shared" si="8"/>
        <v>0</v>
      </c>
      <c r="G93" s="1002">
        <f t="shared" si="8"/>
        <v>0</v>
      </c>
      <c r="H93" s="1005">
        <f t="shared" si="8"/>
        <v>0</v>
      </c>
      <c r="I93" s="1006">
        <f t="shared" si="8"/>
        <v>0</v>
      </c>
      <c r="J93" s="1002">
        <f t="shared" si="8"/>
        <v>0</v>
      </c>
      <c r="K93" s="1003">
        <f t="shared" si="8"/>
        <v>0</v>
      </c>
      <c r="L93" s="196"/>
      <c r="M93" s="197"/>
      <c r="N93" s="197"/>
      <c r="O93" s="197"/>
      <c r="P93" s="197"/>
      <c r="Q93" s="197"/>
      <c r="R93" s="197"/>
      <c r="S93" s="197"/>
      <c r="T93" s="197"/>
      <c r="U93" s="197"/>
      <c r="V93" s="197"/>
      <c r="W93" s="197"/>
    </row>
    <row r="94" spans="1:23" ht="11.25" customHeight="1">
      <c r="A94" s="1727" t="s">
        <v>841</v>
      </c>
      <c r="B94" s="1073"/>
      <c r="C94" s="1721"/>
      <c r="D94" s="1721"/>
      <c r="E94" s="1722"/>
      <c r="F94" s="1723"/>
      <c r="G94" s="1721"/>
      <c r="H94" s="1724"/>
      <c r="I94" s="1725"/>
      <c r="J94" s="1721"/>
      <c r="K94" s="1722"/>
      <c r="L94" s="196"/>
      <c r="M94" s="197"/>
      <c r="N94" s="197"/>
      <c r="O94" s="197"/>
      <c r="P94" s="197"/>
      <c r="Q94" s="197"/>
      <c r="R94" s="197"/>
      <c r="S94" s="197"/>
      <c r="T94" s="197"/>
      <c r="U94" s="197"/>
      <c r="V94" s="197"/>
      <c r="W94" s="197"/>
    </row>
    <row r="95" spans="1:23" ht="11.25" customHeight="1">
      <c r="A95" s="1727" t="s">
        <v>1498</v>
      </c>
      <c r="B95" s="1073"/>
      <c r="C95" s="1721"/>
      <c r="D95" s="1721"/>
      <c r="E95" s="1722"/>
      <c r="F95" s="1723"/>
      <c r="G95" s="1721"/>
      <c r="H95" s="1724"/>
      <c r="I95" s="1725"/>
      <c r="J95" s="1721"/>
      <c r="K95" s="1722"/>
      <c r="L95" s="196"/>
      <c r="M95" s="197"/>
      <c r="N95" s="197"/>
      <c r="O95" s="197"/>
      <c r="P95" s="197"/>
      <c r="Q95" s="197"/>
      <c r="R95" s="197"/>
      <c r="S95" s="197"/>
      <c r="T95" s="197"/>
      <c r="U95" s="197"/>
      <c r="V95" s="197"/>
      <c r="W95" s="197"/>
    </row>
    <row r="96" spans="1:23" ht="11.25" customHeight="1">
      <c r="A96" s="1727" t="s">
        <v>1498</v>
      </c>
      <c r="B96" s="1073"/>
      <c r="C96" s="1721"/>
      <c r="D96" s="1721"/>
      <c r="E96" s="1722"/>
      <c r="F96" s="1723"/>
      <c r="G96" s="1721"/>
      <c r="H96" s="1724"/>
      <c r="I96" s="1725"/>
      <c r="J96" s="1721"/>
      <c r="K96" s="1722"/>
      <c r="L96" s="196"/>
      <c r="M96" s="197"/>
      <c r="N96" s="197"/>
      <c r="O96" s="197"/>
      <c r="P96" s="197"/>
      <c r="Q96" s="197"/>
      <c r="R96" s="197"/>
      <c r="S96" s="197"/>
      <c r="T96" s="197"/>
      <c r="U96" s="197"/>
      <c r="V96" s="197"/>
      <c r="W96" s="197"/>
    </row>
    <row r="97" spans="1:23" ht="11.25" customHeight="1">
      <c r="A97" s="1727" t="s">
        <v>1498</v>
      </c>
      <c r="B97" s="1073"/>
      <c r="C97" s="1721"/>
      <c r="D97" s="1721"/>
      <c r="E97" s="1722"/>
      <c r="F97" s="1723"/>
      <c r="G97" s="1721"/>
      <c r="H97" s="1724"/>
      <c r="I97" s="1725"/>
      <c r="J97" s="1721"/>
      <c r="K97" s="1722"/>
      <c r="L97" s="196"/>
      <c r="M97" s="197"/>
      <c r="N97" s="197"/>
      <c r="O97" s="197"/>
      <c r="P97" s="197"/>
      <c r="Q97" s="197"/>
      <c r="R97" s="197"/>
      <c r="S97" s="197"/>
      <c r="T97" s="197"/>
      <c r="U97" s="197"/>
      <c r="V97" s="197"/>
      <c r="W97" s="197"/>
    </row>
    <row r="98" spans="1:23" ht="11.25" customHeight="1">
      <c r="A98" s="1727" t="s">
        <v>1498</v>
      </c>
      <c r="B98" s="1073"/>
      <c r="C98" s="1721"/>
      <c r="D98" s="1721"/>
      <c r="E98" s="1722"/>
      <c r="F98" s="1723"/>
      <c r="G98" s="1721"/>
      <c r="H98" s="1724"/>
      <c r="I98" s="1725"/>
      <c r="J98" s="1721"/>
      <c r="K98" s="1722"/>
      <c r="L98" s="196"/>
      <c r="M98" s="197"/>
      <c r="N98" s="197"/>
      <c r="O98" s="197"/>
      <c r="P98" s="197"/>
      <c r="Q98" s="197"/>
      <c r="R98" s="197"/>
      <c r="S98" s="197"/>
      <c r="T98" s="197"/>
      <c r="U98" s="197"/>
      <c r="V98" s="197"/>
      <c r="W98" s="197"/>
    </row>
    <row r="99" spans="1:23" ht="11.25" customHeight="1">
      <c r="A99" s="1727" t="s">
        <v>1498</v>
      </c>
      <c r="B99" s="1073"/>
      <c r="C99" s="1721"/>
      <c r="D99" s="1721"/>
      <c r="E99" s="1722"/>
      <c r="F99" s="1723"/>
      <c r="G99" s="1721"/>
      <c r="H99" s="1724"/>
      <c r="I99" s="1725"/>
      <c r="J99" s="1721"/>
      <c r="K99" s="1722"/>
      <c r="L99" s="196"/>
      <c r="M99" s="197"/>
      <c r="N99" s="197"/>
      <c r="O99" s="197"/>
      <c r="P99" s="197"/>
      <c r="Q99" s="197"/>
      <c r="R99" s="197"/>
      <c r="S99" s="197"/>
      <c r="T99" s="197"/>
      <c r="U99" s="197"/>
      <c r="V99" s="197"/>
      <c r="W99" s="197"/>
    </row>
    <row r="100" spans="1:23" ht="11.25" customHeight="1">
      <c r="A100" s="1727" t="s">
        <v>1498</v>
      </c>
      <c r="B100" s="1073"/>
      <c r="C100" s="1721"/>
      <c r="D100" s="1721"/>
      <c r="E100" s="1722"/>
      <c r="F100" s="1723"/>
      <c r="G100" s="1721"/>
      <c r="H100" s="1724"/>
      <c r="I100" s="1725"/>
      <c r="J100" s="1721"/>
      <c r="K100" s="1722"/>
      <c r="L100" s="196"/>
      <c r="M100" s="197"/>
      <c r="N100" s="197"/>
      <c r="O100" s="197"/>
      <c r="P100" s="197"/>
      <c r="Q100" s="197"/>
      <c r="R100" s="197"/>
      <c r="S100" s="197"/>
      <c r="T100" s="197"/>
      <c r="U100" s="197"/>
      <c r="V100" s="197"/>
      <c r="W100" s="197"/>
    </row>
    <row r="101" spans="1:23" ht="11.25" customHeight="1">
      <c r="A101" s="1727" t="s">
        <v>1498</v>
      </c>
      <c r="B101" s="1073"/>
      <c r="C101" s="1721"/>
      <c r="D101" s="1721"/>
      <c r="E101" s="1722"/>
      <c r="F101" s="1723"/>
      <c r="G101" s="1721"/>
      <c r="H101" s="1724"/>
      <c r="I101" s="1725"/>
      <c r="J101" s="1721"/>
      <c r="K101" s="1722"/>
      <c r="L101" s="196"/>
      <c r="M101" s="197"/>
      <c r="N101" s="197"/>
      <c r="O101" s="197"/>
      <c r="P101" s="197"/>
      <c r="Q101" s="197"/>
      <c r="R101" s="197"/>
      <c r="S101" s="197"/>
      <c r="T101" s="197"/>
      <c r="U101" s="197"/>
      <c r="V101" s="197"/>
      <c r="W101" s="197"/>
    </row>
    <row r="102" spans="1:23" ht="11.25" customHeight="1">
      <c r="A102" s="1727" t="s">
        <v>1498</v>
      </c>
      <c r="B102" s="1073"/>
      <c r="C102" s="1721"/>
      <c r="D102" s="1721"/>
      <c r="E102" s="1722"/>
      <c r="F102" s="1723"/>
      <c r="G102" s="1721"/>
      <c r="H102" s="1724"/>
      <c r="I102" s="1725"/>
      <c r="J102" s="1721"/>
      <c r="K102" s="1722"/>
      <c r="L102" s="196"/>
      <c r="M102" s="197"/>
      <c r="N102" s="197"/>
      <c r="O102" s="197"/>
      <c r="P102" s="197"/>
      <c r="Q102" s="197"/>
      <c r="R102" s="197"/>
      <c r="S102" s="197"/>
      <c r="T102" s="197"/>
      <c r="U102" s="197"/>
      <c r="V102" s="197"/>
      <c r="W102" s="197"/>
    </row>
    <row r="103" spans="1:23" ht="11.25" customHeight="1">
      <c r="A103" s="1727" t="s">
        <v>1498</v>
      </c>
      <c r="B103" s="1073"/>
      <c r="C103" s="1721"/>
      <c r="D103" s="1721"/>
      <c r="E103" s="1722"/>
      <c r="F103" s="1723"/>
      <c r="G103" s="1721"/>
      <c r="H103" s="1724"/>
      <c r="I103" s="1725"/>
      <c r="J103" s="1721"/>
      <c r="K103" s="1722"/>
      <c r="L103" s="196"/>
      <c r="M103" s="197"/>
      <c r="N103" s="197"/>
      <c r="O103" s="197"/>
      <c r="P103" s="197"/>
      <c r="Q103" s="197"/>
      <c r="R103" s="197"/>
      <c r="S103" s="197"/>
      <c r="T103" s="197"/>
      <c r="U103" s="197"/>
      <c r="V103" s="197"/>
      <c r="W103" s="197"/>
    </row>
    <row r="104" spans="1:23" ht="11.25" customHeight="1">
      <c r="A104" s="1726" t="s">
        <v>1798</v>
      </c>
      <c r="B104" s="1073"/>
      <c r="C104" s="1002">
        <f>SUM(C105:C114)</f>
        <v>0</v>
      </c>
      <c r="D104" s="1002">
        <f t="shared" ref="D104:K104" si="9">SUM(D105:D114)</f>
        <v>0</v>
      </c>
      <c r="E104" s="1003">
        <f t="shared" si="9"/>
        <v>0</v>
      </c>
      <c r="F104" s="1004">
        <f t="shared" si="9"/>
        <v>0</v>
      </c>
      <c r="G104" s="1002">
        <f t="shared" si="9"/>
        <v>0</v>
      </c>
      <c r="H104" s="1005">
        <f t="shared" si="9"/>
        <v>0</v>
      </c>
      <c r="I104" s="1006">
        <f t="shared" si="9"/>
        <v>0</v>
      </c>
      <c r="J104" s="1002">
        <f t="shared" si="9"/>
        <v>0</v>
      </c>
      <c r="K104" s="1003">
        <f t="shared" si="9"/>
        <v>0</v>
      </c>
      <c r="L104" s="196"/>
      <c r="M104" s="197"/>
      <c r="N104" s="197"/>
      <c r="O104" s="197"/>
      <c r="P104" s="197"/>
      <c r="Q104" s="197"/>
      <c r="R104" s="197"/>
      <c r="S104" s="197"/>
      <c r="T104" s="197"/>
      <c r="U104" s="197"/>
      <c r="V104" s="197"/>
      <c r="W104" s="197"/>
    </row>
    <row r="105" spans="1:23" ht="11.25" customHeight="1">
      <c r="A105" s="1727" t="s">
        <v>842</v>
      </c>
      <c r="B105" s="1073"/>
      <c r="C105" s="1721"/>
      <c r="D105" s="1721"/>
      <c r="E105" s="1722"/>
      <c r="F105" s="1723"/>
      <c r="G105" s="1721"/>
      <c r="H105" s="1724"/>
      <c r="I105" s="1725"/>
      <c r="J105" s="1721"/>
      <c r="K105" s="1722"/>
      <c r="L105" s="196"/>
      <c r="M105" s="197"/>
      <c r="N105" s="197"/>
      <c r="O105" s="197"/>
      <c r="P105" s="197"/>
      <c r="Q105" s="197"/>
      <c r="R105" s="197"/>
      <c r="S105" s="197"/>
      <c r="T105" s="197"/>
      <c r="U105" s="197"/>
      <c r="V105" s="197"/>
      <c r="W105" s="197"/>
    </row>
    <row r="106" spans="1:23" ht="11.25" customHeight="1">
      <c r="A106" s="1727" t="s">
        <v>1498</v>
      </c>
      <c r="B106" s="1073"/>
      <c r="C106" s="1721"/>
      <c r="D106" s="1721"/>
      <c r="E106" s="1722"/>
      <c r="F106" s="1723"/>
      <c r="G106" s="1721"/>
      <c r="H106" s="1724"/>
      <c r="I106" s="1725"/>
      <c r="J106" s="1721"/>
      <c r="K106" s="1722"/>
      <c r="L106" s="196"/>
      <c r="M106" s="197"/>
      <c r="N106" s="197"/>
      <c r="O106" s="197"/>
      <c r="P106" s="197"/>
      <c r="Q106" s="197"/>
      <c r="R106" s="197"/>
      <c r="S106" s="197"/>
      <c r="T106" s="197"/>
      <c r="U106" s="197"/>
      <c r="V106" s="197"/>
      <c r="W106" s="197"/>
    </row>
    <row r="107" spans="1:23" ht="11.25" customHeight="1">
      <c r="A107" s="1727" t="s">
        <v>1498</v>
      </c>
      <c r="B107" s="1073"/>
      <c r="C107" s="1721"/>
      <c r="D107" s="1721"/>
      <c r="E107" s="1722"/>
      <c r="F107" s="1723"/>
      <c r="G107" s="1721"/>
      <c r="H107" s="1724"/>
      <c r="I107" s="1725"/>
      <c r="J107" s="1721"/>
      <c r="K107" s="1722"/>
      <c r="L107" s="196"/>
      <c r="M107" s="197"/>
      <c r="N107" s="197"/>
      <c r="O107" s="197"/>
      <c r="P107" s="197"/>
      <c r="Q107" s="197"/>
      <c r="R107" s="197"/>
      <c r="S107" s="197"/>
      <c r="T107" s="197"/>
      <c r="U107" s="197"/>
      <c r="V107" s="197"/>
      <c r="W107" s="197"/>
    </row>
    <row r="108" spans="1:23" ht="11.25" customHeight="1">
      <c r="A108" s="1727" t="s">
        <v>1498</v>
      </c>
      <c r="B108" s="1073"/>
      <c r="C108" s="1721"/>
      <c r="D108" s="1721"/>
      <c r="E108" s="1722"/>
      <c r="F108" s="1723"/>
      <c r="G108" s="1721"/>
      <c r="H108" s="1724"/>
      <c r="I108" s="1725"/>
      <c r="J108" s="1721"/>
      <c r="K108" s="1722"/>
      <c r="L108" s="196"/>
      <c r="M108" s="197"/>
      <c r="N108" s="197"/>
      <c r="O108" s="197"/>
      <c r="P108" s="197"/>
      <c r="Q108" s="197"/>
      <c r="R108" s="197"/>
      <c r="S108" s="197"/>
      <c r="T108" s="197"/>
      <c r="U108" s="197"/>
      <c r="V108" s="197"/>
      <c r="W108" s="197"/>
    </row>
    <row r="109" spans="1:23" ht="11.25" customHeight="1">
      <c r="A109" s="1727" t="s">
        <v>1498</v>
      </c>
      <c r="B109" s="1073"/>
      <c r="C109" s="1721"/>
      <c r="D109" s="1721"/>
      <c r="E109" s="1722"/>
      <c r="F109" s="1723"/>
      <c r="G109" s="1721"/>
      <c r="H109" s="1724"/>
      <c r="I109" s="1725"/>
      <c r="J109" s="1721"/>
      <c r="K109" s="1722"/>
      <c r="L109" s="196"/>
      <c r="M109" s="197"/>
      <c r="N109" s="197"/>
      <c r="O109" s="197"/>
      <c r="P109" s="197"/>
      <c r="Q109" s="197"/>
      <c r="R109" s="197"/>
      <c r="S109" s="197"/>
      <c r="T109" s="197"/>
      <c r="U109" s="197"/>
      <c r="V109" s="197"/>
      <c r="W109" s="197"/>
    </row>
    <row r="110" spans="1:23" ht="11.25" customHeight="1">
      <c r="A110" s="1727" t="s">
        <v>1498</v>
      </c>
      <c r="B110" s="1073"/>
      <c r="C110" s="1721"/>
      <c r="D110" s="1721"/>
      <c r="E110" s="1722"/>
      <c r="F110" s="1723"/>
      <c r="G110" s="1721"/>
      <c r="H110" s="1724"/>
      <c r="I110" s="1725"/>
      <c r="J110" s="1721"/>
      <c r="K110" s="1722"/>
      <c r="L110" s="196"/>
      <c r="M110" s="197"/>
      <c r="N110" s="197"/>
      <c r="O110" s="197"/>
      <c r="P110" s="197"/>
      <c r="Q110" s="197"/>
      <c r="R110" s="197"/>
      <c r="S110" s="197"/>
      <c r="T110" s="197"/>
      <c r="U110" s="197"/>
      <c r="V110" s="197"/>
      <c r="W110" s="197"/>
    </row>
    <row r="111" spans="1:23" ht="11.25" customHeight="1">
      <c r="A111" s="1727" t="s">
        <v>1498</v>
      </c>
      <c r="B111" s="1073"/>
      <c r="C111" s="1721"/>
      <c r="D111" s="1721"/>
      <c r="E111" s="1722"/>
      <c r="F111" s="1723"/>
      <c r="G111" s="1721"/>
      <c r="H111" s="1724"/>
      <c r="I111" s="1725"/>
      <c r="J111" s="1721"/>
      <c r="K111" s="1722"/>
      <c r="L111" s="196"/>
      <c r="M111" s="197"/>
      <c r="N111" s="197"/>
      <c r="O111" s="197"/>
      <c r="P111" s="197"/>
      <c r="Q111" s="197"/>
      <c r="R111" s="197"/>
      <c r="S111" s="197"/>
      <c r="T111" s="197"/>
      <c r="U111" s="197"/>
      <c r="V111" s="197"/>
      <c r="W111" s="197"/>
    </row>
    <row r="112" spans="1:23" ht="11.25" customHeight="1">
      <c r="A112" s="1727" t="s">
        <v>1498</v>
      </c>
      <c r="B112" s="1073"/>
      <c r="C112" s="1721"/>
      <c r="D112" s="1721"/>
      <c r="E112" s="1722"/>
      <c r="F112" s="1723"/>
      <c r="G112" s="1721"/>
      <c r="H112" s="1724"/>
      <c r="I112" s="1725"/>
      <c r="J112" s="1721"/>
      <c r="K112" s="1722"/>
      <c r="L112" s="196"/>
      <c r="M112" s="197"/>
      <c r="N112" s="197"/>
      <c r="O112" s="197"/>
      <c r="P112" s="197"/>
      <c r="Q112" s="197"/>
      <c r="R112" s="197"/>
      <c r="S112" s="197"/>
      <c r="T112" s="197"/>
      <c r="U112" s="197"/>
      <c r="V112" s="197"/>
      <c r="W112" s="197"/>
    </row>
    <row r="113" spans="1:23" ht="11.25" customHeight="1">
      <c r="A113" s="1727" t="s">
        <v>1498</v>
      </c>
      <c r="B113" s="1073"/>
      <c r="C113" s="1721"/>
      <c r="D113" s="1721"/>
      <c r="E113" s="1722"/>
      <c r="F113" s="1723"/>
      <c r="G113" s="1721"/>
      <c r="H113" s="1724"/>
      <c r="I113" s="1725"/>
      <c r="J113" s="1721"/>
      <c r="K113" s="1722"/>
      <c r="L113" s="196"/>
      <c r="M113" s="197"/>
      <c r="N113" s="197"/>
      <c r="O113" s="197"/>
      <c r="P113" s="197"/>
      <c r="Q113" s="197"/>
      <c r="R113" s="197"/>
      <c r="S113" s="197"/>
      <c r="T113" s="197"/>
      <c r="U113" s="197"/>
      <c r="V113" s="197"/>
      <c r="W113" s="197"/>
    </row>
    <row r="114" spans="1:23" ht="11.25" customHeight="1">
      <c r="A114" s="1728" t="s">
        <v>1498</v>
      </c>
      <c r="B114" s="1073"/>
      <c r="C114" s="1721"/>
      <c r="D114" s="1721"/>
      <c r="E114" s="1722"/>
      <c r="F114" s="1723"/>
      <c r="G114" s="1721"/>
      <c r="H114" s="1724"/>
      <c r="I114" s="1725"/>
      <c r="J114" s="1721"/>
      <c r="K114" s="1722"/>
      <c r="L114" s="196"/>
      <c r="M114" s="197"/>
      <c r="N114" s="197"/>
      <c r="O114" s="197"/>
      <c r="P114" s="197"/>
      <c r="Q114" s="197"/>
      <c r="R114" s="197"/>
      <c r="S114" s="197"/>
      <c r="T114" s="197"/>
      <c r="U114" s="197"/>
      <c r="V114" s="197"/>
      <c r="W114" s="197"/>
    </row>
    <row r="115" spans="1:23" ht="11.25" customHeight="1">
      <c r="A115" s="1729" t="s">
        <v>358</v>
      </c>
      <c r="B115" s="1073"/>
      <c r="C115" s="1002">
        <f>SUM(C116:C125)</f>
        <v>0</v>
      </c>
      <c r="D115" s="1002">
        <f t="shared" ref="D115:K115" si="10">SUM(D116:D125)</f>
        <v>0</v>
      </c>
      <c r="E115" s="1003">
        <f t="shared" si="10"/>
        <v>0</v>
      </c>
      <c r="F115" s="1004">
        <f t="shared" si="10"/>
        <v>0</v>
      </c>
      <c r="G115" s="1002">
        <f t="shared" si="10"/>
        <v>0</v>
      </c>
      <c r="H115" s="1005">
        <f t="shared" si="10"/>
        <v>0</v>
      </c>
      <c r="I115" s="1006">
        <f t="shared" si="10"/>
        <v>0</v>
      </c>
      <c r="J115" s="1002">
        <f t="shared" si="10"/>
        <v>0</v>
      </c>
      <c r="K115" s="1003">
        <f t="shared" si="10"/>
        <v>0</v>
      </c>
      <c r="L115" s="196"/>
      <c r="M115" s="197"/>
      <c r="N115" s="197"/>
      <c r="O115" s="197"/>
      <c r="P115" s="197"/>
      <c r="Q115" s="197"/>
      <c r="R115" s="197"/>
      <c r="S115" s="197"/>
      <c r="T115" s="197"/>
      <c r="U115" s="197"/>
      <c r="V115" s="197"/>
      <c r="W115" s="197"/>
    </row>
    <row r="116" spans="1:23" ht="11.25" customHeight="1">
      <c r="A116" s="1727" t="s">
        <v>359</v>
      </c>
      <c r="B116" s="1073"/>
      <c r="C116" s="1721"/>
      <c r="D116" s="1721"/>
      <c r="E116" s="1722"/>
      <c r="F116" s="1723"/>
      <c r="G116" s="1721"/>
      <c r="H116" s="1724"/>
      <c r="I116" s="1725"/>
      <c r="J116" s="1721"/>
      <c r="K116" s="1722"/>
      <c r="L116" s="196"/>
      <c r="M116" s="197"/>
      <c r="N116" s="197"/>
      <c r="O116" s="197"/>
      <c r="P116" s="197"/>
      <c r="Q116" s="197"/>
      <c r="R116" s="197"/>
      <c r="S116" s="197"/>
      <c r="T116" s="197"/>
      <c r="U116" s="197"/>
      <c r="V116" s="197"/>
      <c r="W116" s="197"/>
    </row>
    <row r="117" spans="1:23" ht="11.25" customHeight="1">
      <c r="A117" s="1727"/>
      <c r="B117" s="1073"/>
      <c r="C117" s="1721"/>
      <c r="D117" s="1721"/>
      <c r="E117" s="1722"/>
      <c r="F117" s="1723"/>
      <c r="G117" s="1721"/>
      <c r="H117" s="1724"/>
      <c r="I117" s="1725"/>
      <c r="J117" s="1721"/>
      <c r="K117" s="1722"/>
      <c r="L117" s="196"/>
      <c r="M117" s="197"/>
      <c r="N117" s="197"/>
      <c r="O117" s="197"/>
      <c r="P117" s="197"/>
      <c r="Q117" s="197"/>
      <c r="R117" s="197"/>
      <c r="S117" s="197"/>
      <c r="T117" s="197"/>
      <c r="U117" s="197"/>
      <c r="V117" s="197"/>
      <c r="W117" s="197"/>
    </row>
    <row r="118" spans="1:23" ht="11.25" customHeight="1">
      <c r="A118" s="1727"/>
      <c r="B118" s="1073"/>
      <c r="C118" s="1721"/>
      <c r="D118" s="1721"/>
      <c r="E118" s="1722"/>
      <c r="F118" s="1723"/>
      <c r="G118" s="1721"/>
      <c r="H118" s="1724"/>
      <c r="I118" s="1725"/>
      <c r="J118" s="1721"/>
      <c r="K118" s="1722"/>
      <c r="L118" s="196"/>
      <c r="M118" s="197"/>
      <c r="N118" s="197"/>
      <c r="O118" s="197"/>
      <c r="P118" s="197"/>
      <c r="Q118" s="197"/>
      <c r="R118" s="197"/>
      <c r="S118" s="197"/>
      <c r="T118" s="197"/>
      <c r="U118" s="197"/>
      <c r="V118" s="197"/>
      <c r="W118" s="197"/>
    </row>
    <row r="119" spans="1:23" ht="11.25" customHeight="1">
      <c r="A119" s="1727"/>
      <c r="B119" s="1073"/>
      <c r="C119" s="1721"/>
      <c r="D119" s="1721"/>
      <c r="E119" s="1722"/>
      <c r="F119" s="1723"/>
      <c r="G119" s="1721"/>
      <c r="H119" s="1724"/>
      <c r="I119" s="1725"/>
      <c r="J119" s="1721"/>
      <c r="K119" s="1722"/>
      <c r="L119" s="196"/>
      <c r="M119" s="197"/>
      <c r="N119" s="197"/>
      <c r="O119" s="197"/>
      <c r="P119" s="197"/>
      <c r="Q119" s="197"/>
      <c r="R119" s="197"/>
      <c r="S119" s="197"/>
      <c r="T119" s="197"/>
      <c r="U119" s="197"/>
      <c r="V119" s="197"/>
      <c r="W119" s="197"/>
    </row>
    <row r="120" spans="1:23" ht="11.25" customHeight="1">
      <c r="A120" s="1727"/>
      <c r="B120" s="1073"/>
      <c r="C120" s="1721"/>
      <c r="D120" s="1721"/>
      <c r="E120" s="1722"/>
      <c r="F120" s="1723"/>
      <c r="G120" s="1721"/>
      <c r="H120" s="1724"/>
      <c r="I120" s="1725"/>
      <c r="J120" s="1721"/>
      <c r="K120" s="1722"/>
      <c r="L120" s="196"/>
      <c r="M120" s="197"/>
      <c r="N120" s="197"/>
      <c r="O120" s="197"/>
      <c r="P120" s="197"/>
      <c r="Q120" s="197"/>
      <c r="R120" s="197"/>
      <c r="S120" s="197"/>
      <c r="T120" s="197"/>
      <c r="U120" s="197"/>
      <c r="V120" s="197"/>
      <c r="W120" s="197"/>
    </row>
    <row r="121" spans="1:23" ht="11.25" customHeight="1">
      <c r="A121" s="1727"/>
      <c r="B121" s="1073"/>
      <c r="C121" s="1721"/>
      <c r="D121" s="1721"/>
      <c r="E121" s="1722"/>
      <c r="F121" s="1723"/>
      <c r="G121" s="1721"/>
      <c r="H121" s="1724"/>
      <c r="I121" s="1725"/>
      <c r="J121" s="1721"/>
      <c r="K121" s="1722"/>
      <c r="L121" s="196"/>
      <c r="M121" s="197"/>
      <c r="N121" s="197"/>
      <c r="O121" s="197"/>
      <c r="P121" s="197"/>
      <c r="Q121" s="197"/>
      <c r="R121" s="197"/>
      <c r="S121" s="197"/>
      <c r="T121" s="197"/>
      <c r="U121" s="197"/>
      <c r="V121" s="197"/>
      <c r="W121" s="197"/>
    </row>
    <row r="122" spans="1:23" ht="11.25" customHeight="1">
      <c r="A122" s="1727"/>
      <c r="B122" s="1073"/>
      <c r="C122" s="1721"/>
      <c r="D122" s="1721"/>
      <c r="E122" s="1722"/>
      <c r="F122" s="1723"/>
      <c r="G122" s="1721"/>
      <c r="H122" s="1724"/>
      <c r="I122" s="1725"/>
      <c r="J122" s="1721"/>
      <c r="K122" s="1722"/>
      <c r="L122" s="196"/>
      <c r="M122" s="197"/>
      <c r="N122" s="197"/>
      <c r="O122" s="197"/>
      <c r="P122" s="197"/>
      <c r="Q122" s="197"/>
      <c r="R122" s="197"/>
      <c r="S122" s="197"/>
      <c r="T122" s="197"/>
      <c r="U122" s="197"/>
      <c r="V122" s="197"/>
      <c r="W122" s="197"/>
    </row>
    <row r="123" spans="1:23" ht="11.25" customHeight="1">
      <c r="A123" s="1727"/>
      <c r="B123" s="1073"/>
      <c r="C123" s="1721"/>
      <c r="D123" s="1721"/>
      <c r="E123" s="1722"/>
      <c r="F123" s="1723"/>
      <c r="G123" s="1721"/>
      <c r="H123" s="1724"/>
      <c r="I123" s="1725"/>
      <c r="J123" s="1721"/>
      <c r="K123" s="1722"/>
      <c r="L123" s="196"/>
      <c r="M123" s="197"/>
      <c r="N123" s="197"/>
      <c r="O123" s="197"/>
      <c r="P123" s="197"/>
      <c r="Q123" s="197"/>
      <c r="R123" s="197"/>
      <c r="S123" s="197"/>
      <c r="T123" s="197"/>
      <c r="U123" s="197"/>
      <c r="V123" s="197"/>
      <c r="W123" s="197"/>
    </row>
    <row r="124" spans="1:23" ht="11.25" customHeight="1">
      <c r="A124" s="1727"/>
      <c r="B124" s="1073"/>
      <c r="C124" s="1721"/>
      <c r="D124" s="1721"/>
      <c r="E124" s="1722"/>
      <c r="F124" s="1723"/>
      <c r="G124" s="1721"/>
      <c r="H124" s="1724"/>
      <c r="I124" s="1725"/>
      <c r="J124" s="1721"/>
      <c r="K124" s="1722"/>
      <c r="L124" s="196"/>
      <c r="M124" s="197"/>
      <c r="N124" s="197"/>
      <c r="O124" s="197"/>
      <c r="P124" s="197"/>
      <c r="Q124" s="197"/>
      <c r="R124" s="197"/>
      <c r="S124" s="197"/>
      <c r="T124" s="197"/>
      <c r="U124" s="197"/>
      <c r="V124" s="197"/>
      <c r="W124" s="197"/>
    </row>
    <row r="125" spans="1:23" ht="11.25" customHeight="1">
      <c r="A125" s="1727"/>
      <c r="B125" s="1073"/>
      <c r="C125" s="1721"/>
      <c r="D125" s="1721"/>
      <c r="E125" s="1722"/>
      <c r="F125" s="1723"/>
      <c r="G125" s="1721"/>
      <c r="H125" s="1724"/>
      <c r="I125" s="1725"/>
      <c r="J125" s="1721"/>
      <c r="K125" s="1722"/>
      <c r="L125" s="196"/>
      <c r="M125" s="197"/>
      <c r="N125" s="197"/>
      <c r="O125" s="197"/>
      <c r="P125" s="197"/>
      <c r="Q125" s="197"/>
      <c r="R125" s="197"/>
      <c r="S125" s="197"/>
      <c r="T125" s="197"/>
      <c r="U125" s="197"/>
      <c r="V125" s="197"/>
      <c r="W125" s="197"/>
    </row>
    <row r="126" spans="1:23" ht="11.25" customHeight="1">
      <c r="A126" s="1729" t="s">
        <v>1406</v>
      </c>
      <c r="B126" s="1073"/>
      <c r="C126" s="1002">
        <f>SUM(C127:C136)</f>
        <v>0</v>
      </c>
      <c r="D126" s="1002">
        <f t="shared" ref="D126:K126" si="11">SUM(D127:D136)</f>
        <v>0</v>
      </c>
      <c r="E126" s="1003">
        <f t="shared" si="11"/>
        <v>0</v>
      </c>
      <c r="F126" s="1004">
        <f t="shared" si="11"/>
        <v>0</v>
      </c>
      <c r="G126" s="1002">
        <f t="shared" si="11"/>
        <v>0</v>
      </c>
      <c r="H126" s="1005">
        <f t="shared" si="11"/>
        <v>0</v>
      </c>
      <c r="I126" s="1006">
        <f t="shared" si="11"/>
        <v>0</v>
      </c>
      <c r="J126" s="1002">
        <f t="shared" si="11"/>
        <v>0</v>
      </c>
      <c r="K126" s="1003">
        <f t="shared" si="11"/>
        <v>0</v>
      </c>
      <c r="L126" s="196"/>
      <c r="M126" s="197"/>
      <c r="N126" s="197"/>
      <c r="O126" s="197"/>
      <c r="P126" s="197"/>
      <c r="Q126" s="197"/>
      <c r="R126" s="197"/>
      <c r="S126" s="197"/>
      <c r="T126" s="197"/>
      <c r="U126" s="197"/>
      <c r="V126" s="197"/>
      <c r="W126" s="197"/>
    </row>
    <row r="127" spans="1:23" ht="11.25" customHeight="1">
      <c r="A127" s="1727" t="s">
        <v>1402</v>
      </c>
      <c r="B127" s="1073"/>
      <c r="C127" s="1721"/>
      <c r="D127" s="1721"/>
      <c r="E127" s="1722"/>
      <c r="F127" s="1723"/>
      <c r="G127" s="1721"/>
      <c r="H127" s="1724"/>
      <c r="I127" s="1725"/>
      <c r="J127" s="1721"/>
      <c r="K127" s="1722"/>
      <c r="L127" s="196"/>
      <c r="M127" s="197"/>
      <c r="N127" s="197"/>
      <c r="O127" s="197"/>
      <c r="P127" s="197"/>
      <c r="Q127" s="197"/>
      <c r="R127" s="197"/>
      <c r="S127" s="197"/>
      <c r="T127" s="197"/>
      <c r="U127" s="197"/>
      <c r="V127" s="197"/>
      <c r="W127" s="197"/>
    </row>
    <row r="128" spans="1:23" ht="11.25" customHeight="1">
      <c r="A128" s="1727"/>
      <c r="B128" s="1073"/>
      <c r="C128" s="1721"/>
      <c r="D128" s="1721"/>
      <c r="E128" s="1722"/>
      <c r="F128" s="1723"/>
      <c r="G128" s="1721"/>
      <c r="H128" s="1724"/>
      <c r="I128" s="1725"/>
      <c r="J128" s="1721"/>
      <c r="K128" s="1722"/>
      <c r="L128" s="196"/>
      <c r="M128" s="197"/>
      <c r="N128" s="197"/>
      <c r="O128" s="197"/>
      <c r="P128" s="197"/>
      <c r="Q128" s="197"/>
      <c r="R128" s="197"/>
      <c r="S128" s="197"/>
      <c r="T128" s="197"/>
      <c r="U128" s="197"/>
      <c r="V128" s="197"/>
      <c r="W128" s="197"/>
    </row>
    <row r="129" spans="1:23" ht="11.25" customHeight="1">
      <c r="A129" s="1727"/>
      <c r="B129" s="1073"/>
      <c r="C129" s="1721"/>
      <c r="D129" s="1721"/>
      <c r="E129" s="1722"/>
      <c r="F129" s="1723"/>
      <c r="G129" s="1721"/>
      <c r="H129" s="1724"/>
      <c r="I129" s="1725"/>
      <c r="J129" s="1721"/>
      <c r="K129" s="1722"/>
      <c r="L129" s="196"/>
      <c r="M129" s="197"/>
      <c r="N129" s="197"/>
      <c r="O129" s="197"/>
      <c r="P129" s="197"/>
      <c r="Q129" s="197"/>
      <c r="R129" s="197"/>
      <c r="S129" s="197"/>
      <c r="T129" s="197"/>
      <c r="U129" s="197"/>
      <c r="V129" s="197"/>
      <c r="W129" s="197"/>
    </row>
    <row r="130" spans="1:23" ht="11.25" customHeight="1">
      <c r="A130" s="1727"/>
      <c r="B130" s="1073"/>
      <c r="C130" s="1721"/>
      <c r="D130" s="1721"/>
      <c r="E130" s="1722"/>
      <c r="F130" s="1723"/>
      <c r="G130" s="1721"/>
      <c r="H130" s="1724"/>
      <c r="I130" s="1725"/>
      <c r="J130" s="1721"/>
      <c r="K130" s="1722"/>
      <c r="L130" s="196"/>
      <c r="M130" s="197"/>
      <c r="N130" s="197"/>
      <c r="O130" s="197"/>
      <c r="P130" s="197"/>
      <c r="Q130" s="197"/>
      <c r="R130" s="197"/>
      <c r="S130" s="197"/>
      <c r="T130" s="197"/>
      <c r="U130" s="197"/>
      <c r="V130" s="197"/>
      <c r="W130" s="197"/>
    </row>
    <row r="131" spans="1:23" ht="11.25" customHeight="1">
      <c r="A131" s="1727"/>
      <c r="B131" s="1073"/>
      <c r="C131" s="1721"/>
      <c r="D131" s="1721"/>
      <c r="E131" s="1722"/>
      <c r="F131" s="1723"/>
      <c r="G131" s="1721"/>
      <c r="H131" s="1724"/>
      <c r="I131" s="1725"/>
      <c r="J131" s="1721"/>
      <c r="K131" s="1722"/>
      <c r="L131" s="196"/>
      <c r="M131" s="197"/>
      <c r="N131" s="197"/>
      <c r="O131" s="197"/>
      <c r="P131" s="197"/>
      <c r="Q131" s="197"/>
      <c r="R131" s="197"/>
      <c r="S131" s="197"/>
      <c r="T131" s="197"/>
      <c r="U131" s="197"/>
      <c r="V131" s="197"/>
      <c r="W131" s="197"/>
    </row>
    <row r="132" spans="1:23" ht="11.25" customHeight="1">
      <c r="A132" s="1727"/>
      <c r="B132" s="1073"/>
      <c r="C132" s="1721"/>
      <c r="D132" s="1721"/>
      <c r="E132" s="1722"/>
      <c r="F132" s="1723"/>
      <c r="G132" s="1721"/>
      <c r="H132" s="1724"/>
      <c r="I132" s="1725"/>
      <c r="J132" s="1721"/>
      <c r="K132" s="1722"/>
      <c r="L132" s="196"/>
      <c r="M132" s="197"/>
      <c r="N132" s="197"/>
      <c r="O132" s="197"/>
      <c r="P132" s="197"/>
      <c r="Q132" s="197"/>
      <c r="R132" s="197"/>
      <c r="S132" s="197"/>
      <c r="T132" s="197"/>
      <c r="U132" s="197"/>
      <c r="V132" s="197"/>
      <c r="W132" s="197"/>
    </row>
    <row r="133" spans="1:23" ht="11.25" customHeight="1">
      <c r="A133" s="1727"/>
      <c r="B133" s="1073"/>
      <c r="C133" s="1721"/>
      <c r="D133" s="1721"/>
      <c r="E133" s="1722"/>
      <c r="F133" s="1723"/>
      <c r="G133" s="1721"/>
      <c r="H133" s="1724"/>
      <c r="I133" s="1725"/>
      <c r="J133" s="1721"/>
      <c r="K133" s="1722"/>
      <c r="L133" s="196"/>
      <c r="M133" s="197"/>
      <c r="N133" s="197"/>
      <c r="O133" s="197"/>
      <c r="P133" s="197"/>
      <c r="Q133" s="197"/>
      <c r="R133" s="197"/>
      <c r="S133" s="197"/>
      <c r="T133" s="197"/>
      <c r="U133" s="197"/>
      <c r="V133" s="197"/>
      <c r="W133" s="197"/>
    </row>
    <row r="134" spans="1:23" ht="11.25" customHeight="1">
      <c r="A134" s="1727"/>
      <c r="B134" s="1073"/>
      <c r="C134" s="1721"/>
      <c r="D134" s="1721"/>
      <c r="E134" s="1722"/>
      <c r="F134" s="1723"/>
      <c r="G134" s="1721"/>
      <c r="H134" s="1724"/>
      <c r="I134" s="1725"/>
      <c r="J134" s="1721"/>
      <c r="K134" s="1722"/>
      <c r="L134" s="196"/>
      <c r="M134" s="197"/>
      <c r="N134" s="197"/>
      <c r="O134" s="197"/>
      <c r="P134" s="197"/>
      <c r="Q134" s="197"/>
      <c r="R134" s="197"/>
      <c r="S134" s="197"/>
      <c r="T134" s="197"/>
      <c r="U134" s="197"/>
      <c r="V134" s="197"/>
      <c r="W134" s="197"/>
    </row>
    <row r="135" spans="1:23" ht="11.25" customHeight="1">
      <c r="A135" s="1727"/>
      <c r="B135" s="1073"/>
      <c r="C135" s="1721"/>
      <c r="D135" s="1721"/>
      <c r="E135" s="1722"/>
      <c r="F135" s="1723"/>
      <c r="G135" s="1721"/>
      <c r="H135" s="1724"/>
      <c r="I135" s="1725"/>
      <c r="J135" s="1721"/>
      <c r="K135" s="1722"/>
      <c r="L135" s="196"/>
      <c r="M135" s="197"/>
      <c r="N135" s="197"/>
      <c r="O135" s="197"/>
      <c r="P135" s="197"/>
      <c r="Q135" s="197"/>
      <c r="R135" s="197"/>
      <c r="S135" s="197"/>
      <c r="T135" s="197"/>
      <c r="U135" s="197"/>
      <c r="V135" s="197"/>
      <c r="W135" s="197"/>
    </row>
    <row r="136" spans="1:23" ht="11.25" customHeight="1">
      <c r="A136" s="1727"/>
      <c r="B136" s="1073"/>
      <c r="C136" s="1721"/>
      <c r="D136" s="1721"/>
      <c r="E136" s="1722"/>
      <c r="F136" s="1723"/>
      <c r="G136" s="1721"/>
      <c r="H136" s="1724"/>
      <c r="I136" s="1725"/>
      <c r="J136" s="1721"/>
      <c r="K136" s="1722"/>
      <c r="L136" s="196"/>
      <c r="M136" s="197"/>
      <c r="N136" s="197"/>
      <c r="O136" s="197"/>
      <c r="P136" s="197"/>
      <c r="Q136" s="197"/>
      <c r="R136" s="197"/>
      <c r="S136" s="197"/>
      <c r="T136" s="197"/>
      <c r="U136" s="197"/>
      <c r="V136" s="197"/>
      <c r="W136" s="197"/>
    </row>
    <row r="137" spans="1:23" ht="11.25" customHeight="1">
      <c r="A137" s="1729" t="s">
        <v>1407</v>
      </c>
      <c r="B137" s="1073"/>
      <c r="C137" s="1002">
        <f>SUM(C138:C147)</f>
        <v>0</v>
      </c>
      <c r="D137" s="1002">
        <f t="shared" ref="D137:K137" si="12">SUM(D138:D147)</f>
        <v>0</v>
      </c>
      <c r="E137" s="1003">
        <f t="shared" si="12"/>
        <v>0</v>
      </c>
      <c r="F137" s="1004">
        <f t="shared" si="12"/>
        <v>0</v>
      </c>
      <c r="G137" s="1002">
        <f t="shared" si="12"/>
        <v>0</v>
      </c>
      <c r="H137" s="1005">
        <f t="shared" si="12"/>
        <v>0</v>
      </c>
      <c r="I137" s="1006">
        <f t="shared" si="12"/>
        <v>0</v>
      </c>
      <c r="J137" s="1002">
        <f t="shared" si="12"/>
        <v>0</v>
      </c>
      <c r="K137" s="1003">
        <f t="shared" si="12"/>
        <v>0</v>
      </c>
      <c r="L137" s="196"/>
      <c r="M137" s="197"/>
      <c r="N137" s="197"/>
      <c r="O137" s="197"/>
      <c r="P137" s="197"/>
      <c r="Q137" s="197"/>
      <c r="R137" s="197"/>
      <c r="S137" s="197"/>
      <c r="T137" s="197"/>
      <c r="U137" s="197"/>
      <c r="V137" s="197"/>
      <c r="W137" s="197"/>
    </row>
    <row r="138" spans="1:23" ht="11.25" customHeight="1">
      <c r="A138" s="1727" t="s">
        <v>1403</v>
      </c>
      <c r="B138" s="1073"/>
      <c r="C138" s="1721"/>
      <c r="D138" s="1721"/>
      <c r="E138" s="1722"/>
      <c r="F138" s="1723"/>
      <c r="G138" s="1721"/>
      <c r="H138" s="1724"/>
      <c r="I138" s="1725"/>
      <c r="J138" s="1721"/>
      <c r="K138" s="1722"/>
      <c r="L138" s="196"/>
      <c r="M138" s="197"/>
      <c r="N138" s="197"/>
      <c r="O138" s="197"/>
      <c r="P138" s="197"/>
      <c r="Q138" s="197"/>
      <c r="R138" s="197"/>
      <c r="S138" s="197"/>
      <c r="T138" s="197"/>
      <c r="U138" s="197"/>
      <c r="V138" s="197"/>
      <c r="W138" s="197"/>
    </row>
    <row r="139" spans="1:23" ht="11.25" customHeight="1">
      <c r="A139" s="1727"/>
      <c r="B139" s="1073"/>
      <c r="C139" s="1721"/>
      <c r="D139" s="1721"/>
      <c r="E139" s="1722"/>
      <c r="F139" s="1723"/>
      <c r="G139" s="1721"/>
      <c r="H139" s="1724"/>
      <c r="I139" s="1725"/>
      <c r="J139" s="1721"/>
      <c r="K139" s="1722"/>
      <c r="L139" s="196"/>
      <c r="M139" s="197"/>
      <c r="N139" s="197"/>
      <c r="O139" s="197"/>
      <c r="P139" s="197"/>
      <c r="Q139" s="197"/>
      <c r="R139" s="197"/>
      <c r="S139" s="197"/>
      <c r="T139" s="197"/>
      <c r="U139" s="197"/>
      <c r="V139" s="197"/>
      <c r="W139" s="197"/>
    </row>
    <row r="140" spans="1:23" ht="11.25" customHeight="1">
      <c r="A140" s="1727"/>
      <c r="B140" s="1073"/>
      <c r="C140" s="1721"/>
      <c r="D140" s="1721"/>
      <c r="E140" s="1722"/>
      <c r="F140" s="1723"/>
      <c r="G140" s="1721"/>
      <c r="H140" s="1724"/>
      <c r="I140" s="1725"/>
      <c r="J140" s="1721"/>
      <c r="K140" s="1722"/>
      <c r="L140" s="196"/>
      <c r="M140" s="197"/>
      <c r="N140" s="197"/>
      <c r="O140" s="197"/>
      <c r="P140" s="197"/>
      <c r="Q140" s="197"/>
      <c r="R140" s="197"/>
      <c r="S140" s="197"/>
      <c r="T140" s="197"/>
      <c r="U140" s="197"/>
      <c r="V140" s="197"/>
      <c r="W140" s="197"/>
    </row>
    <row r="141" spans="1:23" ht="11.25" customHeight="1">
      <c r="A141" s="1727"/>
      <c r="B141" s="1073"/>
      <c r="C141" s="1721"/>
      <c r="D141" s="1721"/>
      <c r="E141" s="1722"/>
      <c r="F141" s="1723"/>
      <c r="G141" s="1721"/>
      <c r="H141" s="1724"/>
      <c r="I141" s="1725"/>
      <c r="J141" s="1721"/>
      <c r="K141" s="1722"/>
      <c r="L141" s="196"/>
      <c r="M141" s="197"/>
      <c r="N141" s="197"/>
      <c r="O141" s="197"/>
      <c r="P141" s="197"/>
      <c r="Q141" s="197"/>
      <c r="R141" s="197"/>
      <c r="S141" s="197"/>
      <c r="T141" s="197"/>
      <c r="U141" s="197"/>
      <c r="V141" s="197"/>
      <c r="W141" s="197"/>
    </row>
    <row r="142" spans="1:23" ht="11.25" customHeight="1">
      <c r="A142" s="1727"/>
      <c r="B142" s="1073"/>
      <c r="C142" s="1721"/>
      <c r="D142" s="1721"/>
      <c r="E142" s="1722"/>
      <c r="F142" s="1723"/>
      <c r="G142" s="1721"/>
      <c r="H142" s="1724"/>
      <c r="I142" s="1725"/>
      <c r="J142" s="1721"/>
      <c r="K142" s="1722"/>
      <c r="L142" s="196"/>
      <c r="M142" s="197"/>
      <c r="N142" s="197"/>
      <c r="O142" s="197"/>
      <c r="P142" s="197"/>
      <c r="Q142" s="197"/>
      <c r="R142" s="197"/>
      <c r="S142" s="197"/>
      <c r="T142" s="197"/>
      <c r="U142" s="197"/>
      <c r="V142" s="197"/>
      <c r="W142" s="197"/>
    </row>
    <row r="143" spans="1:23" ht="11.25" customHeight="1">
      <c r="A143" s="1727"/>
      <c r="B143" s="1073"/>
      <c r="C143" s="1721"/>
      <c r="D143" s="1721"/>
      <c r="E143" s="1722"/>
      <c r="F143" s="1723"/>
      <c r="G143" s="1721"/>
      <c r="H143" s="1724"/>
      <c r="I143" s="1725"/>
      <c r="J143" s="1721"/>
      <c r="K143" s="1722"/>
      <c r="L143" s="196"/>
      <c r="M143" s="197"/>
      <c r="N143" s="197"/>
      <c r="O143" s="197"/>
      <c r="P143" s="197"/>
      <c r="Q143" s="197"/>
      <c r="R143" s="197"/>
      <c r="S143" s="197"/>
      <c r="T143" s="197"/>
      <c r="U143" s="197"/>
      <c r="V143" s="197"/>
      <c r="W143" s="197"/>
    </row>
    <row r="144" spans="1:23" ht="11.25" customHeight="1">
      <c r="A144" s="1727"/>
      <c r="B144" s="1073"/>
      <c r="C144" s="1721"/>
      <c r="D144" s="1721"/>
      <c r="E144" s="1722"/>
      <c r="F144" s="1723"/>
      <c r="G144" s="1721"/>
      <c r="H144" s="1724"/>
      <c r="I144" s="1725"/>
      <c r="J144" s="1721"/>
      <c r="K144" s="1722"/>
      <c r="L144" s="196"/>
      <c r="M144" s="197"/>
      <c r="N144" s="197"/>
      <c r="O144" s="197"/>
      <c r="P144" s="197"/>
      <c r="Q144" s="197"/>
      <c r="R144" s="197"/>
      <c r="S144" s="197"/>
      <c r="T144" s="197"/>
      <c r="U144" s="197"/>
      <c r="V144" s="197"/>
      <c r="W144" s="197"/>
    </row>
    <row r="145" spans="1:23" ht="11.25" customHeight="1">
      <c r="A145" s="1727"/>
      <c r="B145" s="1073"/>
      <c r="C145" s="1721"/>
      <c r="D145" s="1721"/>
      <c r="E145" s="1722"/>
      <c r="F145" s="1723"/>
      <c r="G145" s="1721"/>
      <c r="H145" s="1724"/>
      <c r="I145" s="1725"/>
      <c r="J145" s="1721"/>
      <c r="K145" s="1722"/>
      <c r="L145" s="196"/>
      <c r="M145" s="197"/>
      <c r="N145" s="197"/>
      <c r="O145" s="197"/>
      <c r="P145" s="197"/>
      <c r="Q145" s="197"/>
      <c r="R145" s="197"/>
      <c r="S145" s="197"/>
      <c r="T145" s="197"/>
      <c r="U145" s="197"/>
      <c r="V145" s="197"/>
      <c r="W145" s="197"/>
    </row>
    <row r="146" spans="1:23" ht="11.25" customHeight="1">
      <c r="A146" s="1727"/>
      <c r="B146" s="1073"/>
      <c r="C146" s="1721"/>
      <c r="D146" s="1721"/>
      <c r="E146" s="1722"/>
      <c r="F146" s="1723"/>
      <c r="G146" s="1721"/>
      <c r="H146" s="1724"/>
      <c r="I146" s="1725"/>
      <c r="J146" s="1721"/>
      <c r="K146" s="1722"/>
      <c r="L146" s="196"/>
      <c r="M146" s="197"/>
      <c r="N146" s="197"/>
      <c r="O146" s="197"/>
      <c r="P146" s="197"/>
      <c r="Q146" s="197"/>
      <c r="R146" s="197"/>
      <c r="S146" s="197"/>
      <c r="T146" s="197"/>
      <c r="U146" s="197"/>
      <c r="V146" s="197"/>
      <c r="W146" s="197"/>
    </row>
    <row r="147" spans="1:23" ht="11.25" customHeight="1">
      <c r="A147" s="1727"/>
      <c r="B147" s="1073"/>
      <c r="C147" s="1721"/>
      <c r="D147" s="1721"/>
      <c r="E147" s="1722"/>
      <c r="F147" s="1723"/>
      <c r="G147" s="1721"/>
      <c r="H147" s="1724"/>
      <c r="I147" s="1725"/>
      <c r="J147" s="1721"/>
      <c r="K147" s="1722"/>
      <c r="L147" s="196"/>
      <c r="M147" s="197"/>
      <c r="N147" s="197"/>
      <c r="O147" s="197"/>
      <c r="P147" s="197"/>
      <c r="Q147" s="197"/>
      <c r="R147" s="197"/>
      <c r="S147" s="197"/>
      <c r="T147" s="197"/>
      <c r="U147" s="197"/>
      <c r="V147" s="197"/>
      <c r="W147" s="197"/>
    </row>
    <row r="148" spans="1:23" ht="11.25" customHeight="1">
      <c r="A148" s="1729" t="s">
        <v>1408</v>
      </c>
      <c r="B148" s="1073"/>
      <c r="C148" s="1002">
        <f>SUM(C149:C158)</f>
        <v>0</v>
      </c>
      <c r="D148" s="1002">
        <f t="shared" ref="D148:K148" si="13">SUM(D149:D158)</f>
        <v>0</v>
      </c>
      <c r="E148" s="1003">
        <f t="shared" si="13"/>
        <v>0</v>
      </c>
      <c r="F148" s="1004">
        <f t="shared" si="13"/>
        <v>0</v>
      </c>
      <c r="G148" s="1002">
        <f t="shared" si="13"/>
        <v>0</v>
      </c>
      <c r="H148" s="1005">
        <f t="shared" si="13"/>
        <v>0</v>
      </c>
      <c r="I148" s="1006">
        <f t="shared" si="13"/>
        <v>0</v>
      </c>
      <c r="J148" s="1002">
        <f t="shared" si="13"/>
        <v>0</v>
      </c>
      <c r="K148" s="1003">
        <f t="shared" si="13"/>
        <v>0</v>
      </c>
      <c r="L148" s="196"/>
      <c r="M148" s="197"/>
      <c r="N148" s="197"/>
      <c r="O148" s="197"/>
      <c r="P148" s="197"/>
      <c r="Q148" s="197"/>
      <c r="R148" s="197"/>
      <c r="S148" s="197"/>
      <c r="T148" s="197"/>
      <c r="U148" s="197"/>
      <c r="V148" s="197"/>
      <c r="W148" s="197"/>
    </row>
    <row r="149" spans="1:23" ht="11.25" customHeight="1">
      <c r="A149" s="1727" t="s">
        <v>1404</v>
      </c>
      <c r="B149" s="1073"/>
      <c r="C149" s="1721"/>
      <c r="D149" s="1721"/>
      <c r="E149" s="1722"/>
      <c r="F149" s="1723"/>
      <c r="G149" s="1721"/>
      <c r="H149" s="1724"/>
      <c r="I149" s="1725"/>
      <c r="J149" s="1721"/>
      <c r="K149" s="1722"/>
      <c r="L149" s="196"/>
      <c r="M149" s="197"/>
      <c r="N149" s="197"/>
      <c r="O149" s="197"/>
      <c r="P149" s="197"/>
      <c r="Q149" s="197"/>
      <c r="R149" s="197"/>
      <c r="S149" s="197"/>
      <c r="T149" s="197"/>
      <c r="U149" s="197"/>
      <c r="V149" s="197"/>
      <c r="W149" s="197"/>
    </row>
    <row r="150" spans="1:23" ht="11.25" customHeight="1">
      <c r="A150" s="1727"/>
      <c r="B150" s="1073"/>
      <c r="C150" s="1721"/>
      <c r="D150" s="1721"/>
      <c r="E150" s="1722"/>
      <c r="F150" s="1723"/>
      <c r="G150" s="1721"/>
      <c r="H150" s="1724"/>
      <c r="I150" s="1725"/>
      <c r="J150" s="1721"/>
      <c r="K150" s="1722"/>
      <c r="L150" s="196"/>
      <c r="M150" s="197"/>
      <c r="N150" s="197"/>
      <c r="O150" s="197"/>
      <c r="P150" s="197"/>
      <c r="Q150" s="197"/>
      <c r="R150" s="197"/>
      <c r="S150" s="197"/>
      <c r="T150" s="197"/>
      <c r="U150" s="197"/>
      <c r="V150" s="197"/>
      <c r="W150" s="197"/>
    </row>
    <row r="151" spans="1:23" ht="11.25" customHeight="1">
      <c r="A151" s="1727"/>
      <c r="B151" s="1073"/>
      <c r="C151" s="1721"/>
      <c r="D151" s="1721"/>
      <c r="E151" s="1722"/>
      <c r="F151" s="1723"/>
      <c r="G151" s="1721"/>
      <c r="H151" s="1724"/>
      <c r="I151" s="1725"/>
      <c r="J151" s="1721"/>
      <c r="K151" s="1722"/>
      <c r="L151" s="196"/>
      <c r="M151" s="197"/>
      <c r="N151" s="197"/>
      <c r="O151" s="197"/>
      <c r="P151" s="197"/>
      <c r="Q151" s="197"/>
      <c r="R151" s="197"/>
      <c r="S151" s="197"/>
      <c r="T151" s="197"/>
      <c r="U151" s="197"/>
      <c r="V151" s="197"/>
      <c r="W151" s="197"/>
    </row>
    <row r="152" spans="1:23" ht="11.25" customHeight="1">
      <c r="A152" s="1727"/>
      <c r="B152" s="1073"/>
      <c r="C152" s="1721"/>
      <c r="D152" s="1721"/>
      <c r="E152" s="1722"/>
      <c r="F152" s="1723"/>
      <c r="G152" s="1721"/>
      <c r="H152" s="1724"/>
      <c r="I152" s="1725"/>
      <c r="J152" s="1721"/>
      <c r="K152" s="1722"/>
      <c r="L152" s="196"/>
      <c r="M152" s="197"/>
      <c r="N152" s="197"/>
      <c r="O152" s="197"/>
      <c r="P152" s="197"/>
      <c r="Q152" s="197"/>
      <c r="R152" s="197"/>
      <c r="S152" s="197"/>
      <c r="T152" s="197"/>
      <c r="U152" s="197"/>
      <c r="V152" s="197"/>
      <c r="W152" s="197"/>
    </row>
    <row r="153" spans="1:23" ht="11.25" customHeight="1">
      <c r="A153" s="1727"/>
      <c r="B153" s="1073"/>
      <c r="C153" s="1721"/>
      <c r="D153" s="1721"/>
      <c r="E153" s="1722"/>
      <c r="F153" s="1723"/>
      <c r="G153" s="1721"/>
      <c r="H153" s="1724"/>
      <c r="I153" s="1725"/>
      <c r="J153" s="1721"/>
      <c r="K153" s="1722"/>
      <c r="L153" s="196"/>
      <c r="M153" s="197"/>
      <c r="N153" s="197"/>
      <c r="O153" s="197"/>
      <c r="P153" s="197"/>
      <c r="Q153" s="197"/>
      <c r="R153" s="197"/>
      <c r="S153" s="197"/>
      <c r="T153" s="197"/>
      <c r="U153" s="197"/>
      <c r="V153" s="197"/>
      <c r="W153" s="197"/>
    </row>
    <row r="154" spans="1:23" ht="11.25" customHeight="1">
      <c r="A154" s="1727"/>
      <c r="B154" s="1073"/>
      <c r="C154" s="1721"/>
      <c r="D154" s="1721"/>
      <c r="E154" s="1722"/>
      <c r="F154" s="1723"/>
      <c r="G154" s="1721"/>
      <c r="H154" s="1724"/>
      <c r="I154" s="1725"/>
      <c r="J154" s="1721"/>
      <c r="K154" s="1722"/>
      <c r="L154" s="196"/>
      <c r="M154" s="197"/>
      <c r="N154" s="197"/>
      <c r="O154" s="197"/>
      <c r="P154" s="197"/>
      <c r="Q154" s="197"/>
      <c r="R154" s="197"/>
      <c r="S154" s="197"/>
      <c r="T154" s="197"/>
      <c r="U154" s="197"/>
      <c r="V154" s="197"/>
      <c r="W154" s="197"/>
    </row>
    <row r="155" spans="1:23" ht="11.25" customHeight="1">
      <c r="A155" s="1727"/>
      <c r="B155" s="1073"/>
      <c r="C155" s="1721"/>
      <c r="D155" s="1721"/>
      <c r="E155" s="1722"/>
      <c r="F155" s="1723"/>
      <c r="G155" s="1721"/>
      <c r="H155" s="1724"/>
      <c r="I155" s="1725"/>
      <c r="J155" s="1721"/>
      <c r="K155" s="1722"/>
      <c r="L155" s="196"/>
      <c r="M155" s="197"/>
      <c r="N155" s="197"/>
      <c r="O155" s="197"/>
      <c r="P155" s="197"/>
      <c r="Q155" s="197"/>
      <c r="R155" s="197"/>
      <c r="S155" s="197"/>
      <c r="T155" s="197"/>
      <c r="U155" s="197"/>
      <c r="V155" s="197"/>
      <c r="W155" s="197"/>
    </row>
    <row r="156" spans="1:23" ht="11.25" customHeight="1">
      <c r="A156" s="1727"/>
      <c r="B156" s="1073"/>
      <c r="C156" s="1721"/>
      <c r="D156" s="1721"/>
      <c r="E156" s="1722"/>
      <c r="F156" s="1723"/>
      <c r="G156" s="1721"/>
      <c r="H156" s="1724"/>
      <c r="I156" s="1725"/>
      <c r="J156" s="1721"/>
      <c r="K156" s="1722"/>
      <c r="L156" s="196"/>
      <c r="M156" s="197"/>
      <c r="N156" s="197"/>
      <c r="O156" s="197"/>
      <c r="P156" s="197"/>
      <c r="Q156" s="197"/>
      <c r="R156" s="197"/>
      <c r="S156" s="197"/>
      <c r="T156" s="197"/>
      <c r="U156" s="197"/>
      <c r="V156" s="197"/>
      <c r="W156" s="197"/>
    </row>
    <row r="157" spans="1:23" ht="11.25" customHeight="1">
      <c r="A157" s="1727"/>
      <c r="B157" s="1073"/>
      <c r="C157" s="1721"/>
      <c r="D157" s="1721"/>
      <c r="E157" s="1722"/>
      <c r="F157" s="1723"/>
      <c r="G157" s="1721"/>
      <c r="H157" s="1724"/>
      <c r="I157" s="1725"/>
      <c r="J157" s="1721"/>
      <c r="K157" s="1722"/>
      <c r="L157" s="196"/>
      <c r="M157" s="197"/>
      <c r="N157" s="197"/>
      <c r="O157" s="197"/>
      <c r="P157" s="197"/>
      <c r="Q157" s="197"/>
      <c r="R157" s="197"/>
      <c r="S157" s="197"/>
      <c r="T157" s="197"/>
      <c r="U157" s="197"/>
      <c r="V157" s="197"/>
      <c r="W157" s="197"/>
    </row>
    <row r="158" spans="1:23" ht="11.25" customHeight="1">
      <c r="A158" s="1727"/>
      <c r="B158" s="1073"/>
      <c r="C158" s="1721"/>
      <c r="D158" s="1721"/>
      <c r="E158" s="1722"/>
      <c r="F158" s="1723"/>
      <c r="G158" s="1721"/>
      <c r="H158" s="1724"/>
      <c r="I158" s="1725"/>
      <c r="J158" s="1721"/>
      <c r="K158" s="1722"/>
      <c r="L158" s="196"/>
      <c r="M158" s="197"/>
      <c r="N158" s="197"/>
      <c r="O158" s="197"/>
      <c r="P158" s="197"/>
      <c r="Q158" s="197"/>
      <c r="R158" s="197"/>
      <c r="S158" s="197"/>
      <c r="T158" s="197"/>
      <c r="U158" s="197"/>
      <c r="V158" s="197"/>
      <c r="W158" s="197"/>
    </row>
    <row r="159" spans="1:23" ht="11.25" customHeight="1">
      <c r="A159" s="1729" t="s">
        <v>1409</v>
      </c>
      <c r="B159" s="1073"/>
      <c r="C159" s="1002">
        <f>SUM(C160:C169)</f>
        <v>0</v>
      </c>
      <c r="D159" s="1002">
        <f t="shared" ref="D159:K159" si="14">SUM(D160:D169)</f>
        <v>0</v>
      </c>
      <c r="E159" s="1003">
        <f t="shared" si="14"/>
        <v>0</v>
      </c>
      <c r="F159" s="1004">
        <f t="shared" si="14"/>
        <v>0</v>
      </c>
      <c r="G159" s="1002">
        <f t="shared" si="14"/>
        <v>0</v>
      </c>
      <c r="H159" s="1005">
        <f t="shared" si="14"/>
        <v>0</v>
      </c>
      <c r="I159" s="1006">
        <f t="shared" si="14"/>
        <v>0</v>
      </c>
      <c r="J159" s="1002">
        <f t="shared" si="14"/>
        <v>0</v>
      </c>
      <c r="K159" s="1003">
        <f t="shared" si="14"/>
        <v>0</v>
      </c>
      <c r="L159" s="196"/>
      <c r="M159" s="197"/>
      <c r="N159" s="197"/>
      <c r="O159" s="197"/>
      <c r="P159" s="197"/>
      <c r="Q159" s="197"/>
      <c r="R159" s="197"/>
      <c r="S159" s="197"/>
      <c r="T159" s="197"/>
      <c r="U159" s="197"/>
      <c r="V159" s="197"/>
      <c r="W159" s="197"/>
    </row>
    <row r="160" spans="1:23" ht="11.25" customHeight="1">
      <c r="A160" s="1727" t="s">
        <v>1405</v>
      </c>
      <c r="B160" s="1073"/>
      <c r="C160" s="1721"/>
      <c r="D160" s="1721"/>
      <c r="E160" s="1722"/>
      <c r="F160" s="1723"/>
      <c r="G160" s="1721"/>
      <c r="H160" s="1724"/>
      <c r="I160" s="1725"/>
      <c r="J160" s="1721"/>
      <c r="K160" s="1722"/>
      <c r="L160" s="196"/>
      <c r="M160" s="197"/>
      <c r="N160" s="197"/>
      <c r="O160" s="197"/>
      <c r="P160" s="197"/>
      <c r="Q160" s="197"/>
      <c r="R160" s="197"/>
      <c r="S160" s="197"/>
      <c r="T160" s="197"/>
      <c r="U160" s="197"/>
      <c r="V160" s="197"/>
      <c r="W160" s="197"/>
    </row>
    <row r="161" spans="1:23" ht="11.25" customHeight="1">
      <c r="A161" s="1727"/>
      <c r="B161" s="1073"/>
      <c r="C161" s="1721"/>
      <c r="D161" s="1721"/>
      <c r="E161" s="1722"/>
      <c r="F161" s="1723"/>
      <c r="G161" s="1721"/>
      <c r="H161" s="1724"/>
      <c r="I161" s="1725"/>
      <c r="J161" s="1721"/>
      <c r="K161" s="1722"/>
      <c r="L161" s="196"/>
      <c r="M161" s="197"/>
      <c r="N161" s="197"/>
      <c r="O161" s="197"/>
      <c r="P161" s="197"/>
      <c r="Q161" s="197"/>
      <c r="R161" s="197"/>
      <c r="S161" s="197"/>
      <c r="T161" s="197"/>
      <c r="U161" s="197"/>
      <c r="V161" s="197"/>
      <c r="W161" s="197"/>
    </row>
    <row r="162" spans="1:23" ht="11.25" customHeight="1">
      <c r="A162" s="1727"/>
      <c r="B162" s="1073"/>
      <c r="C162" s="1721"/>
      <c r="D162" s="1721"/>
      <c r="E162" s="1722"/>
      <c r="F162" s="1723"/>
      <c r="G162" s="1721"/>
      <c r="H162" s="1724"/>
      <c r="I162" s="1725"/>
      <c r="J162" s="1721"/>
      <c r="K162" s="1722"/>
      <c r="L162" s="196"/>
      <c r="M162" s="197"/>
      <c r="N162" s="197"/>
      <c r="O162" s="197"/>
      <c r="P162" s="197"/>
      <c r="Q162" s="197"/>
      <c r="R162" s="197"/>
      <c r="S162" s="197"/>
      <c r="T162" s="197"/>
      <c r="U162" s="197"/>
      <c r="V162" s="197"/>
      <c r="W162" s="197"/>
    </row>
    <row r="163" spans="1:23" ht="11.25" customHeight="1">
      <c r="A163" s="1727"/>
      <c r="B163" s="1073"/>
      <c r="C163" s="1721"/>
      <c r="D163" s="1721"/>
      <c r="E163" s="1722"/>
      <c r="F163" s="1723"/>
      <c r="G163" s="1721"/>
      <c r="H163" s="1724"/>
      <c r="I163" s="1725"/>
      <c r="J163" s="1721"/>
      <c r="K163" s="1722"/>
      <c r="L163" s="196"/>
      <c r="M163" s="197"/>
      <c r="N163" s="197"/>
      <c r="O163" s="197"/>
      <c r="P163" s="197"/>
      <c r="Q163" s="197"/>
      <c r="R163" s="197"/>
      <c r="S163" s="197"/>
      <c r="T163" s="197"/>
      <c r="U163" s="197"/>
      <c r="V163" s="197"/>
      <c r="W163" s="197"/>
    </row>
    <row r="164" spans="1:23" ht="11.25" customHeight="1">
      <c r="A164" s="1727"/>
      <c r="B164" s="1073"/>
      <c r="C164" s="1721"/>
      <c r="D164" s="1721"/>
      <c r="E164" s="1722"/>
      <c r="F164" s="1723"/>
      <c r="G164" s="1721"/>
      <c r="H164" s="1724"/>
      <c r="I164" s="1725"/>
      <c r="J164" s="1721"/>
      <c r="K164" s="1722"/>
      <c r="L164" s="196"/>
      <c r="M164" s="197"/>
      <c r="N164" s="197"/>
      <c r="O164" s="197"/>
      <c r="P164" s="197"/>
      <c r="Q164" s="197"/>
      <c r="R164" s="197"/>
      <c r="S164" s="197"/>
      <c r="T164" s="197"/>
      <c r="U164" s="197"/>
      <c r="V164" s="197"/>
      <c r="W164" s="197"/>
    </row>
    <row r="165" spans="1:23" ht="11.25" customHeight="1">
      <c r="A165" s="1727"/>
      <c r="B165" s="1073"/>
      <c r="C165" s="1721"/>
      <c r="D165" s="1721"/>
      <c r="E165" s="1722"/>
      <c r="F165" s="1723"/>
      <c r="G165" s="1721"/>
      <c r="H165" s="1724"/>
      <c r="I165" s="1725"/>
      <c r="J165" s="1721"/>
      <c r="K165" s="1722"/>
      <c r="L165" s="196"/>
      <c r="M165" s="197"/>
      <c r="N165" s="197"/>
      <c r="O165" s="197"/>
      <c r="P165" s="197"/>
      <c r="Q165" s="197"/>
      <c r="R165" s="197"/>
      <c r="S165" s="197"/>
      <c r="T165" s="197"/>
      <c r="U165" s="197"/>
      <c r="V165" s="197"/>
      <c r="W165" s="197"/>
    </row>
    <row r="166" spans="1:23" ht="11.25" customHeight="1">
      <c r="A166" s="1727"/>
      <c r="B166" s="1073"/>
      <c r="C166" s="1721"/>
      <c r="D166" s="1721"/>
      <c r="E166" s="1722"/>
      <c r="F166" s="1723"/>
      <c r="G166" s="1721"/>
      <c r="H166" s="1724"/>
      <c r="I166" s="1725"/>
      <c r="J166" s="1721"/>
      <c r="K166" s="1722"/>
      <c r="L166" s="196"/>
      <c r="M166" s="197"/>
      <c r="N166" s="197"/>
      <c r="O166" s="197"/>
      <c r="P166" s="197"/>
      <c r="Q166" s="197"/>
      <c r="R166" s="197"/>
      <c r="S166" s="197"/>
      <c r="T166" s="197"/>
      <c r="U166" s="197"/>
      <c r="V166" s="197"/>
      <c r="W166" s="197"/>
    </row>
    <row r="167" spans="1:23" ht="11.25" customHeight="1">
      <c r="A167" s="1727"/>
      <c r="B167" s="1073"/>
      <c r="C167" s="1721"/>
      <c r="D167" s="1721"/>
      <c r="E167" s="1722"/>
      <c r="F167" s="1723"/>
      <c r="G167" s="1721"/>
      <c r="H167" s="1724"/>
      <c r="I167" s="1725"/>
      <c r="J167" s="1721"/>
      <c r="K167" s="1722"/>
      <c r="L167" s="196"/>
      <c r="M167" s="197"/>
      <c r="N167" s="197"/>
      <c r="O167" s="197"/>
      <c r="P167" s="197"/>
      <c r="Q167" s="197"/>
      <c r="R167" s="197"/>
      <c r="S167" s="197"/>
      <c r="T167" s="197"/>
      <c r="U167" s="197"/>
      <c r="V167" s="197"/>
      <c r="W167" s="197"/>
    </row>
    <row r="168" spans="1:23" ht="11.25" customHeight="1">
      <c r="A168" s="1727"/>
      <c r="B168" s="1073"/>
      <c r="C168" s="1721"/>
      <c r="D168" s="1721"/>
      <c r="E168" s="1722"/>
      <c r="F168" s="1723"/>
      <c r="G168" s="1721"/>
      <c r="H168" s="1724"/>
      <c r="I168" s="1725"/>
      <c r="J168" s="1721"/>
      <c r="K168" s="1722"/>
      <c r="L168" s="196"/>
      <c r="M168" s="197"/>
      <c r="N168" s="197"/>
      <c r="O168" s="197"/>
      <c r="P168" s="197"/>
      <c r="Q168" s="197"/>
      <c r="R168" s="197"/>
      <c r="S168" s="197"/>
      <c r="T168" s="197"/>
      <c r="U168" s="197"/>
      <c r="V168" s="197"/>
      <c r="W168" s="197"/>
    </row>
    <row r="169" spans="1:23" ht="11.25" customHeight="1">
      <c r="A169" s="1727"/>
      <c r="B169" s="1073"/>
      <c r="C169" s="1721"/>
      <c r="D169" s="1721"/>
      <c r="E169" s="1722"/>
      <c r="F169" s="1723"/>
      <c r="G169" s="1721"/>
      <c r="H169" s="1724"/>
      <c r="I169" s="1725"/>
      <c r="J169" s="1721"/>
      <c r="K169" s="1722"/>
      <c r="L169" s="196"/>
      <c r="M169" s="197"/>
      <c r="N169" s="197"/>
      <c r="O169" s="197"/>
      <c r="P169" s="197"/>
      <c r="Q169" s="197"/>
      <c r="R169" s="197"/>
      <c r="S169" s="197"/>
      <c r="T169" s="197"/>
      <c r="U169" s="197"/>
      <c r="V169" s="197"/>
      <c r="W169" s="197"/>
    </row>
    <row r="170" spans="1:23" ht="11.25" customHeight="1">
      <c r="A170" s="1258" t="s">
        <v>186</v>
      </c>
      <c r="B170" s="1231">
        <v>2</v>
      </c>
      <c r="C170" s="1259">
        <f t="shared" ref="C170:K170" si="15">C5+C16+C27+C38+C49+C60+C71+C82+C93+C104+C115+C126+C137+C148+C159</f>
        <v>0</v>
      </c>
      <c r="D170" s="1259">
        <f t="shared" si="15"/>
        <v>0</v>
      </c>
      <c r="E170" s="1260">
        <f t="shared" si="15"/>
        <v>2506169439</v>
      </c>
      <c r="F170" s="1261">
        <f t="shared" si="15"/>
        <v>2388408978</v>
      </c>
      <c r="G170" s="1259">
        <f t="shared" si="15"/>
        <v>3035568222</v>
      </c>
      <c r="H170" s="1262">
        <f t="shared" si="15"/>
        <v>3035568222</v>
      </c>
      <c r="I170" s="1263">
        <f t="shared" si="15"/>
        <v>3339196373</v>
      </c>
      <c r="J170" s="1259">
        <f t="shared" si="15"/>
        <v>3551208162</v>
      </c>
      <c r="K170" s="1260">
        <f t="shared" si="15"/>
        <v>3711691028</v>
      </c>
      <c r="L170" s="200">
        <f t="shared" ref="L170:W170" si="16">SUM(L78:L81)</f>
        <v>0</v>
      </c>
      <c r="M170" s="201">
        <f t="shared" si="16"/>
        <v>0</v>
      </c>
      <c r="N170" s="201">
        <f t="shared" si="16"/>
        <v>0</v>
      </c>
      <c r="O170" s="201">
        <f t="shared" si="16"/>
        <v>0</v>
      </c>
      <c r="P170" s="201">
        <f t="shared" si="16"/>
        <v>0</v>
      </c>
      <c r="Q170" s="201">
        <f t="shared" si="16"/>
        <v>0</v>
      </c>
      <c r="R170" s="201">
        <f t="shared" si="16"/>
        <v>0</v>
      </c>
      <c r="S170" s="201">
        <f t="shared" si="16"/>
        <v>0</v>
      </c>
      <c r="T170" s="201">
        <f t="shared" si="16"/>
        <v>0</v>
      </c>
      <c r="U170" s="201">
        <f t="shared" si="16"/>
        <v>0</v>
      </c>
      <c r="V170" s="201">
        <f t="shared" si="16"/>
        <v>0</v>
      </c>
      <c r="W170" s="201">
        <f t="shared" si="16"/>
        <v>0</v>
      </c>
    </row>
    <row r="171" spans="1:23" ht="5.0999999999999996" customHeight="1">
      <c r="A171" s="1285"/>
      <c r="B171" s="1286"/>
      <c r="C171" s="1287"/>
      <c r="D171" s="1287"/>
      <c r="E171" s="1288"/>
      <c r="F171" s="1289"/>
      <c r="G171" s="1287"/>
      <c r="H171" s="1290"/>
      <c r="I171" s="1291"/>
      <c r="J171" s="1287"/>
      <c r="K171" s="1288"/>
      <c r="L171" s="196"/>
      <c r="M171" s="197"/>
      <c r="N171" s="197"/>
      <c r="O171" s="197"/>
      <c r="P171" s="197"/>
      <c r="Q171" s="197"/>
      <c r="R171" s="197"/>
      <c r="S171" s="197"/>
      <c r="T171" s="197"/>
      <c r="U171" s="197"/>
      <c r="V171" s="197"/>
      <c r="W171" s="197"/>
    </row>
    <row r="172" spans="1:23" ht="11.25" customHeight="1">
      <c r="A172" s="1292" t="s">
        <v>452</v>
      </c>
      <c r="B172" s="1293">
        <v>1</v>
      </c>
      <c r="C172" s="1294"/>
      <c r="D172" s="1294"/>
      <c r="E172" s="1295"/>
      <c r="F172" s="1296"/>
      <c r="G172" s="1294"/>
      <c r="H172" s="1297"/>
      <c r="I172" s="1298"/>
      <c r="J172" s="1294"/>
      <c r="K172" s="1295"/>
      <c r="L172" s="196"/>
      <c r="M172" s="197"/>
      <c r="N172" s="197"/>
      <c r="O172" s="197"/>
      <c r="P172" s="197"/>
      <c r="Q172" s="197"/>
      <c r="R172" s="197"/>
      <c r="S172" s="197"/>
      <c r="T172" s="197"/>
      <c r="U172" s="197"/>
      <c r="V172" s="197"/>
      <c r="W172" s="197"/>
    </row>
    <row r="173" spans="1:23" ht="11.25" customHeight="1">
      <c r="A173" s="1209" t="str">
        <f>A5</f>
        <v>Vote 1 - Corporate Services and Planning</v>
      </c>
      <c r="B173" s="1299"/>
      <c r="C173" s="1300">
        <f t="shared" ref="C173:K173" si="17">SUM(C174:C183)</f>
        <v>0</v>
      </c>
      <c r="D173" s="1300">
        <f t="shared" si="17"/>
        <v>0</v>
      </c>
      <c r="E173" s="1301">
        <f t="shared" si="17"/>
        <v>16911750</v>
      </c>
      <c r="F173" s="1302">
        <f>SUM(F174:F183)</f>
        <v>17682105</v>
      </c>
      <c r="G173" s="1300">
        <f t="shared" si="17"/>
        <v>26933708</v>
      </c>
      <c r="H173" s="1303">
        <f t="shared" si="17"/>
        <v>26933708</v>
      </c>
      <c r="I173" s="1304">
        <f t="shared" si="17"/>
        <v>213713221</v>
      </c>
      <c r="J173" s="1300">
        <f t="shared" si="17"/>
        <v>259102064</v>
      </c>
      <c r="K173" s="1301">
        <f t="shared" si="17"/>
        <v>288090735</v>
      </c>
      <c r="L173" s="196"/>
      <c r="M173" s="197"/>
      <c r="N173" s="197"/>
      <c r="O173" s="197"/>
      <c r="P173" s="197"/>
      <c r="Q173" s="197"/>
      <c r="R173" s="197"/>
      <c r="S173" s="197"/>
      <c r="T173" s="197"/>
      <c r="U173" s="197"/>
      <c r="V173" s="197"/>
      <c r="W173" s="197"/>
    </row>
    <row r="174" spans="1:23" ht="11.25" customHeight="1">
      <c r="A174" s="1210" t="str">
        <f t="shared" ref="A174:A183" si="18">A6</f>
        <v>Council and Committee Support</v>
      </c>
      <c r="B174" s="1073"/>
      <c r="C174" s="1708"/>
      <c r="D174" s="1708"/>
      <c r="E174" s="1730">
        <v>47429</v>
      </c>
      <c r="F174" s="1731">
        <v>332359</v>
      </c>
      <c r="G174" s="1708">
        <v>4775085</v>
      </c>
      <c r="H174" s="1708">
        <v>4775085</v>
      </c>
      <c r="I174" s="1710">
        <v>74947977</v>
      </c>
      <c r="J174" s="1708">
        <v>84049842</v>
      </c>
      <c r="K174" s="1730">
        <v>102388066</v>
      </c>
      <c r="L174" s="196"/>
      <c r="M174" s="197"/>
      <c r="N174" s="197"/>
      <c r="O174" s="197"/>
      <c r="P174" s="197"/>
      <c r="Q174" s="197"/>
      <c r="R174" s="197"/>
      <c r="S174" s="197"/>
      <c r="T174" s="197"/>
      <c r="U174" s="197"/>
      <c r="V174" s="197"/>
      <c r="W174" s="197"/>
    </row>
    <row r="175" spans="1:23" ht="11.25" customHeight="1">
      <c r="A175" s="1210" t="str">
        <f t="shared" si="18"/>
        <v>Enterprise  Wide Risk Management &amp; Audit and Compliance</v>
      </c>
      <c r="B175" s="1073"/>
      <c r="C175" s="1708"/>
      <c r="D175" s="1708"/>
      <c r="E175" s="1730"/>
      <c r="F175" s="1731"/>
      <c r="G175" s="1708">
        <v>-599228</v>
      </c>
      <c r="H175" s="1708">
        <v>-599228</v>
      </c>
      <c r="I175" s="1710">
        <v>4745034</v>
      </c>
      <c r="J175" s="1708">
        <v>5037127</v>
      </c>
      <c r="K175" s="1730">
        <v>5352404</v>
      </c>
      <c r="L175" s="196"/>
      <c r="M175" s="197"/>
      <c r="N175" s="197"/>
      <c r="O175" s="197"/>
      <c r="P175" s="197"/>
      <c r="Q175" s="197"/>
      <c r="R175" s="197"/>
      <c r="S175" s="197"/>
      <c r="T175" s="197"/>
      <c r="U175" s="197"/>
      <c r="V175" s="197"/>
      <c r="W175" s="197"/>
    </row>
    <row r="176" spans="1:23" ht="11.25" customHeight="1">
      <c r="A176" s="1210" t="str">
        <f t="shared" si="18"/>
        <v>Human Resources Management</v>
      </c>
      <c r="B176" s="1073"/>
      <c r="C176" s="1708"/>
      <c r="D176" s="1708"/>
      <c r="E176" s="1730">
        <v>3594605</v>
      </c>
      <c r="F176" s="1731">
        <v>1899239</v>
      </c>
      <c r="G176" s="1708">
        <v>3869133</v>
      </c>
      <c r="H176" s="1708">
        <v>3869133</v>
      </c>
      <c r="I176" s="1710">
        <v>31286313</v>
      </c>
      <c r="J176" s="1708">
        <v>33163730</v>
      </c>
      <c r="K176" s="1730">
        <v>35157909</v>
      </c>
      <c r="L176" s="196"/>
      <c r="M176" s="197"/>
      <c r="N176" s="197"/>
      <c r="O176" s="197"/>
      <c r="P176" s="197"/>
      <c r="Q176" s="197"/>
      <c r="R176" s="197"/>
      <c r="S176" s="197"/>
      <c r="T176" s="197"/>
      <c r="U176" s="197"/>
      <c r="V176" s="197"/>
      <c r="W176" s="197"/>
    </row>
    <row r="177" spans="1:23" ht="11.25" customHeight="1">
      <c r="A177" s="1210" t="str">
        <f t="shared" si="18"/>
        <v>Legislative Compliance</v>
      </c>
      <c r="B177" s="1073"/>
      <c r="C177" s="1708"/>
      <c r="D177" s="1708"/>
      <c r="E177" s="1730">
        <v>170715</v>
      </c>
      <c r="F177" s="1731">
        <v>176150</v>
      </c>
      <c r="G177" s="1708">
        <v>1872411</v>
      </c>
      <c r="H177" s="1708">
        <v>1872411</v>
      </c>
      <c r="I177" s="1710">
        <v>27336196</v>
      </c>
      <c r="J177" s="1708">
        <v>50456410</v>
      </c>
      <c r="K177" s="1730">
        <v>53787171</v>
      </c>
      <c r="L177" s="196"/>
      <c r="M177" s="197"/>
      <c r="N177" s="197"/>
      <c r="O177" s="197"/>
      <c r="P177" s="197"/>
      <c r="Q177" s="197"/>
      <c r="R177" s="197"/>
      <c r="S177" s="197"/>
      <c r="T177" s="197"/>
      <c r="U177" s="197"/>
      <c r="V177" s="197"/>
      <c r="W177" s="197"/>
    </row>
    <row r="178" spans="1:23" ht="11.25" customHeight="1">
      <c r="A178" s="1210" t="str">
        <f t="shared" si="18"/>
        <v>Local Economic Development Management</v>
      </c>
      <c r="B178" s="1073"/>
      <c r="C178" s="1708"/>
      <c r="D178" s="1708"/>
      <c r="E178" s="1730">
        <v>466315</v>
      </c>
      <c r="F178" s="1731">
        <v>571994</v>
      </c>
      <c r="G178" s="1708">
        <v>3851231</v>
      </c>
      <c r="H178" s="1708">
        <v>3851231</v>
      </c>
      <c r="I178" s="1710">
        <v>7541193</v>
      </c>
      <c r="J178" s="1708">
        <v>7955175</v>
      </c>
      <c r="K178" s="1730">
        <v>8402375</v>
      </c>
      <c r="L178" s="196"/>
      <c r="M178" s="197"/>
      <c r="N178" s="197"/>
      <c r="O178" s="197"/>
      <c r="P178" s="197"/>
      <c r="Q178" s="197"/>
      <c r="R178" s="197"/>
      <c r="S178" s="197"/>
      <c r="T178" s="197"/>
      <c r="U178" s="197"/>
      <c r="V178" s="197"/>
      <c r="W178" s="197"/>
    </row>
    <row r="179" spans="1:23" ht="11.25" customHeight="1">
      <c r="A179" s="1210" t="str">
        <f t="shared" si="18"/>
        <v>Management Information Services</v>
      </c>
      <c r="B179" s="1073"/>
      <c r="C179" s="1708"/>
      <c r="D179" s="1708"/>
      <c r="E179" s="1730">
        <v>12638364</v>
      </c>
      <c r="F179" s="1731">
        <v>14305011</v>
      </c>
      <c r="G179" s="1708">
        <v>12203865</v>
      </c>
      <c r="H179" s="1708">
        <v>12203865</v>
      </c>
      <c r="I179" s="1710">
        <v>59674212</v>
      </c>
      <c r="J179" s="1708">
        <v>69732394</v>
      </c>
      <c r="K179" s="1730">
        <v>73733305</v>
      </c>
      <c r="L179" s="196"/>
      <c r="M179" s="197"/>
      <c r="N179" s="197"/>
      <c r="O179" s="197"/>
      <c r="P179" s="197"/>
      <c r="Q179" s="197"/>
      <c r="R179" s="197"/>
      <c r="S179" s="197"/>
      <c r="T179" s="197"/>
      <c r="U179" s="197"/>
      <c r="V179" s="197"/>
      <c r="W179" s="197"/>
    </row>
    <row r="180" spans="1:23" ht="11.25" customHeight="1">
      <c r="A180" s="1210" t="str">
        <f t="shared" si="18"/>
        <v>Marketing and Public Relations Management</v>
      </c>
      <c r="B180" s="1073"/>
      <c r="C180" s="1708"/>
      <c r="D180" s="1708"/>
      <c r="E180" s="1730">
        <v>-5678</v>
      </c>
      <c r="F180" s="1731">
        <v>397352</v>
      </c>
      <c r="G180" s="1708">
        <v>961211</v>
      </c>
      <c r="H180" s="1708">
        <v>961211</v>
      </c>
      <c r="I180" s="1710">
        <v>8182296</v>
      </c>
      <c r="J180" s="1708">
        <v>8707386</v>
      </c>
      <c r="K180" s="1730">
        <v>9269505</v>
      </c>
      <c r="L180" s="196"/>
      <c r="M180" s="197"/>
      <c r="N180" s="197"/>
      <c r="O180" s="197"/>
      <c r="P180" s="197"/>
      <c r="Q180" s="197"/>
      <c r="R180" s="197"/>
      <c r="S180" s="197"/>
      <c r="T180" s="197"/>
      <c r="U180" s="197"/>
      <c r="V180" s="197"/>
      <c r="W180" s="197"/>
    </row>
    <row r="181" spans="1:23" ht="11.25" customHeight="1">
      <c r="A181" s="1210" t="str">
        <f t="shared" si="18"/>
        <v xml:space="preserve"> </v>
      </c>
      <c r="B181" s="1073"/>
      <c r="C181" s="1708"/>
      <c r="D181" s="1708"/>
      <c r="E181" s="1730"/>
      <c r="F181" s="1731"/>
      <c r="G181" s="1708"/>
      <c r="H181" s="1708"/>
      <c r="I181" s="1710"/>
      <c r="J181" s="1708"/>
      <c r="K181" s="1730"/>
      <c r="L181" s="196"/>
      <c r="M181" s="197"/>
      <c r="N181" s="197"/>
      <c r="O181" s="197"/>
      <c r="P181" s="197"/>
      <c r="Q181" s="197"/>
      <c r="R181" s="197"/>
      <c r="S181" s="197"/>
      <c r="T181" s="197"/>
      <c r="U181" s="197"/>
      <c r="V181" s="197"/>
      <c r="W181" s="197"/>
    </row>
    <row r="182" spans="1:23" ht="11.25" customHeight="1">
      <c r="A182" s="1210" t="str">
        <f t="shared" si="18"/>
        <v xml:space="preserve"> </v>
      </c>
      <c r="B182" s="1073"/>
      <c r="C182" s="1708"/>
      <c r="D182" s="1708"/>
      <c r="E182" s="1730"/>
      <c r="F182" s="1731"/>
      <c r="G182" s="1708"/>
      <c r="H182" s="1708"/>
      <c r="I182" s="1710"/>
      <c r="J182" s="1708"/>
      <c r="K182" s="1730"/>
      <c r="L182" s="196"/>
      <c r="M182" s="197"/>
      <c r="N182" s="197"/>
      <c r="O182" s="197"/>
      <c r="P182" s="197"/>
      <c r="Q182" s="197"/>
      <c r="R182" s="197"/>
      <c r="S182" s="197"/>
      <c r="T182" s="197"/>
      <c r="U182" s="197"/>
      <c r="V182" s="197"/>
      <c r="W182" s="197"/>
    </row>
    <row r="183" spans="1:23" ht="11.25" customHeight="1">
      <c r="A183" s="1210" t="str">
        <f t="shared" si="18"/>
        <v xml:space="preserve"> </v>
      </c>
      <c r="B183" s="1073"/>
      <c r="C183" s="1708"/>
      <c r="D183" s="1708"/>
      <c r="E183" s="1730"/>
      <c r="F183" s="1731"/>
      <c r="G183" s="1708"/>
      <c r="H183" s="1732"/>
      <c r="I183" s="1710"/>
      <c r="J183" s="1708"/>
      <c r="K183" s="1730"/>
      <c r="L183" s="196"/>
      <c r="M183" s="197"/>
      <c r="N183" s="197"/>
      <c r="O183" s="197"/>
      <c r="P183" s="197"/>
      <c r="Q183" s="197"/>
      <c r="R183" s="197"/>
      <c r="S183" s="197"/>
      <c r="T183" s="197"/>
      <c r="U183" s="197"/>
      <c r="V183" s="197"/>
      <c r="W183" s="197"/>
    </row>
    <row r="184" spans="1:23" ht="11.25" customHeight="1">
      <c r="A184" s="1209" t="str">
        <f>A16</f>
        <v>Vote 2 - Financial Management Area</v>
      </c>
      <c r="B184" s="1085"/>
      <c r="C184" s="1002">
        <f>SUM(C185:C194)</f>
        <v>0</v>
      </c>
      <c r="D184" s="1002">
        <f>SUM(D185:D194)</f>
        <v>0</v>
      </c>
      <c r="E184" s="1003">
        <f t="shared" ref="E184:K184" si="19">SUM(E185:E194)</f>
        <v>470475319</v>
      </c>
      <c r="F184" s="1004">
        <f>SUM(F185:F194)</f>
        <v>197690226</v>
      </c>
      <c r="G184" s="1002">
        <f t="shared" si="19"/>
        <v>699403328</v>
      </c>
      <c r="H184" s="1005">
        <f t="shared" si="19"/>
        <v>699403328</v>
      </c>
      <c r="I184" s="1006">
        <f t="shared" si="19"/>
        <v>657457241</v>
      </c>
      <c r="J184" s="1002">
        <f t="shared" si="19"/>
        <v>619802285</v>
      </c>
      <c r="K184" s="1003">
        <f t="shared" si="19"/>
        <v>651636777</v>
      </c>
      <c r="L184" s="209"/>
      <c r="M184" s="210"/>
      <c r="N184" s="210"/>
      <c r="O184" s="210"/>
      <c r="P184" s="210"/>
      <c r="Q184" s="210"/>
      <c r="R184" s="210"/>
      <c r="S184" s="210"/>
      <c r="T184" s="210"/>
      <c r="U184" s="210"/>
      <c r="V184" s="210"/>
      <c r="W184" s="210"/>
    </row>
    <row r="185" spans="1:23" ht="11.25" customHeight="1">
      <c r="A185" s="1210" t="str">
        <f t="shared" ref="A185:A194" si="20">A17</f>
        <v>Budget &amp; Treasury Management</v>
      </c>
      <c r="B185" s="1073"/>
      <c r="C185" s="1708"/>
      <c r="D185" s="1708"/>
      <c r="E185" s="1730"/>
      <c r="F185" s="1084"/>
      <c r="G185" s="1708">
        <v>480319</v>
      </c>
      <c r="H185" s="1708">
        <v>480319</v>
      </c>
      <c r="I185" s="1710">
        <v>7875743</v>
      </c>
      <c r="J185" s="1708">
        <v>8373678</v>
      </c>
      <c r="K185" s="1730">
        <v>8903924</v>
      </c>
      <c r="L185" s="209"/>
      <c r="M185" s="210"/>
      <c r="N185" s="210"/>
      <c r="O185" s="210"/>
      <c r="P185" s="210"/>
      <c r="Q185" s="210"/>
      <c r="R185" s="210"/>
      <c r="S185" s="210"/>
      <c r="T185" s="210"/>
      <c r="U185" s="210"/>
      <c r="V185" s="210"/>
      <c r="W185" s="210"/>
    </row>
    <row r="186" spans="1:23" ht="11.25" customHeight="1">
      <c r="A186" s="1210" t="str">
        <f t="shared" si="20"/>
        <v>Expenditure Management</v>
      </c>
      <c r="B186" s="1073"/>
      <c r="C186" s="1708"/>
      <c r="D186" s="1708"/>
      <c r="E186" s="1730">
        <v>4327698</v>
      </c>
      <c r="F186" s="1084">
        <v>3834713</v>
      </c>
      <c r="G186" s="1708">
        <v>4614849</v>
      </c>
      <c r="H186" s="1708">
        <v>4614849</v>
      </c>
      <c r="I186" s="1710">
        <v>11136270</v>
      </c>
      <c r="J186" s="1708">
        <v>11886268</v>
      </c>
      <c r="K186" s="1730">
        <v>12685629</v>
      </c>
      <c r="L186" s="209"/>
      <c r="M186" s="210"/>
      <c r="N186" s="210"/>
      <c r="O186" s="210"/>
      <c r="P186" s="210"/>
      <c r="Q186" s="210"/>
      <c r="R186" s="210"/>
      <c r="S186" s="210"/>
      <c r="T186" s="210"/>
      <c r="U186" s="210"/>
      <c r="V186" s="210"/>
      <c r="W186" s="210"/>
    </row>
    <row r="187" spans="1:23" ht="11.25" customHeight="1">
      <c r="A187" s="1210" t="str">
        <f t="shared" si="20"/>
        <v>Financial Control and Cash Management</v>
      </c>
      <c r="B187" s="1073"/>
      <c r="C187" s="1708"/>
      <c r="D187" s="1708"/>
      <c r="E187" s="1730">
        <v>-6883</v>
      </c>
      <c r="F187" s="1084">
        <v>255496</v>
      </c>
      <c r="G187" s="1708">
        <v>19748598</v>
      </c>
      <c r="H187" s="1708">
        <v>19748598</v>
      </c>
      <c r="I187" s="1710">
        <f>125731727+790000</f>
        <v>126521727</v>
      </c>
      <c r="J187" s="1708">
        <f>61662806+800000</f>
        <v>62462806</v>
      </c>
      <c r="K187" s="1730">
        <f>65490933+900000</f>
        <v>66390933</v>
      </c>
      <c r="L187" s="209"/>
      <c r="M187" s="210"/>
      <c r="N187" s="210"/>
      <c r="O187" s="210"/>
      <c r="P187" s="210"/>
      <c r="Q187" s="210"/>
      <c r="R187" s="210"/>
      <c r="S187" s="210"/>
      <c r="T187" s="210"/>
      <c r="U187" s="210"/>
      <c r="V187" s="210"/>
      <c r="W187" s="210"/>
    </row>
    <row r="188" spans="1:23" ht="11.25" customHeight="1">
      <c r="A188" s="1210" t="str">
        <f t="shared" si="20"/>
        <v>Revenue Management</v>
      </c>
      <c r="B188" s="1073"/>
      <c r="C188" s="1708"/>
      <c r="D188" s="1708"/>
      <c r="E188" s="1730">
        <v>449558202</v>
      </c>
      <c r="F188" s="1084">
        <v>193060779</v>
      </c>
      <c r="G188" s="1708">
        <v>649460462</v>
      </c>
      <c r="H188" s="1708">
        <v>649460462</v>
      </c>
      <c r="I188" s="1710">
        <v>497452779</v>
      </c>
      <c r="J188" s="1708">
        <v>521667175</v>
      </c>
      <c r="K188" s="1730">
        <v>547233833</v>
      </c>
      <c r="L188" s="209"/>
      <c r="M188" s="210"/>
      <c r="N188" s="210"/>
      <c r="O188" s="210"/>
      <c r="P188" s="210"/>
      <c r="Q188" s="210"/>
      <c r="R188" s="210"/>
      <c r="S188" s="210"/>
      <c r="T188" s="210"/>
      <c r="U188" s="210"/>
      <c r="V188" s="210"/>
      <c r="W188" s="210"/>
    </row>
    <row r="189" spans="1:23" ht="11.25" customHeight="1">
      <c r="A189" s="1210" t="str">
        <f t="shared" si="20"/>
        <v>Supply Chain Management</v>
      </c>
      <c r="B189" s="1073"/>
      <c r="C189" s="1708"/>
      <c r="D189" s="1708"/>
      <c r="E189" s="1730">
        <v>16596302</v>
      </c>
      <c r="F189" s="1084">
        <v>539238</v>
      </c>
      <c r="G189" s="1708">
        <v>25099100</v>
      </c>
      <c r="H189" s="1708">
        <v>25099100</v>
      </c>
      <c r="I189" s="1710">
        <v>14470722</v>
      </c>
      <c r="J189" s="1708">
        <v>15412358</v>
      </c>
      <c r="K189" s="1730">
        <v>16422458</v>
      </c>
      <c r="L189" s="209"/>
      <c r="M189" s="210"/>
      <c r="N189" s="210"/>
      <c r="O189" s="210"/>
      <c r="P189" s="210"/>
      <c r="Q189" s="210"/>
      <c r="R189" s="210"/>
      <c r="S189" s="210"/>
      <c r="T189" s="210"/>
      <c r="U189" s="210"/>
      <c r="V189" s="210"/>
      <c r="W189" s="210"/>
    </row>
    <row r="190" spans="1:23" ht="11.25" customHeight="1">
      <c r="A190" s="1210" t="str">
        <f t="shared" si="20"/>
        <v>Subvote example 6</v>
      </c>
      <c r="B190" s="1073"/>
      <c r="C190" s="1708"/>
      <c r="D190" s="1708"/>
      <c r="E190" s="1730"/>
      <c r="F190" s="1731"/>
      <c r="G190" s="1708"/>
      <c r="H190" s="1708"/>
      <c r="I190" s="1710"/>
      <c r="J190" s="1708"/>
      <c r="K190" s="1730"/>
      <c r="L190" s="209"/>
      <c r="M190" s="210"/>
      <c r="N190" s="210"/>
      <c r="O190" s="210"/>
      <c r="P190" s="210"/>
      <c r="Q190" s="210"/>
      <c r="R190" s="210"/>
      <c r="S190" s="210"/>
      <c r="T190" s="210"/>
      <c r="U190" s="210"/>
      <c r="V190" s="210"/>
      <c r="W190" s="210"/>
    </row>
    <row r="191" spans="1:23" ht="11.25" customHeight="1">
      <c r="A191" s="1210" t="str">
        <f t="shared" si="20"/>
        <v>Subvote example 7</v>
      </c>
      <c r="B191" s="1073"/>
      <c r="C191" s="1708"/>
      <c r="D191" s="1708"/>
      <c r="E191" s="1730"/>
      <c r="F191" s="1731"/>
      <c r="G191" s="1708"/>
      <c r="H191" s="1732"/>
      <c r="I191" s="1710"/>
      <c r="J191" s="1708"/>
      <c r="K191" s="1730"/>
      <c r="L191" s="209"/>
      <c r="M191" s="210"/>
      <c r="N191" s="210"/>
      <c r="O191" s="210"/>
      <c r="P191" s="210"/>
      <c r="Q191" s="210"/>
      <c r="R191" s="210"/>
      <c r="S191" s="210"/>
      <c r="T191" s="210"/>
      <c r="U191" s="210"/>
      <c r="V191" s="210"/>
      <c r="W191" s="210"/>
    </row>
    <row r="192" spans="1:23" ht="11.25" customHeight="1">
      <c r="A192" s="1210" t="str">
        <f t="shared" si="20"/>
        <v>Subvote example 8</v>
      </c>
      <c r="B192" s="1073"/>
      <c r="C192" s="1708"/>
      <c r="D192" s="1708"/>
      <c r="E192" s="1730"/>
      <c r="F192" s="1731"/>
      <c r="G192" s="1708"/>
      <c r="H192" s="1732"/>
      <c r="I192" s="1710"/>
      <c r="J192" s="1708"/>
      <c r="K192" s="1730"/>
      <c r="L192" s="209"/>
      <c r="M192" s="210"/>
      <c r="N192" s="210"/>
      <c r="O192" s="210"/>
      <c r="P192" s="210"/>
      <c r="Q192" s="210"/>
      <c r="R192" s="210"/>
      <c r="S192" s="210"/>
      <c r="T192" s="210"/>
      <c r="U192" s="210"/>
      <c r="V192" s="210"/>
      <c r="W192" s="210"/>
    </row>
    <row r="193" spans="1:23" ht="11.25" customHeight="1">
      <c r="A193" s="1210" t="str">
        <f t="shared" si="20"/>
        <v>Subvote example 9</v>
      </c>
      <c r="B193" s="1073"/>
      <c r="C193" s="1708"/>
      <c r="D193" s="1708"/>
      <c r="E193" s="1730"/>
      <c r="F193" s="1731"/>
      <c r="G193" s="1708"/>
      <c r="H193" s="1732"/>
      <c r="I193" s="1710"/>
      <c r="J193" s="1708"/>
      <c r="K193" s="1730"/>
      <c r="L193" s="209"/>
      <c r="M193" s="210"/>
      <c r="N193" s="210"/>
      <c r="O193" s="210"/>
      <c r="P193" s="210"/>
      <c r="Q193" s="210"/>
      <c r="R193" s="210"/>
      <c r="S193" s="210"/>
      <c r="T193" s="210"/>
      <c r="U193" s="210"/>
      <c r="V193" s="210"/>
      <c r="W193" s="210"/>
    </row>
    <row r="194" spans="1:23" ht="11.25" customHeight="1">
      <c r="A194" s="1210" t="str">
        <f t="shared" si="20"/>
        <v>Subvote example 9</v>
      </c>
      <c r="B194" s="1073"/>
      <c r="C194" s="1708"/>
      <c r="D194" s="1708"/>
      <c r="E194" s="1730"/>
      <c r="F194" s="1731"/>
      <c r="G194" s="1708"/>
      <c r="H194" s="1732"/>
      <c r="I194" s="1710"/>
      <c r="J194" s="1708"/>
      <c r="K194" s="1730"/>
      <c r="L194" s="209"/>
      <c r="M194" s="210"/>
      <c r="N194" s="210"/>
      <c r="O194" s="210"/>
      <c r="P194" s="210"/>
      <c r="Q194" s="210"/>
      <c r="R194" s="210"/>
      <c r="S194" s="210"/>
      <c r="T194" s="210"/>
      <c r="U194" s="210"/>
      <c r="V194" s="210"/>
      <c r="W194" s="210"/>
    </row>
    <row r="195" spans="1:23" ht="11.25" customHeight="1">
      <c r="A195" s="1209" t="str">
        <f t="shared" ref="A195:A206" si="21">A27</f>
        <v>Vote 3 - Infrastructure Development, Service Delivery and Maintenance Management</v>
      </c>
      <c r="B195" s="1085"/>
      <c r="C195" s="1002">
        <f t="shared" ref="C195:K195" si="22">SUM(C196:C205)</f>
        <v>0</v>
      </c>
      <c r="D195" s="1002">
        <f t="shared" si="22"/>
        <v>0</v>
      </c>
      <c r="E195" s="1003">
        <f t="shared" si="22"/>
        <v>1860308309</v>
      </c>
      <c r="F195" s="1004">
        <f>SUM(F196:F205)</f>
        <v>1821202824</v>
      </c>
      <c r="G195" s="1002">
        <f t="shared" si="22"/>
        <v>1964167495</v>
      </c>
      <c r="H195" s="1005">
        <f t="shared" si="22"/>
        <v>1964167495</v>
      </c>
      <c r="I195" s="1006">
        <f t="shared" si="22"/>
        <v>2080076482</v>
      </c>
      <c r="J195" s="1002">
        <f t="shared" si="22"/>
        <v>2235178934</v>
      </c>
      <c r="K195" s="1003">
        <f t="shared" si="22"/>
        <v>2297658315</v>
      </c>
      <c r="L195" s="209"/>
      <c r="M195" s="210"/>
      <c r="N195" s="210"/>
      <c r="O195" s="210"/>
      <c r="P195" s="210"/>
      <c r="Q195" s="210"/>
      <c r="R195" s="210"/>
      <c r="S195" s="210"/>
      <c r="T195" s="210"/>
      <c r="U195" s="210"/>
      <c r="V195" s="210"/>
      <c r="W195" s="210"/>
    </row>
    <row r="196" spans="1:23" ht="11.25" customHeight="1">
      <c r="A196" s="1210" t="str">
        <f t="shared" si="21"/>
        <v>Electricity distribution Management</v>
      </c>
      <c r="B196" s="1073"/>
      <c r="C196" s="1708"/>
      <c r="D196" s="1708"/>
      <c r="E196" s="1730">
        <v>1000229138</v>
      </c>
      <c r="F196" s="1084">
        <v>956048785</v>
      </c>
      <c r="G196" s="1708">
        <v>970513519</v>
      </c>
      <c r="H196" s="1708">
        <v>970513519</v>
      </c>
      <c r="I196" s="1710">
        <v>1085278434</v>
      </c>
      <c r="J196" s="1708">
        <v>1127261018</v>
      </c>
      <c r="K196" s="1730">
        <v>1190065438</v>
      </c>
      <c r="L196" s="209"/>
      <c r="M196" s="210"/>
      <c r="N196" s="210"/>
      <c r="O196" s="210"/>
      <c r="P196" s="210"/>
      <c r="Q196" s="210"/>
      <c r="R196" s="210"/>
      <c r="S196" s="210"/>
      <c r="T196" s="210"/>
      <c r="U196" s="210"/>
      <c r="V196" s="210"/>
      <c r="W196" s="210"/>
    </row>
    <row r="197" spans="1:23" ht="11.25" customHeight="1">
      <c r="A197" s="1210" t="str">
        <f t="shared" si="21"/>
        <v>Human Settlement Development Management</v>
      </c>
      <c r="B197" s="1073"/>
      <c r="C197" s="1708"/>
      <c r="D197" s="1708"/>
      <c r="E197" s="1730">
        <v>101262013</v>
      </c>
      <c r="F197" s="1084">
        <v>55550617</v>
      </c>
      <c r="G197" s="1708">
        <v>76965540</v>
      </c>
      <c r="H197" s="1708">
        <v>76965540</v>
      </c>
      <c r="I197" s="1710">
        <f>63169395+2268000</f>
        <v>65437395</v>
      </c>
      <c r="J197" s="1708">
        <v>55536983</v>
      </c>
      <c r="K197" s="1730">
        <v>61550837</v>
      </c>
      <c r="L197" s="209"/>
      <c r="M197" s="210"/>
      <c r="N197" s="210"/>
      <c r="O197" s="210"/>
      <c r="P197" s="210"/>
      <c r="Q197" s="210"/>
      <c r="R197" s="210"/>
      <c r="S197" s="210"/>
      <c r="T197" s="210"/>
      <c r="U197" s="210"/>
      <c r="V197" s="210"/>
      <c r="W197" s="210"/>
    </row>
    <row r="198" spans="1:23" ht="11.25" customHeight="1">
      <c r="A198" s="1210" t="str">
        <f t="shared" si="21"/>
        <v>Municipal Infrastructure Planning, Funding, Maintenance and Development Management</v>
      </c>
      <c r="B198" s="1073"/>
      <c r="C198" s="1708"/>
      <c r="D198" s="1708"/>
      <c r="E198" s="1730">
        <f>40388252-2939000</f>
        <v>37449252</v>
      </c>
      <c r="F198" s="1084">
        <v>55804912</v>
      </c>
      <c r="G198" s="1708">
        <v>15433379</v>
      </c>
      <c r="H198" s="1708">
        <v>15433379</v>
      </c>
      <c r="I198" s="1710">
        <v>33081731</v>
      </c>
      <c r="J198" s="1708">
        <v>34638910</v>
      </c>
      <c r="K198" s="1730">
        <v>35097809</v>
      </c>
      <c r="L198" s="209"/>
      <c r="M198" s="210"/>
      <c r="N198" s="210"/>
      <c r="O198" s="210"/>
      <c r="P198" s="210"/>
      <c r="Q198" s="210"/>
      <c r="R198" s="210"/>
      <c r="S198" s="210"/>
      <c r="T198" s="210"/>
      <c r="U198" s="210"/>
      <c r="V198" s="210"/>
      <c r="W198" s="210"/>
    </row>
    <row r="199" spans="1:23" ht="11.25" customHeight="1">
      <c r="A199" s="1210" t="str">
        <f t="shared" si="21"/>
        <v>Roads and Stormwater</v>
      </c>
      <c r="B199" s="1073"/>
      <c r="C199" s="1708"/>
      <c r="D199" s="1708"/>
      <c r="E199" s="1730">
        <v>170311289</v>
      </c>
      <c r="F199" s="1084">
        <v>193502091</v>
      </c>
      <c r="G199" s="1708">
        <v>188982257</v>
      </c>
      <c r="H199" s="1708">
        <v>188982257</v>
      </c>
      <c r="I199" s="1710">
        <f>220059655+2405000</f>
        <v>222464655</v>
      </c>
      <c r="J199" s="1708">
        <f>184693571+2532465</f>
        <v>187226036</v>
      </c>
      <c r="K199" s="1730">
        <f>131524131+2671751</f>
        <v>134195882</v>
      </c>
      <c r="L199" s="209"/>
      <c r="M199" s="210"/>
      <c r="N199" s="210"/>
      <c r="O199" s="210"/>
      <c r="P199" s="210"/>
      <c r="Q199" s="210"/>
      <c r="R199" s="210"/>
      <c r="S199" s="210"/>
      <c r="T199" s="210"/>
      <c r="U199" s="210"/>
      <c r="V199" s="210"/>
      <c r="W199" s="210"/>
    </row>
    <row r="200" spans="1:23" ht="11.25" customHeight="1">
      <c r="A200" s="1210" t="str">
        <f t="shared" si="21"/>
        <v>Waste Management</v>
      </c>
      <c r="B200" s="1073"/>
      <c r="C200" s="1708"/>
      <c r="D200" s="1708"/>
      <c r="E200" s="1730">
        <v>111279588</v>
      </c>
      <c r="F200" s="1084">
        <v>102256747</v>
      </c>
      <c r="G200" s="1708">
        <v>100642941</v>
      </c>
      <c r="H200" s="1708">
        <v>100642941</v>
      </c>
      <c r="I200" s="1710">
        <v>77941916</v>
      </c>
      <c r="J200" s="1708">
        <v>99093393</v>
      </c>
      <c r="K200" s="1730">
        <v>105319657</v>
      </c>
      <c r="L200" s="209"/>
      <c r="M200" s="210"/>
      <c r="N200" s="210"/>
      <c r="O200" s="210"/>
      <c r="P200" s="210"/>
      <c r="Q200" s="210"/>
      <c r="R200" s="210"/>
      <c r="S200" s="210"/>
      <c r="T200" s="210"/>
      <c r="U200" s="210"/>
      <c r="V200" s="210"/>
      <c r="W200" s="210"/>
    </row>
    <row r="201" spans="1:23" ht="11.25" customHeight="1">
      <c r="A201" s="1210" t="str">
        <f t="shared" si="21"/>
        <v>Water Distribution and Sanitation Management</v>
      </c>
      <c r="B201" s="1073"/>
      <c r="C201" s="1080"/>
      <c r="D201" s="1080"/>
      <c r="E201" s="1081">
        <v>439777029</v>
      </c>
      <c r="F201" s="1084">
        <f>469216672-11177000</f>
        <v>458039672</v>
      </c>
      <c r="G201" s="1080">
        <v>611629859</v>
      </c>
      <c r="H201" s="1080">
        <v>611629859</v>
      </c>
      <c r="I201" s="1084">
        <v>595872351</v>
      </c>
      <c r="J201" s="1080">
        <v>731422594</v>
      </c>
      <c r="K201" s="1081">
        <v>771428692</v>
      </c>
      <c r="L201" s="209"/>
      <c r="M201" s="210"/>
      <c r="N201" s="210"/>
      <c r="O201" s="210"/>
      <c r="P201" s="210"/>
      <c r="Q201" s="210"/>
      <c r="R201" s="210"/>
      <c r="S201" s="210"/>
      <c r="T201" s="210"/>
      <c r="U201" s="210"/>
      <c r="V201" s="210"/>
      <c r="W201" s="210"/>
    </row>
    <row r="202" spans="1:23" ht="11.25" customHeight="1">
      <c r="A202" s="1210" t="str">
        <f t="shared" si="21"/>
        <v>Subvote example 7</v>
      </c>
      <c r="B202" s="1073"/>
      <c r="C202" s="1080"/>
      <c r="D202" s="1080"/>
      <c r="E202" s="1081"/>
      <c r="F202" s="1082"/>
      <c r="G202" s="1080"/>
      <c r="H202" s="1080"/>
      <c r="I202" s="1084"/>
      <c r="J202" s="1080"/>
      <c r="K202" s="1081"/>
      <c r="L202" s="209"/>
      <c r="M202" s="210"/>
      <c r="N202" s="210"/>
      <c r="O202" s="210"/>
      <c r="P202" s="210"/>
      <c r="Q202" s="210"/>
      <c r="R202" s="210"/>
      <c r="S202" s="210"/>
      <c r="T202" s="210"/>
      <c r="U202" s="210"/>
      <c r="V202" s="210"/>
      <c r="W202" s="210"/>
    </row>
    <row r="203" spans="1:23" ht="11.25" customHeight="1">
      <c r="A203" s="1210" t="str">
        <f t="shared" si="21"/>
        <v xml:space="preserve"> </v>
      </c>
      <c r="B203" s="1073"/>
      <c r="C203" s="1080"/>
      <c r="D203" s="1080"/>
      <c r="E203" s="1081"/>
      <c r="F203" s="1082"/>
      <c r="G203" s="1080"/>
      <c r="H203" s="1083"/>
      <c r="I203" s="1084"/>
      <c r="J203" s="1080"/>
      <c r="K203" s="1081"/>
      <c r="L203" s="209"/>
      <c r="M203" s="210"/>
      <c r="N203" s="210"/>
      <c r="O203" s="210"/>
      <c r="P203" s="210"/>
      <c r="Q203" s="210"/>
      <c r="R203" s="210"/>
      <c r="S203" s="210"/>
      <c r="T203" s="210"/>
      <c r="U203" s="210"/>
      <c r="V203" s="210"/>
      <c r="W203" s="210"/>
    </row>
    <row r="204" spans="1:23" ht="11.25" customHeight="1">
      <c r="A204" s="1210" t="str">
        <f t="shared" si="21"/>
        <v xml:space="preserve"> </v>
      </c>
      <c r="B204" s="1073"/>
      <c r="C204" s="1080"/>
      <c r="D204" s="1080"/>
      <c r="E204" s="1081"/>
      <c r="F204" s="1082"/>
      <c r="G204" s="1080"/>
      <c r="H204" s="1083"/>
      <c r="I204" s="1084"/>
      <c r="J204" s="1080"/>
      <c r="K204" s="1081"/>
      <c r="L204" s="209"/>
      <c r="M204" s="210"/>
      <c r="N204" s="210"/>
      <c r="O204" s="210"/>
      <c r="P204" s="210"/>
      <c r="Q204" s="210"/>
      <c r="R204" s="210"/>
      <c r="S204" s="210"/>
      <c r="T204" s="210"/>
      <c r="U204" s="210"/>
      <c r="V204" s="210"/>
      <c r="W204" s="210"/>
    </row>
    <row r="205" spans="1:23" ht="11.25" customHeight="1">
      <c r="A205" s="1210" t="str">
        <f t="shared" si="21"/>
        <v xml:space="preserve"> </v>
      </c>
      <c r="B205" s="1073"/>
      <c r="C205" s="1080"/>
      <c r="D205" s="1080"/>
      <c r="E205" s="1081"/>
      <c r="F205" s="1082"/>
      <c r="G205" s="1080"/>
      <c r="H205" s="1083"/>
      <c r="I205" s="1084"/>
      <c r="J205" s="1080"/>
      <c r="K205" s="1081"/>
      <c r="L205" s="209"/>
      <c r="M205" s="210"/>
      <c r="N205" s="210"/>
      <c r="O205" s="210"/>
      <c r="P205" s="210"/>
      <c r="Q205" s="210"/>
      <c r="R205" s="210"/>
      <c r="S205" s="210"/>
      <c r="T205" s="210"/>
      <c r="U205" s="210"/>
      <c r="V205" s="210"/>
      <c r="W205" s="210"/>
    </row>
    <row r="206" spans="1:23" ht="11.25" customHeight="1">
      <c r="A206" s="1209" t="str">
        <f t="shared" si="21"/>
        <v>Vote 4 - Sustainable Community Service Delivery Provision Management</v>
      </c>
      <c r="B206" s="1085"/>
      <c r="C206" s="1002">
        <f t="shared" ref="C206:K206" si="23">SUM(C207:C216)</f>
        <v>0</v>
      </c>
      <c r="D206" s="1002">
        <f t="shared" si="23"/>
        <v>0</v>
      </c>
      <c r="E206" s="1003">
        <f t="shared" si="23"/>
        <v>391455252</v>
      </c>
      <c r="F206" s="1004">
        <f>SUM(F207:F216)</f>
        <v>351721025</v>
      </c>
      <c r="G206" s="1002">
        <f t="shared" si="23"/>
        <v>344950792</v>
      </c>
      <c r="H206" s="1005">
        <f t="shared" si="23"/>
        <v>344950792</v>
      </c>
      <c r="I206" s="1006">
        <f t="shared" si="23"/>
        <v>387859429</v>
      </c>
      <c r="J206" s="1002">
        <f t="shared" si="23"/>
        <v>437024878</v>
      </c>
      <c r="K206" s="1003">
        <f t="shared" si="23"/>
        <v>474195201</v>
      </c>
      <c r="L206" s="209"/>
      <c r="M206" s="210"/>
      <c r="N206" s="210"/>
      <c r="O206" s="210"/>
      <c r="P206" s="210"/>
      <c r="Q206" s="210"/>
      <c r="R206" s="210"/>
      <c r="S206" s="210"/>
      <c r="T206" s="210"/>
      <c r="U206" s="210"/>
      <c r="V206" s="210"/>
      <c r="W206" s="210"/>
    </row>
    <row r="207" spans="1:23" ht="11.25" customHeight="1">
      <c r="A207" s="1210" t="str">
        <f t="shared" ref="A207:A216" si="24">A39</f>
        <v>Community Services Provision Management</v>
      </c>
      <c r="B207" s="1073"/>
      <c r="C207" s="1080"/>
      <c r="D207" s="1080"/>
      <c r="E207" s="1081">
        <v>129478057</v>
      </c>
      <c r="F207" s="1082">
        <v>114368217</v>
      </c>
      <c r="G207" s="1080">
        <v>96207514</v>
      </c>
      <c r="H207" s="1080">
        <v>96207514</v>
      </c>
      <c r="I207" s="1084">
        <v>132473168</v>
      </c>
      <c r="J207" s="1080">
        <v>139535743</v>
      </c>
      <c r="K207" s="1081">
        <v>147991766</v>
      </c>
      <c r="L207" s="209"/>
      <c r="M207" s="210"/>
      <c r="N207" s="210"/>
      <c r="O207" s="210"/>
      <c r="P207" s="210"/>
      <c r="Q207" s="210"/>
      <c r="R207" s="210"/>
      <c r="S207" s="210"/>
      <c r="T207" s="210"/>
      <c r="U207" s="210"/>
      <c r="V207" s="210"/>
      <c r="W207" s="210"/>
    </row>
    <row r="208" spans="1:23" ht="11.25" customHeight="1">
      <c r="A208" s="1210" t="str">
        <f t="shared" si="24"/>
        <v>Public Safety, Enforcement and Disaster Management</v>
      </c>
      <c r="B208" s="1073"/>
      <c r="C208" s="1080"/>
      <c r="D208" s="1080"/>
      <c r="E208" s="1081">
        <v>166485312</v>
      </c>
      <c r="F208" s="1082">
        <v>154310292</v>
      </c>
      <c r="G208" s="1080">
        <v>162671468</v>
      </c>
      <c r="H208" s="1080">
        <v>162671468</v>
      </c>
      <c r="I208" s="1084">
        <v>164984469</v>
      </c>
      <c r="J208" s="1080">
        <v>193720698</v>
      </c>
      <c r="K208" s="1081">
        <v>206066520</v>
      </c>
      <c r="L208" s="209"/>
      <c r="M208" s="210"/>
      <c r="N208" s="210"/>
      <c r="O208" s="210"/>
      <c r="P208" s="210"/>
      <c r="Q208" s="210"/>
      <c r="R208" s="210"/>
      <c r="S208" s="210"/>
      <c r="T208" s="210"/>
      <c r="U208" s="210"/>
      <c r="V208" s="210"/>
      <c r="W208" s="210"/>
    </row>
    <row r="209" spans="1:23" ht="11.25" customHeight="1">
      <c r="A209" s="1210" t="str">
        <f t="shared" si="24"/>
        <v>Regional Community Services Provision Management</v>
      </c>
      <c r="B209" s="1073"/>
      <c r="C209" s="1080"/>
      <c r="D209" s="1080"/>
      <c r="E209" s="1081">
        <v>95491883</v>
      </c>
      <c r="F209" s="1082">
        <v>83042516</v>
      </c>
      <c r="G209" s="1080">
        <v>86071810</v>
      </c>
      <c r="H209" s="1080">
        <v>86071810</v>
      </c>
      <c r="I209" s="1084">
        <v>90401792</v>
      </c>
      <c r="J209" s="1080">
        <v>103768437</v>
      </c>
      <c r="K209" s="1081">
        <v>120136915</v>
      </c>
      <c r="L209" s="209"/>
      <c r="M209" s="210"/>
      <c r="N209" s="210"/>
      <c r="O209" s="210"/>
      <c r="P209" s="210"/>
      <c r="Q209" s="210"/>
      <c r="R209" s="210"/>
      <c r="S209" s="210"/>
      <c r="T209" s="210"/>
      <c r="U209" s="210"/>
      <c r="V209" s="210"/>
      <c r="W209" s="210"/>
    </row>
    <row r="210" spans="1:23" ht="11.25" customHeight="1">
      <c r="A210" s="1210" t="str">
        <f t="shared" si="24"/>
        <v>Subvote example 4</v>
      </c>
      <c r="B210" s="1073"/>
      <c r="C210" s="1080"/>
      <c r="D210" s="1080"/>
      <c r="E210" s="1081"/>
      <c r="F210" s="1082"/>
      <c r="G210" s="1080"/>
      <c r="H210" s="1080"/>
      <c r="I210" s="1084"/>
      <c r="J210" s="1080"/>
      <c r="K210" s="1081"/>
      <c r="L210" s="209"/>
      <c r="M210" s="210"/>
      <c r="N210" s="210"/>
      <c r="O210" s="210"/>
      <c r="P210" s="210"/>
      <c r="Q210" s="210"/>
      <c r="R210" s="210"/>
      <c r="S210" s="210"/>
      <c r="T210" s="210"/>
      <c r="U210" s="210"/>
      <c r="V210" s="210"/>
      <c r="W210" s="210"/>
    </row>
    <row r="211" spans="1:23" ht="11.25" customHeight="1">
      <c r="A211" s="1210" t="str">
        <f t="shared" si="24"/>
        <v xml:space="preserve"> </v>
      </c>
      <c r="B211" s="1073"/>
      <c r="C211" s="1080"/>
      <c r="D211" s="1080"/>
      <c r="E211" s="1081"/>
      <c r="F211" s="1082"/>
      <c r="G211" s="1080"/>
      <c r="H211" s="1080"/>
      <c r="I211" s="1084"/>
      <c r="J211" s="1080"/>
      <c r="K211" s="1081"/>
      <c r="L211" s="209"/>
      <c r="M211" s="210"/>
      <c r="N211" s="210"/>
      <c r="O211" s="210"/>
      <c r="P211" s="210"/>
      <c r="Q211" s="210"/>
      <c r="R211" s="210"/>
      <c r="S211" s="210"/>
      <c r="T211" s="210"/>
      <c r="U211" s="210"/>
      <c r="V211" s="210"/>
      <c r="W211" s="210"/>
    </row>
    <row r="212" spans="1:23" ht="11.25" customHeight="1">
      <c r="A212" s="1210" t="str">
        <f t="shared" si="24"/>
        <v xml:space="preserve"> </v>
      </c>
      <c r="B212" s="1073"/>
      <c r="C212" s="1080"/>
      <c r="D212" s="1080"/>
      <c r="E212" s="1081"/>
      <c r="F212" s="1082"/>
      <c r="G212" s="1080"/>
      <c r="H212" s="1083"/>
      <c r="I212" s="1084"/>
      <c r="J212" s="1080"/>
      <c r="K212" s="1081"/>
      <c r="L212" s="209"/>
      <c r="M212" s="210"/>
      <c r="N212" s="210"/>
      <c r="O212" s="210"/>
      <c r="P212" s="210"/>
      <c r="Q212" s="210"/>
      <c r="R212" s="210"/>
      <c r="S212" s="210"/>
      <c r="T212" s="210"/>
      <c r="U212" s="210"/>
      <c r="V212" s="210"/>
      <c r="W212" s="210"/>
    </row>
    <row r="213" spans="1:23" ht="11.25" customHeight="1">
      <c r="A213" s="1210" t="str">
        <f t="shared" si="24"/>
        <v xml:space="preserve"> </v>
      </c>
      <c r="B213" s="1073"/>
      <c r="C213" s="1080"/>
      <c r="D213" s="1080"/>
      <c r="E213" s="1081"/>
      <c r="F213" s="1082"/>
      <c r="G213" s="1080"/>
      <c r="H213" s="1083"/>
      <c r="I213" s="1084"/>
      <c r="J213" s="1080"/>
      <c r="K213" s="1081"/>
      <c r="L213" s="209"/>
      <c r="M213" s="210"/>
      <c r="N213" s="210"/>
      <c r="O213" s="210"/>
      <c r="P213" s="210"/>
      <c r="Q213" s="210"/>
      <c r="R213" s="210"/>
      <c r="S213" s="210"/>
      <c r="T213" s="210"/>
      <c r="U213" s="210"/>
      <c r="V213" s="210"/>
      <c r="W213" s="210"/>
    </row>
    <row r="214" spans="1:23" ht="11.25" customHeight="1">
      <c r="A214" s="1210" t="str">
        <f t="shared" si="24"/>
        <v xml:space="preserve"> </v>
      </c>
      <c r="B214" s="1073"/>
      <c r="C214" s="1080"/>
      <c r="D214" s="1080"/>
      <c r="E214" s="1081"/>
      <c r="F214" s="1082"/>
      <c r="G214" s="1080"/>
      <c r="H214" s="1083"/>
      <c r="I214" s="1084"/>
      <c r="J214" s="1080"/>
      <c r="K214" s="1081"/>
      <c r="L214" s="209"/>
      <c r="M214" s="210"/>
      <c r="N214" s="210"/>
      <c r="O214" s="210"/>
      <c r="P214" s="210"/>
      <c r="Q214" s="210"/>
      <c r="R214" s="210"/>
      <c r="S214" s="210"/>
      <c r="T214" s="210"/>
      <c r="U214" s="210"/>
      <c r="V214" s="210"/>
      <c r="W214" s="210"/>
    </row>
    <row r="215" spans="1:23" ht="11.25" customHeight="1">
      <c r="A215" s="1210" t="str">
        <f t="shared" si="24"/>
        <v xml:space="preserve"> </v>
      </c>
      <c r="B215" s="1073"/>
      <c r="C215" s="1080"/>
      <c r="D215" s="1080"/>
      <c r="E215" s="1081"/>
      <c r="F215" s="1082"/>
      <c r="G215" s="1080"/>
      <c r="H215" s="1083"/>
      <c r="I215" s="1084"/>
      <c r="J215" s="1080"/>
      <c r="K215" s="1081"/>
      <c r="L215" s="209"/>
      <c r="M215" s="210"/>
      <c r="N215" s="210"/>
      <c r="O215" s="210"/>
      <c r="P215" s="210"/>
      <c r="Q215" s="210"/>
      <c r="R215" s="210"/>
      <c r="S215" s="210"/>
      <c r="T215" s="210"/>
      <c r="U215" s="210"/>
      <c r="V215" s="210"/>
      <c r="W215" s="210"/>
    </row>
    <row r="216" spans="1:23" ht="11.25" customHeight="1">
      <c r="A216" s="1210" t="str">
        <f t="shared" si="24"/>
        <v xml:space="preserve"> </v>
      </c>
      <c r="B216" s="1073"/>
      <c r="C216" s="1080"/>
      <c r="D216" s="1080"/>
      <c r="E216" s="1081"/>
      <c r="F216" s="1082"/>
      <c r="G216" s="1080"/>
      <c r="H216" s="1083"/>
      <c r="I216" s="1084"/>
      <c r="J216" s="1080"/>
      <c r="K216" s="1081"/>
      <c r="L216" s="209"/>
      <c r="M216" s="210"/>
      <c r="N216" s="210"/>
      <c r="O216" s="210"/>
      <c r="P216" s="210"/>
      <c r="Q216" s="210"/>
      <c r="R216" s="210"/>
      <c r="S216" s="210"/>
      <c r="T216" s="210"/>
      <c r="U216" s="210"/>
      <c r="V216" s="210"/>
      <c r="W216" s="210"/>
    </row>
    <row r="217" spans="1:23" ht="11.25" customHeight="1">
      <c r="A217" s="1209" t="str">
        <f t="shared" ref="A217:A224" si="25">A49</f>
        <v>Example 5 - Vote5</v>
      </c>
      <c r="B217" s="1085"/>
      <c r="C217" s="1002">
        <f t="shared" ref="C217:K217" si="26">SUM(C218:C227)</f>
        <v>0</v>
      </c>
      <c r="D217" s="1002">
        <f t="shared" si="26"/>
        <v>0</v>
      </c>
      <c r="E217" s="1003">
        <f t="shared" si="26"/>
        <v>0</v>
      </c>
      <c r="F217" s="1004">
        <f t="shared" si="26"/>
        <v>0</v>
      </c>
      <c r="G217" s="1002">
        <f t="shared" si="26"/>
        <v>0</v>
      </c>
      <c r="H217" s="1005">
        <f t="shared" si="26"/>
        <v>0</v>
      </c>
      <c r="I217" s="1006">
        <f t="shared" si="26"/>
        <v>0</v>
      </c>
      <c r="J217" s="1002">
        <f t="shared" si="26"/>
        <v>0</v>
      </c>
      <c r="K217" s="1003">
        <f t="shared" si="26"/>
        <v>0</v>
      </c>
      <c r="L217" s="209"/>
      <c r="M217" s="210"/>
      <c r="N217" s="210"/>
      <c r="O217" s="210"/>
      <c r="P217" s="210"/>
      <c r="Q217" s="210"/>
      <c r="R217" s="210"/>
      <c r="S217" s="210"/>
      <c r="T217" s="210"/>
      <c r="U217" s="210"/>
      <c r="V217" s="210"/>
      <c r="W217" s="210"/>
    </row>
    <row r="218" spans="1:23" ht="11.25" customHeight="1">
      <c r="A218" s="1210" t="str">
        <f t="shared" si="25"/>
        <v>Subvote example 5</v>
      </c>
      <c r="B218" s="1073"/>
      <c r="C218" s="1080"/>
      <c r="D218" s="1080"/>
      <c r="E218" s="1081"/>
      <c r="F218" s="1082"/>
      <c r="G218" s="1080"/>
      <c r="H218" s="1083"/>
      <c r="I218" s="1084"/>
      <c r="J218" s="1080"/>
      <c r="K218" s="1081"/>
      <c r="L218" s="209"/>
      <c r="M218" s="210"/>
      <c r="N218" s="210"/>
      <c r="O218" s="210"/>
      <c r="P218" s="210"/>
      <c r="Q218" s="210"/>
      <c r="R218" s="210"/>
      <c r="S218" s="210"/>
      <c r="T218" s="210"/>
      <c r="U218" s="210"/>
      <c r="V218" s="210"/>
      <c r="W218" s="210"/>
    </row>
    <row r="219" spans="1:23" ht="11.25" customHeight="1">
      <c r="A219" s="1210" t="str">
        <f t="shared" si="25"/>
        <v xml:space="preserve"> </v>
      </c>
      <c r="B219" s="1073"/>
      <c r="C219" s="1080"/>
      <c r="D219" s="1080"/>
      <c r="E219" s="1081"/>
      <c r="F219" s="1082"/>
      <c r="G219" s="1080"/>
      <c r="H219" s="1083"/>
      <c r="I219" s="1084"/>
      <c r="J219" s="1080"/>
      <c r="K219" s="1081"/>
      <c r="L219" s="209"/>
      <c r="M219" s="210"/>
      <c r="N219" s="210"/>
      <c r="O219" s="210"/>
      <c r="P219" s="210"/>
      <c r="Q219" s="210"/>
      <c r="R219" s="210"/>
      <c r="S219" s="210"/>
      <c r="T219" s="210"/>
      <c r="U219" s="210"/>
      <c r="V219" s="210"/>
      <c r="W219" s="210"/>
    </row>
    <row r="220" spans="1:23" ht="11.25" customHeight="1">
      <c r="A220" s="1210" t="str">
        <f t="shared" si="25"/>
        <v xml:space="preserve"> </v>
      </c>
      <c r="B220" s="1073"/>
      <c r="C220" s="1080"/>
      <c r="D220" s="1080"/>
      <c r="E220" s="1081"/>
      <c r="F220" s="1082"/>
      <c r="G220" s="1080"/>
      <c r="H220" s="1083"/>
      <c r="I220" s="1084"/>
      <c r="J220" s="1080"/>
      <c r="K220" s="1081"/>
      <c r="L220" s="209"/>
      <c r="M220" s="210"/>
      <c r="N220" s="210"/>
      <c r="O220" s="210"/>
      <c r="P220" s="210"/>
      <c r="Q220" s="210"/>
      <c r="R220" s="210"/>
      <c r="S220" s="210"/>
      <c r="T220" s="210"/>
      <c r="U220" s="210"/>
      <c r="V220" s="210"/>
      <c r="W220" s="210"/>
    </row>
    <row r="221" spans="1:23" ht="11.25" customHeight="1">
      <c r="A221" s="1210" t="str">
        <f t="shared" si="25"/>
        <v xml:space="preserve"> </v>
      </c>
      <c r="B221" s="1073"/>
      <c r="C221" s="1080"/>
      <c r="D221" s="1080"/>
      <c r="E221" s="1081"/>
      <c r="F221" s="1082"/>
      <c r="G221" s="1080"/>
      <c r="H221" s="1083"/>
      <c r="I221" s="1084"/>
      <c r="J221" s="1080"/>
      <c r="K221" s="1081"/>
      <c r="L221" s="209"/>
      <c r="M221" s="210"/>
      <c r="N221" s="210"/>
      <c r="O221" s="210"/>
      <c r="P221" s="210"/>
      <c r="Q221" s="210"/>
      <c r="R221" s="210"/>
      <c r="S221" s="210"/>
      <c r="T221" s="210"/>
      <c r="U221" s="210"/>
      <c r="V221" s="210"/>
      <c r="W221" s="210"/>
    </row>
    <row r="222" spans="1:23" ht="11.25" customHeight="1">
      <c r="A222" s="1210" t="str">
        <f t="shared" si="25"/>
        <v xml:space="preserve"> </v>
      </c>
      <c r="B222" s="1073"/>
      <c r="C222" s="1080"/>
      <c r="D222" s="1080"/>
      <c r="E222" s="1081"/>
      <c r="F222" s="1082"/>
      <c r="G222" s="1080"/>
      <c r="H222" s="1083"/>
      <c r="I222" s="1084"/>
      <c r="J222" s="1080"/>
      <c r="K222" s="1081"/>
      <c r="L222" s="209"/>
      <c r="M222" s="210"/>
      <c r="N222" s="210"/>
      <c r="O222" s="210"/>
      <c r="P222" s="210"/>
      <c r="Q222" s="210"/>
      <c r="R222" s="210"/>
      <c r="S222" s="210"/>
      <c r="T222" s="210"/>
      <c r="U222" s="210"/>
      <c r="V222" s="210"/>
      <c r="W222" s="210"/>
    </row>
    <row r="223" spans="1:23" ht="11.25" customHeight="1">
      <c r="A223" s="1210" t="str">
        <f t="shared" si="25"/>
        <v xml:space="preserve"> </v>
      </c>
      <c r="B223" s="1073"/>
      <c r="C223" s="1080"/>
      <c r="D223" s="1080"/>
      <c r="E223" s="1081"/>
      <c r="F223" s="1082"/>
      <c r="G223" s="1080"/>
      <c r="H223" s="1083"/>
      <c r="I223" s="1084"/>
      <c r="J223" s="1080"/>
      <c r="K223" s="1081"/>
      <c r="L223" s="209"/>
      <c r="M223" s="210"/>
      <c r="N223" s="210"/>
      <c r="O223" s="210"/>
      <c r="P223" s="210"/>
      <c r="Q223" s="210"/>
      <c r="R223" s="210"/>
      <c r="S223" s="210"/>
      <c r="T223" s="210"/>
      <c r="U223" s="210"/>
      <c r="V223" s="210"/>
      <c r="W223" s="210"/>
    </row>
    <row r="224" spans="1:23" ht="11.25" customHeight="1">
      <c r="A224" s="1210" t="str">
        <f t="shared" si="25"/>
        <v xml:space="preserve"> </v>
      </c>
      <c r="B224" s="1073"/>
      <c r="C224" s="1080"/>
      <c r="D224" s="1080"/>
      <c r="E224" s="1081"/>
      <c r="F224" s="1082"/>
      <c r="G224" s="1080"/>
      <c r="H224" s="1083"/>
      <c r="I224" s="1084"/>
      <c r="J224" s="1080"/>
      <c r="K224" s="1081"/>
      <c r="L224" s="209"/>
      <c r="M224" s="210"/>
      <c r="N224" s="210"/>
      <c r="O224" s="210"/>
      <c r="P224" s="210"/>
      <c r="Q224" s="210"/>
      <c r="R224" s="210"/>
      <c r="S224" s="210"/>
      <c r="T224" s="210"/>
      <c r="U224" s="210"/>
      <c r="V224" s="210"/>
      <c r="W224" s="210"/>
    </row>
    <row r="225" spans="1:23" ht="11.25" customHeight="1">
      <c r="A225" s="1210" t="str">
        <f t="shared" ref="A225:A227" si="27">A57</f>
        <v xml:space="preserve"> </v>
      </c>
      <c r="B225" s="1073"/>
      <c r="C225" s="1080"/>
      <c r="D225" s="1080"/>
      <c r="E225" s="1081"/>
      <c r="F225" s="1082"/>
      <c r="G225" s="1080"/>
      <c r="H225" s="1083"/>
      <c r="I225" s="1084"/>
      <c r="J225" s="1080"/>
      <c r="K225" s="1081"/>
      <c r="L225" s="209"/>
      <c r="M225" s="210"/>
      <c r="N225" s="210"/>
      <c r="O225" s="210"/>
      <c r="P225" s="210"/>
      <c r="Q225" s="210"/>
      <c r="R225" s="210"/>
      <c r="S225" s="210"/>
      <c r="T225" s="210"/>
      <c r="U225" s="210"/>
      <c r="V225" s="210"/>
      <c r="W225" s="210"/>
    </row>
    <row r="226" spans="1:23" ht="11.25" customHeight="1">
      <c r="A226" s="1210" t="str">
        <f t="shared" si="27"/>
        <v xml:space="preserve"> </v>
      </c>
      <c r="B226" s="1073"/>
      <c r="C226" s="1080"/>
      <c r="D226" s="1080"/>
      <c r="E226" s="1081"/>
      <c r="F226" s="1082"/>
      <c r="G226" s="1080"/>
      <c r="H226" s="1083"/>
      <c r="I226" s="1084"/>
      <c r="J226" s="1080"/>
      <c r="K226" s="1081"/>
      <c r="L226" s="209"/>
      <c r="M226" s="210"/>
      <c r="N226" s="210"/>
      <c r="O226" s="210"/>
      <c r="P226" s="210"/>
      <c r="Q226" s="210"/>
      <c r="R226" s="210"/>
      <c r="S226" s="210"/>
      <c r="T226" s="210"/>
      <c r="U226" s="210"/>
      <c r="V226" s="210"/>
      <c r="W226" s="210"/>
    </row>
    <row r="227" spans="1:23" ht="11.25" customHeight="1">
      <c r="A227" s="1210" t="str">
        <f t="shared" si="27"/>
        <v xml:space="preserve"> </v>
      </c>
      <c r="B227" s="1073"/>
      <c r="C227" s="1080"/>
      <c r="D227" s="1080"/>
      <c r="E227" s="1081"/>
      <c r="F227" s="1082"/>
      <c r="G227" s="1080"/>
      <c r="H227" s="1083"/>
      <c r="I227" s="1084"/>
      <c r="J227" s="1080"/>
      <c r="K227" s="1081"/>
      <c r="L227" s="209"/>
      <c r="M227" s="210"/>
      <c r="N227" s="210"/>
      <c r="O227" s="210"/>
      <c r="P227" s="210"/>
      <c r="Q227" s="210"/>
      <c r="R227" s="210"/>
      <c r="S227" s="210"/>
      <c r="T227" s="210"/>
      <c r="U227" s="210"/>
      <c r="V227" s="210"/>
      <c r="W227" s="210"/>
    </row>
    <row r="228" spans="1:23" ht="11.25" customHeight="1">
      <c r="A228" s="1209" t="str">
        <f>A60</f>
        <v>Example 6 - Vote6</v>
      </c>
      <c r="B228" s="1085"/>
      <c r="C228" s="1002">
        <f t="shared" ref="C228:K228" si="28">SUM(C229:C238)</f>
        <v>0</v>
      </c>
      <c r="D228" s="1002">
        <f t="shared" si="28"/>
        <v>0</v>
      </c>
      <c r="E228" s="1003">
        <f t="shared" si="28"/>
        <v>0</v>
      </c>
      <c r="F228" s="1004">
        <f t="shared" si="28"/>
        <v>0</v>
      </c>
      <c r="G228" s="1002">
        <f t="shared" si="28"/>
        <v>0</v>
      </c>
      <c r="H228" s="1005">
        <f t="shared" si="28"/>
        <v>0</v>
      </c>
      <c r="I228" s="1006">
        <f t="shared" si="28"/>
        <v>0</v>
      </c>
      <c r="J228" s="1002">
        <f t="shared" si="28"/>
        <v>0</v>
      </c>
      <c r="K228" s="1003">
        <f t="shared" si="28"/>
        <v>0</v>
      </c>
      <c r="L228" s="209"/>
      <c r="M228" s="210"/>
      <c r="N228" s="210"/>
      <c r="O228" s="210"/>
      <c r="P228" s="210"/>
      <c r="Q228" s="210"/>
      <c r="R228" s="210"/>
      <c r="S228" s="210"/>
      <c r="T228" s="210"/>
      <c r="U228" s="210"/>
      <c r="V228" s="210"/>
      <c r="W228" s="210"/>
    </row>
    <row r="229" spans="1:23" ht="11.25" customHeight="1">
      <c r="A229" s="1210" t="str">
        <f t="shared" ref="A229:A238" si="29">A61</f>
        <v>Subvote example 6</v>
      </c>
      <c r="B229" s="1073"/>
      <c r="C229" s="1080"/>
      <c r="D229" s="1080"/>
      <c r="E229" s="1081"/>
      <c r="F229" s="1082"/>
      <c r="G229" s="1080"/>
      <c r="H229" s="1083"/>
      <c r="I229" s="1084"/>
      <c r="J229" s="1080"/>
      <c r="K229" s="1081"/>
      <c r="L229" s="209"/>
      <c r="M229" s="210"/>
      <c r="N229" s="210"/>
      <c r="O229" s="210"/>
      <c r="P229" s="210"/>
      <c r="Q229" s="210"/>
      <c r="R229" s="210"/>
      <c r="S229" s="210"/>
      <c r="T229" s="210"/>
      <c r="U229" s="210"/>
      <c r="V229" s="210"/>
      <c r="W229" s="210"/>
    </row>
    <row r="230" spans="1:23" ht="11.25" customHeight="1">
      <c r="A230" s="1210" t="str">
        <f t="shared" si="29"/>
        <v xml:space="preserve"> </v>
      </c>
      <c r="B230" s="1073"/>
      <c r="C230" s="1080"/>
      <c r="D230" s="1080"/>
      <c r="E230" s="1081"/>
      <c r="F230" s="1082"/>
      <c r="G230" s="1080"/>
      <c r="H230" s="1083"/>
      <c r="I230" s="1084"/>
      <c r="J230" s="1080"/>
      <c r="K230" s="1081"/>
      <c r="L230" s="209"/>
      <c r="M230" s="210"/>
      <c r="N230" s="210"/>
      <c r="O230" s="210"/>
      <c r="P230" s="210"/>
      <c r="Q230" s="210"/>
      <c r="R230" s="210"/>
      <c r="S230" s="210"/>
      <c r="T230" s="210"/>
      <c r="U230" s="210"/>
      <c r="V230" s="210"/>
      <c r="W230" s="210"/>
    </row>
    <row r="231" spans="1:23" ht="11.25" customHeight="1">
      <c r="A231" s="1210" t="str">
        <f t="shared" si="29"/>
        <v xml:space="preserve"> </v>
      </c>
      <c r="B231" s="1073"/>
      <c r="C231" s="1080"/>
      <c r="D231" s="1080"/>
      <c r="E231" s="1081"/>
      <c r="F231" s="1082"/>
      <c r="G231" s="1080"/>
      <c r="H231" s="1083"/>
      <c r="I231" s="1084"/>
      <c r="J231" s="1080"/>
      <c r="K231" s="1081"/>
      <c r="L231" s="209"/>
      <c r="M231" s="210"/>
      <c r="N231" s="210"/>
      <c r="O231" s="210"/>
      <c r="P231" s="210"/>
      <c r="Q231" s="210"/>
      <c r="R231" s="210"/>
      <c r="S231" s="210"/>
      <c r="T231" s="210"/>
      <c r="U231" s="210"/>
      <c r="V231" s="210"/>
      <c r="W231" s="210"/>
    </row>
    <row r="232" spans="1:23" ht="11.25" customHeight="1">
      <c r="A232" s="1210" t="str">
        <f t="shared" si="29"/>
        <v xml:space="preserve"> </v>
      </c>
      <c r="B232" s="1073"/>
      <c r="C232" s="1080"/>
      <c r="D232" s="1080"/>
      <c r="E232" s="1081"/>
      <c r="F232" s="1082"/>
      <c r="G232" s="1080"/>
      <c r="H232" s="1083"/>
      <c r="I232" s="1084"/>
      <c r="J232" s="1080"/>
      <c r="K232" s="1081"/>
      <c r="L232" s="209"/>
      <c r="M232" s="210"/>
      <c r="N232" s="210"/>
      <c r="O232" s="210"/>
      <c r="P232" s="210"/>
      <c r="Q232" s="210"/>
      <c r="R232" s="210"/>
      <c r="S232" s="210"/>
      <c r="T232" s="210"/>
      <c r="U232" s="210"/>
      <c r="V232" s="210"/>
      <c r="W232" s="210"/>
    </row>
    <row r="233" spans="1:23" ht="11.25" customHeight="1">
      <c r="A233" s="1210" t="str">
        <f t="shared" si="29"/>
        <v xml:space="preserve"> </v>
      </c>
      <c r="B233" s="1073"/>
      <c r="C233" s="1080"/>
      <c r="D233" s="1080"/>
      <c r="E233" s="1081"/>
      <c r="F233" s="1082"/>
      <c r="G233" s="1080"/>
      <c r="H233" s="1083"/>
      <c r="I233" s="1084"/>
      <c r="J233" s="1080"/>
      <c r="K233" s="1081"/>
      <c r="L233" s="209"/>
      <c r="M233" s="210"/>
      <c r="N233" s="210"/>
      <c r="O233" s="210"/>
      <c r="P233" s="210"/>
      <c r="Q233" s="210"/>
      <c r="R233" s="210"/>
      <c r="S233" s="210"/>
      <c r="T233" s="210"/>
      <c r="U233" s="210"/>
      <c r="V233" s="210"/>
      <c r="W233" s="210"/>
    </row>
    <row r="234" spans="1:23" ht="11.25" customHeight="1">
      <c r="A234" s="1210" t="str">
        <f t="shared" si="29"/>
        <v xml:space="preserve"> </v>
      </c>
      <c r="B234" s="1073"/>
      <c r="C234" s="1080"/>
      <c r="D234" s="1080"/>
      <c r="E234" s="1081"/>
      <c r="F234" s="1082"/>
      <c r="G234" s="1080"/>
      <c r="H234" s="1083"/>
      <c r="I234" s="1084"/>
      <c r="J234" s="1080"/>
      <c r="K234" s="1081"/>
      <c r="L234" s="209"/>
      <c r="M234" s="210"/>
      <c r="N234" s="210"/>
      <c r="O234" s="210"/>
      <c r="P234" s="210"/>
      <c r="Q234" s="210"/>
      <c r="R234" s="210"/>
      <c r="S234" s="210"/>
      <c r="T234" s="210"/>
      <c r="U234" s="210"/>
      <c r="V234" s="210"/>
      <c r="W234" s="210"/>
    </row>
    <row r="235" spans="1:23" ht="11.25" customHeight="1">
      <c r="A235" s="1210" t="str">
        <f t="shared" si="29"/>
        <v xml:space="preserve"> </v>
      </c>
      <c r="B235" s="1073"/>
      <c r="C235" s="1080"/>
      <c r="D235" s="1080"/>
      <c r="E235" s="1081"/>
      <c r="F235" s="1082"/>
      <c r="G235" s="1080"/>
      <c r="H235" s="1083"/>
      <c r="I235" s="1084"/>
      <c r="J235" s="1080"/>
      <c r="K235" s="1081"/>
      <c r="L235" s="209"/>
      <c r="M235" s="210"/>
      <c r="N235" s="210"/>
      <c r="O235" s="210"/>
      <c r="P235" s="210"/>
      <c r="Q235" s="210"/>
      <c r="R235" s="210"/>
      <c r="S235" s="210"/>
      <c r="T235" s="210"/>
      <c r="U235" s="210"/>
      <c r="V235" s="210"/>
      <c r="W235" s="210"/>
    </row>
    <row r="236" spans="1:23" ht="11.25" customHeight="1">
      <c r="A236" s="1210" t="str">
        <f t="shared" si="29"/>
        <v xml:space="preserve"> </v>
      </c>
      <c r="B236" s="1073"/>
      <c r="C236" s="1080"/>
      <c r="D236" s="1080"/>
      <c r="E236" s="1081"/>
      <c r="F236" s="1082"/>
      <c r="G236" s="1080"/>
      <c r="H236" s="1083"/>
      <c r="I236" s="1084"/>
      <c r="J236" s="1080"/>
      <c r="K236" s="1081"/>
      <c r="L236" s="209"/>
      <c r="M236" s="210"/>
      <c r="N236" s="210"/>
      <c r="O236" s="210"/>
      <c r="P236" s="210"/>
      <c r="Q236" s="210"/>
      <c r="R236" s="210"/>
      <c r="S236" s="210"/>
      <c r="T236" s="210"/>
      <c r="U236" s="210"/>
      <c r="V236" s="210"/>
      <c r="W236" s="210"/>
    </row>
    <row r="237" spans="1:23" ht="11.25" customHeight="1">
      <c r="A237" s="1210" t="str">
        <f t="shared" si="29"/>
        <v xml:space="preserve"> </v>
      </c>
      <c r="B237" s="1073"/>
      <c r="C237" s="1080"/>
      <c r="D237" s="1080"/>
      <c r="E237" s="1081"/>
      <c r="F237" s="1082"/>
      <c r="G237" s="1080"/>
      <c r="H237" s="1083"/>
      <c r="I237" s="1084"/>
      <c r="J237" s="1080"/>
      <c r="K237" s="1081"/>
      <c r="L237" s="209"/>
      <c r="M237" s="210"/>
      <c r="N237" s="210"/>
      <c r="O237" s="210"/>
      <c r="P237" s="210"/>
      <c r="Q237" s="210"/>
      <c r="R237" s="210"/>
      <c r="S237" s="210"/>
      <c r="T237" s="210"/>
      <c r="U237" s="210"/>
      <c r="V237" s="210"/>
      <c r="W237" s="210"/>
    </row>
    <row r="238" spans="1:23" ht="11.25" customHeight="1">
      <c r="A238" s="1210" t="str">
        <f t="shared" si="29"/>
        <v xml:space="preserve"> </v>
      </c>
      <c r="B238" s="1073"/>
      <c r="C238" s="1080"/>
      <c r="D238" s="1080"/>
      <c r="E238" s="1081"/>
      <c r="F238" s="1082"/>
      <c r="G238" s="1080"/>
      <c r="H238" s="1083"/>
      <c r="I238" s="1084"/>
      <c r="J238" s="1080"/>
      <c r="K238" s="1081"/>
      <c r="L238" s="209"/>
      <c r="M238" s="210"/>
      <c r="N238" s="210"/>
      <c r="O238" s="210"/>
      <c r="P238" s="210"/>
      <c r="Q238" s="210"/>
      <c r="R238" s="210"/>
      <c r="S238" s="210"/>
      <c r="T238" s="210"/>
      <c r="U238" s="210"/>
      <c r="V238" s="210"/>
      <c r="W238" s="210"/>
    </row>
    <row r="239" spans="1:23" ht="11.25" customHeight="1">
      <c r="A239" s="1209" t="str">
        <f>A71</f>
        <v>Example 7 - Vote7</v>
      </c>
      <c r="B239" s="1085"/>
      <c r="C239" s="1002">
        <f t="shared" ref="C239:K239" si="30">SUM(C240:C249)</f>
        <v>0</v>
      </c>
      <c r="D239" s="1002">
        <f t="shared" si="30"/>
        <v>0</v>
      </c>
      <c r="E239" s="1003">
        <f t="shared" si="30"/>
        <v>0</v>
      </c>
      <c r="F239" s="1004">
        <f t="shared" si="30"/>
        <v>0</v>
      </c>
      <c r="G239" s="1002">
        <f t="shared" si="30"/>
        <v>0</v>
      </c>
      <c r="H239" s="1005">
        <f t="shared" si="30"/>
        <v>0</v>
      </c>
      <c r="I239" s="1006">
        <f t="shared" si="30"/>
        <v>0</v>
      </c>
      <c r="J239" s="1002">
        <f t="shared" si="30"/>
        <v>0</v>
      </c>
      <c r="K239" s="1003">
        <f t="shared" si="30"/>
        <v>0</v>
      </c>
      <c r="L239" s="209"/>
      <c r="M239" s="210"/>
      <c r="N239" s="210"/>
      <c r="O239" s="210"/>
      <c r="P239" s="210"/>
      <c r="Q239" s="210"/>
      <c r="R239" s="210"/>
      <c r="S239" s="210"/>
      <c r="T239" s="210"/>
      <c r="U239" s="210"/>
      <c r="V239" s="210"/>
      <c r="W239" s="210"/>
    </row>
    <row r="240" spans="1:23" ht="11.25" customHeight="1">
      <c r="A240" s="1210" t="str">
        <f t="shared" ref="A240:A249" si="31">A72</f>
        <v>Subvote example 7</v>
      </c>
      <c r="B240" s="1073"/>
      <c r="C240" s="1080"/>
      <c r="D240" s="1080"/>
      <c r="E240" s="1081"/>
      <c r="F240" s="1082"/>
      <c r="G240" s="1080"/>
      <c r="H240" s="1083"/>
      <c r="I240" s="1084"/>
      <c r="J240" s="1080"/>
      <c r="K240" s="1081"/>
      <c r="L240" s="209"/>
      <c r="M240" s="210"/>
      <c r="N240" s="210"/>
      <c r="O240" s="210"/>
      <c r="P240" s="210"/>
      <c r="Q240" s="210"/>
      <c r="R240" s="210"/>
      <c r="S240" s="210"/>
      <c r="T240" s="210"/>
      <c r="U240" s="210"/>
      <c r="V240" s="210"/>
      <c r="W240" s="210"/>
    </row>
    <row r="241" spans="1:23" ht="11.25" customHeight="1">
      <c r="A241" s="1210" t="str">
        <f t="shared" si="31"/>
        <v xml:space="preserve"> </v>
      </c>
      <c r="B241" s="1073"/>
      <c r="C241" s="1080"/>
      <c r="D241" s="1080"/>
      <c r="E241" s="1081"/>
      <c r="F241" s="1082"/>
      <c r="G241" s="1080"/>
      <c r="H241" s="1083"/>
      <c r="I241" s="1084"/>
      <c r="J241" s="1080"/>
      <c r="K241" s="1081"/>
      <c r="L241" s="209"/>
      <c r="M241" s="210"/>
      <c r="N241" s="210"/>
      <c r="O241" s="210"/>
      <c r="P241" s="210"/>
      <c r="Q241" s="210"/>
      <c r="R241" s="210"/>
      <c r="S241" s="210"/>
      <c r="T241" s="210"/>
      <c r="U241" s="210"/>
      <c r="V241" s="210"/>
      <c r="W241" s="210"/>
    </row>
    <row r="242" spans="1:23" ht="11.25" customHeight="1">
      <c r="A242" s="1210" t="str">
        <f t="shared" si="31"/>
        <v xml:space="preserve"> </v>
      </c>
      <c r="B242" s="1073"/>
      <c r="C242" s="1080"/>
      <c r="D242" s="1080"/>
      <c r="E242" s="1081"/>
      <c r="F242" s="1082"/>
      <c r="G242" s="1080"/>
      <c r="H242" s="1083"/>
      <c r="I242" s="1084"/>
      <c r="J242" s="1080"/>
      <c r="K242" s="1081"/>
      <c r="L242" s="209"/>
      <c r="M242" s="210"/>
      <c r="N242" s="210"/>
      <c r="O242" s="210"/>
      <c r="P242" s="210"/>
      <c r="Q242" s="210"/>
      <c r="R242" s="210"/>
      <c r="S242" s="210"/>
      <c r="T242" s="210"/>
      <c r="U242" s="210"/>
      <c r="V242" s="210"/>
      <c r="W242" s="210"/>
    </row>
    <row r="243" spans="1:23" ht="11.25" customHeight="1">
      <c r="A243" s="1210" t="str">
        <f t="shared" si="31"/>
        <v xml:space="preserve"> </v>
      </c>
      <c r="B243" s="1073"/>
      <c r="C243" s="1080"/>
      <c r="D243" s="1080"/>
      <c r="E243" s="1081"/>
      <c r="F243" s="1082"/>
      <c r="G243" s="1080"/>
      <c r="H243" s="1083"/>
      <c r="I243" s="1084"/>
      <c r="J243" s="1080"/>
      <c r="K243" s="1081"/>
      <c r="L243" s="209"/>
      <c r="M243" s="210"/>
      <c r="N243" s="210"/>
      <c r="O243" s="210"/>
      <c r="P243" s="210"/>
      <c r="Q243" s="210"/>
      <c r="R243" s="210"/>
      <c r="S243" s="210"/>
      <c r="T243" s="210"/>
      <c r="U243" s="210"/>
      <c r="V243" s="210"/>
      <c r="W243" s="210"/>
    </row>
    <row r="244" spans="1:23" ht="11.25" customHeight="1">
      <c r="A244" s="1210" t="str">
        <f t="shared" si="31"/>
        <v xml:space="preserve"> </v>
      </c>
      <c r="B244" s="1073"/>
      <c r="C244" s="1080"/>
      <c r="D244" s="1080"/>
      <c r="E244" s="1081"/>
      <c r="F244" s="1082"/>
      <c r="G244" s="1080"/>
      <c r="H244" s="1083"/>
      <c r="I244" s="1084"/>
      <c r="J244" s="1080"/>
      <c r="K244" s="1081"/>
      <c r="L244" s="209"/>
      <c r="M244" s="210"/>
      <c r="N244" s="210"/>
      <c r="O244" s="210"/>
      <c r="P244" s="210"/>
      <c r="Q244" s="210"/>
      <c r="R244" s="210"/>
      <c r="S244" s="210"/>
      <c r="T244" s="210"/>
      <c r="U244" s="210"/>
      <c r="V244" s="210"/>
      <c r="W244" s="210"/>
    </row>
    <row r="245" spans="1:23" ht="11.25" customHeight="1">
      <c r="A245" s="1210" t="str">
        <f t="shared" si="31"/>
        <v xml:space="preserve"> </v>
      </c>
      <c r="B245" s="1073"/>
      <c r="C245" s="1080"/>
      <c r="D245" s="1080"/>
      <c r="E245" s="1081"/>
      <c r="F245" s="1082"/>
      <c r="G245" s="1080"/>
      <c r="H245" s="1083"/>
      <c r="I245" s="1084"/>
      <c r="J245" s="1080"/>
      <c r="K245" s="1081"/>
      <c r="L245" s="209"/>
      <c r="M245" s="210"/>
      <c r="N245" s="210"/>
      <c r="O245" s="210"/>
      <c r="P245" s="210"/>
      <c r="Q245" s="210"/>
      <c r="R245" s="210"/>
      <c r="S245" s="210"/>
      <c r="T245" s="210"/>
      <c r="U245" s="210"/>
      <c r="V245" s="210"/>
      <c r="W245" s="210"/>
    </row>
    <row r="246" spans="1:23" ht="11.25" customHeight="1">
      <c r="A246" s="1210" t="str">
        <f t="shared" si="31"/>
        <v xml:space="preserve"> </v>
      </c>
      <c r="B246" s="1073"/>
      <c r="C246" s="1080"/>
      <c r="D246" s="1080"/>
      <c r="E246" s="1081"/>
      <c r="F246" s="1082"/>
      <c r="G246" s="1080"/>
      <c r="H246" s="1083"/>
      <c r="I246" s="1084"/>
      <c r="J246" s="1080"/>
      <c r="K246" s="1081"/>
      <c r="L246" s="209"/>
      <c r="M246" s="210"/>
      <c r="N246" s="210"/>
      <c r="O246" s="210"/>
      <c r="P246" s="210"/>
      <c r="Q246" s="210"/>
      <c r="R246" s="210"/>
      <c r="S246" s="210"/>
      <c r="T246" s="210"/>
      <c r="U246" s="210"/>
      <c r="V246" s="210"/>
      <c r="W246" s="210"/>
    </row>
    <row r="247" spans="1:23" ht="11.25" customHeight="1">
      <c r="A247" s="1210" t="str">
        <f t="shared" si="31"/>
        <v xml:space="preserve"> </v>
      </c>
      <c r="B247" s="1073"/>
      <c r="C247" s="1080"/>
      <c r="D247" s="1080"/>
      <c r="E247" s="1081"/>
      <c r="F247" s="1082"/>
      <c r="G247" s="1080"/>
      <c r="H247" s="1083"/>
      <c r="I247" s="1084"/>
      <c r="J247" s="1080"/>
      <c r="K247" s="1081"/>
      <c r="L247" s="209"/>
      <c r="M247" s="210"/>
      <c r="N247" s="210"/>
      <c r="O247" s="210"/>
      <c r="P247" s="210"/>
      <c r="Q247" s="210"/>
      <c r="R247" s="210"/>
      <c r="S247" s="210"/>
      <c r="T247" s="210"/>
      <c r="U247" s="210"/>
      <c r="V247" s="210"/>
      <c r="W247" s="210"/>
    </row>
    <row r="248" spans="1:23" ht="11.25" customHeight="1">
      <c r="A248" s="1210" t="str">
        <f t="shared" si="31"/>
        <v xml:space="preserve"> </v>
      </c>
      <c r="B248" s="1073"/>
      <c r="C248" s="1080"/>
      <c r="D248" s="1080"/>
      <c r="E248" s="1081"/>
      <c r="F248" s="1082"/>
      <c r="G248" s="1080"/>
      <c r="H248" s="1083"/>
      <c r="I248" s="1084"/>
      <c r="J248" s="1080"/>
      <c r="K248" s="1081"/>
      <c r="L248" s="209"/>
      <c r="M248" s="210"/>
      <c r="N248" s="210"/>
      <c r="O248" s="210"/>
      <c r="P248" s="210"/>
      <c r="Q248" s="210"/>
      <c r="R248" s="210"/>
      <c r="S248" s="210"/>
      <c r="T248" s="210"/>
      <c r="U248" s="210"/>
      <c r="V248" s="210"/>
      <c r="W248" s="210"/>
    </row>
    <row r="249" spans="1:23" ht="11.25" customHeight="1">
      <c r="A249" s="1210" t="str">
        <f t="shared" si="31"/>
        <v xml:space="preserve"> </v>
      </c>
      <c r="B249" s="1073"/>
      <c r="C249" s="1080"/>
      <c r="D249" s="1080"/>
      <c r="E249" s="1081"/>
      <c r="F249" s="1082"/>
      <c r="G249" s="1080"/>
      <c r="H249" s="1083"/>
      <c r="I249" s="1084"/>
      <c r="J249" s="1080"/>
      <c r="K249" s="1081"/>
      <c r="L249" s="209"/>
      <c r="M249" s="210"/>
      <c r="N249" s="210"/>
      <c r="O249" s="210"/>
      <c r="P249" s="210"/>
      <c r="Q249" s="210"/>
      <c r="R249" s="210"/>
      <c r="S249" s="210"/>
      <c r="T249" s="210"/>
      <c r="U249" s="210"/>
      <c r="V249" s="210"/>
      <c r="W249" s="210"/>
    </row>
    <row r="250" spans="1:23" ht="11.25" customHeight="1">
      <c r="A250" s="1209" t="str">
        <f>A82</f>
        <v>Example 8 - Vote8</v>
      </c>
      <c r="B250" s="1073"/>
      <c r="C250" s="1002">
        <f t="shared" ref="C250:K250" si="32">SUM(C251:C260)</f>
        <v>0</v>
      </c>
      <c r="D250" s="1002">
        <f t="shared" si="32"/>
        <v>0</v>
      </c>
      <c r="E250" s="1003">
        <f t="shared" si="32"/>
        <v>0</v>
      </c>
      <c r="F250" s="1004">
        <f t="shared" si="32"/>
        <v>0</v>
      </c>
      <c r="G250" s="1002">
        <f t="shared" si="32"/>
        <v>0</v>
      </c>
      <c r="H250" s="1005">
        <f t="shared" si="32"/>
        <v>0</v>
      </c>
      <c r="I250" s="1006">
        <f t="shared" si="32"/>
        <v>0</v>
      </c>
      <c r="J250" s="1002">
        <f t="shared" si="32"/>
        <v>0</v>
      </c>
      <c r="K250" s="1003">
        <f t="shared" si="32"/>
        <v>0</v>
      </c>
      <c r="L250" s="209"/>
      <c r="M250" s="210"/>
      <c r="N250" s="210"/>
      <c r="O250" s="210"/>
      <c r="P250" s="210"/>
      <c r="Q250" s="210"/>
      <c r="R250" s="210"/>
      <c r="S250" s="210"/>
      <c r="T250" s="210"/>
      <c r="U250" s="210"/>
      <c r="V250" s="210"/>
      <c r="W250" s="210"/>
    </row>
    <row r="251" spans="1:23" ht="11.25" customHeight="1">
      <c r="A251" s="1210" t="str">
        <f t="shared" ref="A251:A271" si="33">A83</f>
        <v>Subvote example 8</v>
      </c>
      <c r="B251" s="1073"/>
      <c r="C251" s="1080"/>
      <c r="D251" s="1080"/>
      <c r="E251" s="1081"/>
      <c r="F251" s="1082"/>
      <c r="G251" s="1080"/>
      <c r="H251" s="1083"/>
      <c r="I251" s="1084"/>
      <c r="J251" s="1080"/>
      <c r="K251" s="1081"/>
      <c r="L251" s="209"/>
      <c r="M251" s="210"/>
      <c r="N251" s="210"/>
      <c r="O251" s="210"/>
      <c r="P251" s="210"/>
      <c r="Q251" s="210"/>
      <c r="R251" s="210"/>
      <c r="S251" s="210"/>
      <c r="T251" s="210"/>
      <c r="U251" s="210"/>
      <c r="V251" s="210"/>
      <c r="W251" s="210"/>
    </row>
    <row r="252" spans="1:23" ht="11.25" customHeight="1">
      <c r="A252" s="1210" t="str">
        <f t="shared" si="33"/>
        <v xml:space="preserve"> </v>
      </c>
      <c r="B252" s="1073"/>
      <c r="C252" s="1080"/>
      <c r="D252" s="1080"/>
      <c r="E252" s="1081"/>
      <c r="F252" s="1082"/>
      <c r="G252" s="1080"/>
      <c r="H252" s="1083"/>
      <c r="I252" s="1084"/>
      <c r="J252" s="1080"/>
      <c r="K252" s="1081"/>
      <c r="L252" s="209"/>
      <c r="M252" s="210"/>
      <c r="N252" s="210"/>
      <c r="O252" s="210"/>
      <c r="P252" s="210"/>
      <c r="Q252" s="210"/>
      <c r="R252" s="210"/>
      <c r="S252" s="210"/>
      <c r="T252" s="210"/>
      <c r="U252" s="210"/>
      <c r="V252" s="210"/>
      <c r="W252" s="210"/>
    </row>
    <row r="253" spans="1:23" ht="11.25" customHeight="1">
      <c r="A253" s="1210" t="str">
        <f t="shared" si="33"/>
        <v xml:space="preserve"> </v>
      </c>
      <c r="B253" s="1073"/>
      <c r="C253" s="1080"/>
      <c r="D253" s="1080"/>
      <c r="E253" s="1081"/>
      <c r="F253" s="1082"/>
      <c r="G253" s="1080"/>
      <c r="H253" s="1083"/>
      <c r="I253" s="1084"/>
      <c r="J253" s="1080"/>
      <c r="K253" s="1081"/>
      <c r="L253" s="209"/>
      <c r="M253" s="210"/>
      <c r="N253" s="210"/>
      <c r="O253" s="210"/>
      <c r="P253" s="210"/>
      <c r="Q253" s="210"/>
      <c r="R253" s="210"/>
      <c r="S253" s="210"/>
      <c r="T253" s="210"/>
      <c r="U253" s="210"/>
      <c r="V253" s="210"/>
      <c r="W253" s="210"/>
    </row>
    <row r="254" spans="1:23" ht="11.25" customHeight="1">
      <c r="A254" s="1210" t="str">
        <f t="shared" si="33"/>
        <v xml:space="preserve"> </v>
      </c>
      <c r="B254" s="1073"/>
      <c r="C254" s="1080"/>
      <c r="D254" s="1080"/>
      <c r="E254" s="1081"/>
      <c r="F254" s="1082"/>
      <c r="G254" s="1080"/>
      <c r="H254" s="1083"/>
      <c r="I254" s="1084"/>
      <c r="J254" s="1080"/>
      <c r="K254" s="1081"/>
      <c r="L254" s="209"/>
      <c r="M254" s="210"/>
      <c r="N254" s="210"/>
      <c r="O254" s="210"/>
      <c r="P254" s="210"/>
      <c r="Q254" s="210"/>
      <c r="R254" s="210"/>
      <c r="S254" s="210"/>
      <c r="T254" s="210"/>
      <c r="U254" s="210"/>
      <c r="V254" s="210"/>
      <c r="W254" s="210"/>
    </row>
    <row r="255" spans="1:23" ht="11.25" customHeight="1">
      <c r="A255" s="1210" t="str">
        <f t="shared" si="33"/>
        <v xml:space="preserve"> </v>
      </c>
      <c r="B255" s="1073"/>
      <c r="C255" s="1080"/>
      <c r="D255" s="1080"/>
      <c r="E255" s="1081"/>
      <c r="F255" s="1082"/>
      <c r="G255" s="1080"/>
      <c r="H255" s="1083"/>
      <c r="I255" s="1084"/>
      <c r="J255" s="1080"/>
      <c r="K255" s="1081"/>
      <c r="L255" s="209"/>
      <c r="M255" s="210"/>
      <c r="N255" s="210"/>
      <c r="O255" s="210"/>
      <c r="P255" s="210"/>
      <c r="Q255" s="210"/>
      <c r="R255" s="210"/>
      <c r="S255" s="210"/>
      <c r="T255" s="210"/>
      <c r="U255" s="210"/>
      <c r="V255" s="210"/>
      <c r="W255" s="210"/>
    </row>
    <row r="256" spans="1:23" ht="11.25" customHeight="1">
      <c r="A256" s="1210" t="str">
        <f t="shared" si="33"/>
        <v xml:space="preserve"> </v>
      </c>
      <c r="B256" s="1073"/>
      <c r="C256" s="1080"/>
      <c r="D256" s="1080"/>
      <c r="E256" s="1081"/>
      <c r="F256" s="1082"/>
      <c r="G256" s="1080"/>
      <c r="H256" s="1083"/>
      <c r="I256" s="1084"/>
      <c r="J256" s="1080"/>
      <c r="K256" s="1081"/>
      <c r="L256" s="209"/>
      <c r="M256" s="210"/>
      <c r="N256" s="210"/>
      <c r="O256" s="210"/>
      <c r="P256" s="210"/>
      <c r="Q256" s="210"/>
      <c r="R256" s="210"/>
      <c r="S256" s="210"/>
      <c r="T256" s="210"/>
      <c r="U256" s="210"/>
      <c r="V256" s="210"/>
      <c r="W256" s="210"/>
    </row>
    <row r="257" spans="1:23" ht="11.25" customHeight="1">
      <c r="A257" s="1210" t="str">
        <f t="shared" si="33"/>
        <v xml:space="preserve"> </v>
      </c>
      <c r="B257" s="1073"/>
      <c r="C257" s="1080"/>
      <c r="D257" s="1080"/>
      <c r="E257" s="1081"/>
      <c r="F257" s="1082"/>
      <c r="G257" s="1080"/>
      <c r="H257" s="1083"/>
      <c r="I257" s="1084"/>
      <c r="J257" s="1080"/>
      <c r="K257" s="1081"/>
      <c r="L257" s="209"/>
      <c r="M257" s="210"/>
      <c r="N257" s="210"/>
      <c r="O257" s="210"/>
      <c r="P257" s="210"/>
      <c r="Q257" s="210"/>
      <c r="R257" s="210"/>
      <c r="S257" s="210"/>
      <c r="T257" s="210"/>
      <c r="U257" s="210"/>
      <c r="V257" s="210"/>
      <c r="W257" s="210"/>
    </row>
    <row r="258" spans="1:23" ht="11.25" customHeight="1">
      <c r="A258" s="1210" t="str">
        <f t="shared" si="33"/>
        <v xml:space="preserve"> </v>
      </c>
      <c r="B258" s="1073"/>
      <c r="C258" s="1080"/>
      <c r="D258" s="1080"/>
      <c r="E258" s="1081"/>
      <c r="F258" s="1082"/>
      <c r="G258" s="1080"/>
      <c r="H258" s="1083"/>
      <c r="I258" s="1084"/>
      <c r="J258" s="1080"/>
      <c r="K258" s="1081"/>
      <c r="L258" s="209"/>
      <c r="M258" s="210"/>
      <c r="N258" s="210"/>
      <c r="O258" s="210"/>
      <c r="P258" s="210"/>
      <c r="Q258" s="210"/>
      <c r="R258" s="210"/>
      <c r="S258" s="210"/>
      <c r="T258" s="210"/>
      <c r="U258" s="210"/>
      <c r="V258" s="210"/>
      <c r="W258" s="210"/>
    </row>
    <row r="259" spans="1:23" ht="11.25" customHeight="1">
      <c r="A259" s="1210" t="str">
        <f t="shared" si="33"/>
        <v xml:space="preserve"> </v>
      </c>
      <c r="B259" s="1073"/>
      <c r="C259" s="1080"/>
      <c r="D259" s="1080"/>
      <c r="E259" s="1081"/>
      <c r="F259" s="1082"/>
      <c r="G259" s="1080"/>
      <c r="H259" s="1083"/>
      <c r="I259" s="1084"/>
      <c r="J259" s="1080"/>
      <c r="K259" s="1081"/>
      <c r="L259" s="209"/>
      <c r="M259" s="210"/>
      <c r="N259" s="210"/>
      <c r="O259" s="210"/>
      <c r="P259" s="210"/>
      <c r="Q259" s="210"/>
      <c r="R259" s="210"/>
      <c r="S259" s="210"/>
      <c r="T259" s="210"/>
      <c r="U259" s="210"/>
      <c r="V259" s="210"/>
      <c r="W259" s="210"/>
    </row>
    <row r="260" spans="1:23" ht="11.25" customHeight="1">
      <c r="A260" s="1210" t="str">
        <f t="shared" si="33"/>
        <v xml:space="preserve"> </v>
      </c>
      <c r="B260" s="1073"/>
      <c r="C260" s="1080"/>
      <c r="D260" s="1080"/>
      <c r="E260" s="1081"/>
      <c r="F260" s="1082"/>
      <c r="G260" s="1080"/>
      <c r="H260" s="1083"/>
      <c r="I260" s="1084"/>
      <c r="J260" s="1080"/>
      <c r="K260" s="1081"/>
      <c r="L260" s="209"/>
      <c r="M260" s="210"/>
      <c r="N260" s="210"/>
      <c r="O260" s="210"/>
      <c r="P260" s="210"/>
      <c r="Q260" s="210"/>
      <c r="R260" s="210"/>
      <c r="S260" s="210"/>
      <c r="T260" s="210"/>
      <c r="U260" s="210"/>
      <c r="V260" s="210"/>
      <c r="W260" s="210"/>
    </row>
    <row r="261" spans="1:23" ht="11.25" customHeight="1">
      <c r="A261" s="1209" t="str">
        <f t="shared" si="33"/>
        <v>Example 9 - Vote9</v>
      </c>
      <c r="B261" s="1073"/>
      <c r="C261" s="1002">
        <f t="shared" ref="C261:K261" si="34">SUM(C262:C271)</f>
        <v>0</v>
      </c>
      <c r="D261" s="1002">
        <f t="shared" si="34"/>
        <v>0</v>
      </c>
      <c r="E261" s="1003">
        <f t="shared" si="34"/>
        <v>0</v>
      </c>
      <c r="F261" s="1004">
        <f t="shared" si="34"/>
        <v>0</v>
      </c>
      <c r="G261" s="1002">
        <f t="shared" si="34"/>
        <v>0</v>
      </c>
      <c r="H261" s="1005">
        <f t="shared" si="34"/>
        <v>0</v>
      </c>
      <c r="I261" s="1006">
        <f t="shared" si="34"/>
        <v>0</v>
      </c>
      <c r="J261" s="1002">
        <f t="shared" si="34"/>
        <v>0</v>
      </c>
      <c r="K261" s="1003">
        <f t="shared" si="34"/>
        <v>0</v>
      </c>
      <c r="L261" s="209"/>
      <c r="M261" s="210"/>
      <c r="N261" s="210"/>
      <c r="O261" s="210"/>
      <c r="P261" s="210"/>
      <c r="Q261" s="210"/>
      <c r="R261" s="210"/>
      <c r="S261" s="210"/>
      <c r="T261" s="210"/>
      <c r="U261" s="210"/>
      <c r="V261" s="210"/>
      <c r="W261" s="210"/>
    </row>
    <row r="262" spans="1:23" ht="11.25" customHeight="1">
      <c r="A262" s="1210" t="str">
        <f t="shared" si="33"/>
        <v>Subvote example 9</v>
      </c>
      <c r="B262" s="1073"/>
      <c r="C262" s="1080"/>
      <c r="D262" s="1080"/>
      <c r="E262" s="1081"/>
      <c r="F262" s="1082"/>
      <c r="G262" s="1080"/>
      <c r="H262" s="1083"/>
      <c r="I262" s="1084"/>
      <c r="J262" s="1080"/>
      <c r="K262" s="1081"/>
      <c r="L262" s="209"/>
      <c r="M262" s="210"/>
      <c r="N262" s="210"/>
      <c r="O262" s="210"/>
      <c r="P262" s="210"/>
      <c r="Q262" s="210"/>
      <c r="R262" s="210"/>
      <c r="S262" s="210"/>
      <c r="T262" s="210"/>
      <c r="U262" s="210"/>
      <c r="V262" s="210"/>
      <c r="W262" s="210"/>
    </row>
    <row r="263" spans="1:23" ht="11.25" customHeight="1">
      <c r="A263" s="1210" t="str">
        <f t="shared" si="33"/>
        <v xml:space="preserve"> </v>
      </c>
      <c r="B263" s="1073"/>
      <c r="C263" s="1080"/>
      <c r="D263" s="1080"/>
      <c r="E263" s="1081"/>
      <c r="F263" s="1082"/>
      <c r="G263" s="1080"/>
      <c r="H263" s="1083"/>
      <c r="I263" s="1084"/>
      <c r="J263" s="1080"/>
      <c r="K263" s="1081"/>
      <c r="L263" s="209"/>
      <c r="M263" s="210"/>
      <c r="N263" s="210"/>
      <c r="O263" s="210"/>
      <c r="P263" s="210"/>
      <c r="Q263" s="210"/>
      <c r="R263" s="210"/>
      <c r="S263" s="210"/>
      <c r="T263" s="210"/>
      <c r="U263" s="210"/>
      <c r="V263" s="210"/>
      <c r="W263" s="210"/>
    </row>
    <row r="264" spans="1:23" ht="11.25" customHeight="1">
      <c r="A264" s="1210" t="str">
        <f t="shared" si="33"/>
        <v xml:space="preserve"> </v>
      </c>
      <c r="B264" s="1073"/>
      <c r="C264" s="1080"/>
      <c r="D264" s="1080"/>
      <c r="E264" s="1081"/>
      <c r="F264" s="1082"/>
      <c r="G264" s="1080"/>
      <c r="H264" s="1083"/>
      <c r="I264" s="1084"/>
      <c r="J264" s="1080"/>
      <c r="K264" s="1081"/>
      <c r="L264" s="209"/>
      <c r="M264" s="210"/>
      <c r="N264" s="210"/>
      <c r="O264" s="210"/>
      <c r="P264" s="210"/>
      <c r="Q264" s="210"/>
      <c r="R264" s="210"/>
      <c r="S264" s="210"/>
      <c r="T264" s="210"/>
      <c r="U264" s="210"/>
      <c r="V264" s="210"/>
      <c r="W264" s="210"/>
    </row>
    <row r="265" spans="1:23" ht="11.25" customHeight="1">
      <c r="A265" s="1210" t="str">
        <f t="shared" si="33"/>
        <v xml:space="preserve"> </v>
      </c>
      <c r="B265" s="1073"/>
      <c r="C265" s="1080"/>
      <c r="D265" s="1080"/>
      <c r="E265" s="1081"/>
      <c r="F265" s="1082"/>
      <c r="G265" s="1080"/>
      <c r="H265" s="1083"/>
      <c r="I265" s="1084"/>
      <c r="J265" s="1080"/>
      <c r="K265" s="1081"/>
      <c r="L265" s="209"/>
      <c r="M265" s="210"/>
      <c r="N265" s="210"/>
      <c r="O265" s="210"/>
      <c r="P265" s="210"/>
      <c r="Q265" s="210"/>
      <c r="R265" s="210"/>
      <c r="S265" s="210"/>
      <c r="T265" s="210"/>
      <c r="U265" s="210"/>
      <c r="V265" s="210"/>
      <c r="W265" s="210"/>
    </row>
    <row r="266" spans="1:23" ht="11.25" customHeight="1">
      <c r="A266" s="1210" t="str">
        <f t="shared" si="33"/>
        <v xml:space="preserve"> </v>
      </c>
      <c r="B266" s="1073"/>
      <c r="C266" s="1080"/>
      <c r="D266" s="1080"/>
      <c r="E266" s="1081"/>
      <c r="F266" s="1082"/>
      <c r="G266" s="1080"/>
      <c r="H266" s="1083"/>
      <c r="I266" s="1084"/>
      <c r="J266" s="1080"/>
      <c r="K266" s="1081"/>
      <c r="L266" s="209"/>
      <c r="M266" s="210"/>
      <c r="N266" s="210"/>
      <c r="O266" s="210"/>
      <c r="P266" s="210"/>
      <c r="Q266" s="210"/>
      <c r="R266" s="210"/>
      <c r="S266" s="210"/>
      <c r="T266" s="210"/>
      <c r="U266" s="210"/>
      <c r="V266" s="210"/>
      <c r="W266" s="210"/>
    </row>
    <row r="267" spans="1:23" ht="11.25" customHeight="1">
      <c r="A267" s="1210" t="str">
        <f t="shared" si="33"/>
        <v xml:space="preserve"> </v>
      </c>
      <c r="B267" s="1073"/>
      <c r="C267" s="1080"/>
      <c r="D267" s="1080"/>
      <c r="E267" s="1081"/>
      <c r="F267" s="1082"/>
      <c r="G267" s="1080"/>
      <c r="H267" s="1083"/>
      <c r="I267" s="1084"/>
      <c r="J267" s="1080"/>
      <c r="K267" s="1081"/>
      <c r="L267" s="209"/>
      <c r="M267" s="210"/>
      <c r="N267" s="210"/>
      <c r="O267" s="210"/>
      <c r="P267" s="210"/>
      <c r="Q267" s="210"/>
      <c r="R267" s="210"/>
      <c r="S267" s="210"/>
      <c r="T267" s="210"/>
      <c r="U267" s="210"/>
      <c r="V267" s="210"/>
      <c r="W267" s="210"/>
    </row>
    <row r="268" spans="1:23" ht="11.25" customHeight="1">
      <c r="A268" s="1210" t="str">
        <f t="shared" si="33"/>
        <v xml:space="preserve"> </v>
      </c>
      <c r="B268" s="1073"/>
      <c r="C268" s="1080"/>
      <c r="D268" s="1080"/>
      <c r="E268" s="1081"/>
      <c r="F268" s="1082"/>
      <c r="G268" s="1080"/>
      <c r="H268" s="1083"/>
      <c r="I268" s="1084"/>
      <c r="J268" s="1080"/>
      <c r="K268" s="1081"/>
      <c r="L268" s="209"/>
      <c r="M268" s="210"/>
      <c r="N268" s="210"/>
      <c r="O268" s="210"/>
      <c r="P268" s="210"/>
      <c r="Q268" s="210"/>
      <c r="R268" s="210"/>
      <c r="S268" s="210"/>
      <c r="T268" s="210"/>
      <c r="U268" s="210"/>
      <c r="V268" s="210"/>
      <c r="W268" s="210"/>
    </row>
    <row r="269" spans="1:23" ht="11.25" customHeight="1">
      <c r="A269" s="1210" t="str">
        <f t="shared" si="33"/>
        <v xml:space="preserve"> </v>
      </c>
      <c r="B269" s="1073"/>
      <c r="C269" s="1080"/>
      <c r="D269" s="1080"/>
      <c r="E269" s="1081"/>
      <c r="F269" s="1082"/>
      <c r="G269" s="1080"/>
      <c r="H269" s="1083"/>
      <c r="I269" s="1084"/>
      <c r="J269" s="1080"/>
      <c r="K269" s="1081"/>
      <c r="L269" s="209"/>
      <c r="M269" s="210"/>
      <c r="N269" s="210"/>
      <c r="O269" s="210"/>
      <c r="P269" s="210"/>
      <c r="Q269" s="210"/>
      <c r="R269" s="210"/>
      <c r="S269" s="210"/>
      <c r="T269" s="210"/>
      <c r="U269" s="210"/>
      <c r="V269" s="210"/>
      <c r="W269" s="210"/>
    </row>
    <row r="270" spans="1:23" ht="11.25" customHeight="1">
      <c r="A270" s="1210" t="str">
        <f t="shared" si="33"/>
        <v xml:space="preserve"> </v>
      </c>
      <c r="B270" s="1073"/>
      <c r="C270" s="1080"/>
      <c r="D270" s="1080"/>
      <c r="E270" s="1081"/>
      <c r="F270" s="1082"/>
      <c r="G270" s="1080"/>
      <c r="H270" s="1083"/>
      <c r="I270" s="1084"/>
      <c r="J270" s="1080"/>
      <c r="K270" s="1081"/>
      <c r="L270" s="209"/>
      <c r="M270" s="210"/>
      <c r="N270" s="210"/>
      <c r="O270" s="210"/>
      <c r="P270" s="210"/>
      <c r="Q270" s="210"/>
      <c r="R270" s="210"/>
      <c r="S270" s="210"/>
      <c r="T270" s="210"/>
      <c r="U270" s="210"/>
      <c r="V270" s="210"/>
      <c r="W270" s="210"/>
    </row>
    <row r="271" spans="1:23" ht="11.25" customHeight="1">
      <c r="A271" s="1210" t="str">
        <f t="shared" si="33"/>
        <v xml:space="preserve"> </v>
      </c>
      <c r="B271" s="1073"/>
      <c r="C271" s="1080"/>
      <c r="D271" s="1080"/>
      <c r="E271" s="1081"/>
      <c r="F271" s="1082"/>
      <c r="G271" s="1080"/>
      <c r="H271" s="1083"/>
      <c r="I271" s="1084"/>
      <c r="J271" s="1080"/>
      <c r="K271" s="1081"/>
      <c r="L271" s="209"/>
      <c r="M271" s="210"/>
      <c r="N271" s="210"/>
      <c r="O271" s="210"/>
      <c r="P271" s="210"/>
      <c r="Q271" s="210"/>
      <c r="R271" s="210"/>
      <c r="S271" s="210"/>
      <c r="T271" s="210"/>
      <c r="U271" s="210"/>
      <c r="V271" s="210"/>
      <c r="W271" s="210"/>
    </row>
    <row r="272" spans="1:23" ht="11.25" customHeight="1">
      <c r="A272" s="1209" t="str">
        <f>A104</f>
        <v>Example 10 - Vote10</v>
      </c>
      <c r="B272" s="1073"/>
      <c r="C272" s="1002">
        <f t="shared" ref="C272:K272" si="35">SUM(C273:C282)</f>
        <v>0</v>
      </c>
      <c r="D272" s="1002">
        <f t="shared" si="35"/>
        <v>0</v>
      </c>
      <c r="E272" s="1003">
        <f t="shared" si="35"/>
        <v>0</v>
      </c>
      <c r="F272" s="1004">
        <f t="shared" si="35"/>
        <v>0</v>
      </c>
      <c r="G272" s="1002">
        <f t="shared" si="35"/>
        <v>0</v>
      </c>
      <c r="H272" s="1005">
        <f t="shared" si="35"/>
        <v>0</v>
      </c>
      <c r="I272" s="1006">
        <f t="shared" si="35"/>
        <v>0</v>
      </c>
      <c r="J272" s="1002">
        <f t="shared" si="35"/>
        <v>0</v>
      </c>
      <c r="K272" s="1003">
        <f t="shared" si="35"/>
        <v>0</v>
      </c>
      <c r="L272" s="209"/>
      <c r="M272" s="210"/>
      <c r="N272" s="210"/>
      <c r="O272" s="210"/>
      <c r="P272" s="210"/>
      <c r="Q272" s="210"/>
      <c r="R272" s="210"/>
      <c r="S272" s="210"/>
      <c r="T272" s="210"/>
      <c r="U272" s="210"/>
      <c r="V272" s="210"/>
      <c r="W272" s="210"/>
    </row>
    <row r="273" spans="1:23" ht="11.25" customHeight="1">
      <c r="A273" s="1210" t="str">
        <f>A105</f>
        <v>Subvote example 10</v>
      </c>
      <c r="B273" s="1073"/>
      <c r="C273" s="1080"/>
      <c r="D273" s="1080"/>
      <c r="E273" s="1081"/>
      <c r="F273" s="1082"/>
      <c r="G273" s="1080"/>
      <c r="H273" s="1083"/>
      <c r="I273" s="1084"/>
      <c r="J273" s="1080"/>
      <c r="K273" s="1081"/>
      <c r="L273" s="209"/>
      <c r="M273" s="210"/>
      <c r="N273" s="210"/>
      <c r="O273" s="210"/>
      <c r="P273" s="210"/>
      <c r="Q273" s="210"/>
      <c r="R273" s="210"/>
      <c r="S273" s="210"/>
      <c r="T273" s="210"/>
      <c r="U273" s="210"/>
      <c r="V273" s="210"/>
      <c r="W273" s="210"/>
    </row>
    <row r="274" spans="1:23" ht="11.25" customHeight="1">
      <c r="A274" s="1210" t="str">
        <f t="shared" ref="A274:A281" si="36">A106</f>
        <v xml:space="preserve"> </v>
      </c>
      <c r="B274" s="1073"/>
      <c r="C274" s="1080"/>
      <c r="D274" s="1080"/>
      <c r="E274" s="1081"/>
      <c r="F274" s="1082"/>
      <c r="G274" s="1080"/>
      <c r="H274" s="1083"/>
      <c r="I274" s="1084"/>
      <c r="J274" s="1080"/>
      <c r="K274" s="1081"/>
      <c r="L274" s="209"/>
      <c r="M274" s="210"/>
      <c r="N274" s="210"/>
      <c r="O274" s="210"/>
      <c r="P274" s="210"/>
      <c r="Q274" s="210"/>
      <c r="R274" s="210"/>
      <c r="S274" s="210"/>
      <c r="T274" s="210"/>
      <c r="U274" s="210"/>
      <c r="V274" s="210"/>
      <c r="W274" s="210"/>
    </row>
    <row r="275" spans="1:23" ht="11.25" customHeight="1">
      <c r="A275" s="1210" t="str">
        <f t="shared" si="36"/>
        <v xml:space="preserve"> </v>
      </c>
      <c r="B275" s="1073"/>
      <c r="C275" s="1080"/>
      <c r="D275" s="1080"/>
      <c r="E275" s="1081"/>
      <c r="F275" s="1082"/>
      <c r="G275" s="1080"/>
      <c r="H275" s="1083"/>
      <c r="I275" s="1084"/>
      <c r="J275" s="1080"/>
      <c r="K275" s="1081"/>
      <c r="L275" s="209"/>
      <c r="M275" s="210"/>
      <c r="N275" s="210"/>
      <c r="O275" s="210"/>
      <c r="P275" s="210"/>
      <c r="Q275" s="210"/>
      <c r="R275" s="210"/>
      <c r="S275" s="210"/>
      <c r="T275" s="210"/>
      <c r="U275" s="210"/>
      <c r="V275" s="210"/>
      <c r="W275" s="210"/>
    </row>
    <row r="276" spans="1:23" ht="11.25" customHeight="1">
      <c r="A276" s="1210" t="str">
        <f t="shared" si="36"/>
        <v xml:space="preserve"> </v>
      </c>
      <c r="B276" s="1073"/>
      <c r="C276" s="1080"/>
      <c r="D276" s="1080"/>
      <c r="E276" s="1081"/>
      <c r="F276" s="1082"/>
      <c r="G276" s="1080"/>
      <c r="H276" s="1083"/>
      <c r="I276" s="1084"/>
      <c r="J276" s="1080"/>
      <c r="K276" s="1081"/>
      <c r="L276" s="209"/>
      <c r="M276" s="210"/>
      <c r="N276" s="210"/>
      <c r="O276" s="210"/>
      <c r="P276" s="210"/>
      <c r="Q276" s="210"/>
      <c r="R276" s="210"/>
      <c r="S276" s="210"/>
      <c r="T276" s="210"/>
      <c r="U276" s="210"/>
      <c r="V276" s="210"/>
      <c r="W276" s="210"/>
    </row>
    <row r="277" spans="1:23" ht="11.25" customHeight="1">
      <c r="A277" s="1210" t="str">
        <f t="shared" si="36"/>
        <v xml:space="preserve"> </v>
      </c>
      <c r="B277" s="1073"/>
      <c r="C277" s="1080"/>
      <c r="D277" s="1080"/>
      <c r="E277" s="1081"/>
      <c r="F277" s="1082"/>
      <c r="G277" s="1080"/>
      <c r="H277" s="1083"/>
      <c r="I277" s="1084"/>
      <c r="J277" s="1080"/>
      <c r="K277" s="1081"/>
      <c r="L277" s="209"/>
      <c r="M277" s="210"/>
      <c r="N277" s="210"/>
      <c r="O277" s="210"/>
      <c r="P277" s="210"/>
      <c r="Q277" s="210"/>
      <c r="R277" s="210"/>
      <c r="S277" s="210"/>
      <c r="T277" s="210"/>
      <c r="U277" s="210"/>
      <c r="V277" s="210"/>
      <c r="W277" s="210"/>
    </row>
    <row r="278" spans="1:23" ht="11.25" customHeight="1">
      <c r="A278" s="1210" t="str">
        <f t="shared" si="36"/>
        <v xml:space="preserve"> </v>
      </c>
      <c r="B278" s="1073"/>
      <c r="C278" s="1080"/>
      <c r="D278" s="1080"/>
      <c r="E278" s="1081"/>
      <c r="F278" s="1082"/>
      <c r="G278" s="1080"/>
      <c r="H278" s="1083"/>
      <c r="I278" s="1084"/>
      <c r="J278" s="1080"/>
      <c r="K278" s="1081"/>
      <c r="L278" s="209"/>
      <c r="M278" s="210"/>
      <c r="N278" s="210"/>
      <c r="O278" s="210"/>
      <c r="P278" s="210"/>
      <c r="Q278" s="210"/>
      <c r="R278" s="210"/>
      <c r="S278" s="210"/>
      <c r="T278" s="210"/>
      <c r="U278" s="210"/>
      <c r="V278" s="210"/>
      <c r="W278" s="210"/>
    </row>
    <row r="279" spans="1:23" ht="11.25" customHeight="1">
      <c r="A279" s="1210" t="str">
        <f t="shared" si="36"/>
        <v xml:space="preserve"> </v>
      </c>
      <c r="B279" s="1073"/>
      <c r="C279" s="1080"/>
      <c r="D279" s="1080"/>
      <c r="E279" s="1081"/>
      <c r="F279" s="1082"/>
      <c r="G279" s="1080"/>
      <c r="H279" s="1083"/>
      <c r="I279" s="1084"/>
      <c r="J279" s="1080"/>
      <c r="K279" s="1081"/>
      <c r="L279" s="209"/>
      <c r="M279" s="210"/>
      <c r="N279" s="210"/>
      <c r="O279" s="210"/>
      <c r="P279" s="210"/>
      <c r="Q279" s="210"/>
      <c r="R279" s="210"/>
      <c r="S279" s="210"/>
      <c r="T279" s="210"/>
      <c r="U279" s="210"/>
      <c r="V279" s="210"/>
      <c r="W279" s="210"/>
    </row>
    <row r="280" spans="1:23" ht="11.25" customHeight="1">
      <c r="A280" s="1210" t="str">
        <f t="shared" si="36"/>
        <v xml:space="preserve"> </v>
      </c>
      <c r="B280" s="1073"/>
      <c r="C280" s="1080"/>
      <c r="D280" s="1080"/>
      <c r="E280" s="1081"/>
      <c r="F280" s="1082"/>
      <c r="G280" s="1080"/>
      <c r="H280" s="1083"/>
      <c r="I280" s="1084"/>
      <c r="J280" s="1080"/>
      <c r="K280" s="1081"/>
      <c r="L280" s="209"/>
      <c r="M280" s="210"/>
      <c r="N280" s="210"/>
      <c r="O280" s="210"/>
      <c r="P280" s="210"/>
      <c r="Q280" s="210"/>
      <c r="R280" s="210"/>
      <c r="S280" s="210"/>
      <c r="T280" s="210"/>
      <c r="U280" s="210"/>
      <c r="V280" s="210"/>
      <c r="W280" s="210"/>
    </row>
    <row r="281" spans="1:23" ht="11.25" customHeight="1">
      <c r="A281" s="1210" t="str">
        <f t="shared" si="36"/>
        <v xml:space="preserve"> </v>
      </c>
      <c r="B281" s="1073"/>
      <c r="C281" s="1080"/>
      <c r="D281" s="1080"/>
      <c r="E281" s="1081"/>
      <c r="F281" s="1082"/>
      <c r="G281" s="1080"/>
      <c r="H281" s="1083"/>
      <c r="I281" s="1084"/>
      <c r="J281" s="1080"/>
      <c r="K281" s="1081"/>
      <c r="L281" s="209"/>
      <c r="M281" s="210"/>
      <c r="N281" s="210"/>
      <c r="O281" s="210"/>
      <c r="P281" s="210"/>
      <c r="Q281" s="210"/>
      <c r="R281" s="210"/>
      <c r="S281" s="210"/>
      <c r="T281" s="210"/>
      <c r="U281" s="210"/>
      <c r="V281" s="210"/>
      <c r="W281" s="210"/>
    </row>
    <row r="282" spans="1:23" ht="11.25" customHeight="1">
      <c r="A282" s="1210" t="str">
        <f>A114</f>
        <v xml:space="preserve"> </v>
      </c>
      <c r="B282" s="1073"/>
      <c r="C282" s="1080"/>
      <c r="D282" s="1080"/>
      <c r="E282" s="1081"/>
      <c r="F282" s="1082"/>
      <c r="G282" s="1080"/>
      <c r="H282" s="1083"/>
      <c r="I282" s="1084"/>
      <c r="J282" s="1080"/>
      <c r="K282" s="1081"/>
      <c r="L282" s="209"/>
      <c r="M282" s="210"/>
      <c r="N282" s="210"/>
      <c r="O282" s="210"/>
      <c r="P282" s="210"/>
      <c r="Q282" s="210"/>
      <c r="R282" s="210"/>
      <c r="S282" s="210"/>
      <c r="T282" s="210"/>
      <c r="U282" s="210"/>
      <c r="V282" s="210"/>
      <c r="W282" s="210"/>
    </row>
    <row r="283" spans="1:23" ht="11.25" customHeight="1">
      <c r="A283" s="1209" t="str">
        <f>A115</f>
        <v>Example 11 - Vote11</v>
      </c>
      <c r="B283" s="1073"/>
      <c r="C283" s="1002">
        <f t="shared" ref="C283:K283" si="37">SUM(C284:C293)</f>
        <v>0</v>
      </c>
      <c r="D283" s="1002">
        <f t="shared" si="37"/>
        <v>0</v>
      </c>
      <c r="E283" s="1003">
        <f t="shared" si="37"/>
        <v>0</v>
      </c>
      <c r="F283" s="1004">
        <f t="shared" si="37"/>
        <v>0</v>
      </c>
      <c r="G283" s="1002">
        <f t="shared" si="37"/>
        <v>0</v>
      </c>
      <c r="H283" s="1005">
        <f t="shared" si="37"/>
        <v>0</v>
      </c>
      <c r="I283" s="1006">
        <f t="shared" si="37"/>
        <v>0</v>
      </c>
      <c r="J283" s="1002">
        <f t="shared" si="37"/>
        <v>0</v>
      </c>
      <c r="K283" s="1003">
        <f t="shared" si="37"/>
        <v>0</v>
      </c>
      <c r="L283" s="209"/>
      <c r="M283" s="210"/>
      <c r="N283" s="210"/>
      <c r="O283" s="210"/>
      <c r="P283" s="210"/>
      <c r="Q283" s="210"/>
      <c r="R283" s="210"/>
      <c r="S283" s="210"/>
      <c r="T283" s="210"/>
      <c r="U283" s="210"/>
      <c r="V283" s="210"/>
      <c r="W283" s="210"/>
    </row>
    <row r="284" spans="1:23" ht="11.25" customHeight="1">
      <c r="A284" s="1210" t="str">
        <f>A116</f>
        <v>Subvote example 11</v>
      </c>
      <c r="B284" s="1073"/>
      <c r="C284" s="1080"/>
      <c r="D284" s="1080"/>
      <c r="E284" s="1081"/>
      <c r="F284" s="1082"/>
      <c r="G284" s="1080"/>
      <c r="H284" s="1083"/>
      <c r="I284" s="1084"/>
      <c r="J284" s="1080"/>
      <c r="K284" s="1081"/>
      <c r="L284" s="209"/>
      <c r="M284" s="210"/>
      <c r="N284" s="210"/>
      <c r="O284" s="210"/>
      <c r="P284" s="210"/>
      <c r="Q284" s="210"/>
      <c r="R284" s="210"/>
      <c r="S284" s="210"/>
      <c r="T284" s="210"/>
      <c r="U284" s="210"/>
      <c r="V284" s="210"/>
      <c r="W284" s="210"/>
    </row>
    <row r="285" spans="1:23" ht="11.25" customHeight="1">
      <c r="A285" s="1210">
        <f t="shared" ref="A285:A337" si="38">A117</f>
        <v>0</v>
      </c>
      <c r="B285" s="1073"/>
      <c r="C285" s="1080"/>
      <c r="D285" s="1080"/>
      <c r="E285" s="1081"/>
      <c r="F285" s="1082"/>
      <c r="G285" s="1080"/>
      <c r="H285" s="1083"/>
      <c r="I285" s="1084"/>
      <c r="J285" s="1080"/>
      <c r="K285" s="1081"/>
      <c r="L285" s="209"/>
      <c r="M285" s="210"/>
      <c r="N285" s="210"/>
      <c r="O285" s="210"/>
      <c r="P285" s="210"/>
      <c r="Q285" s="210"/>
      <c r="R285" s="210"/>
      <c r="S285" s="210"/>
      <c r="T285" s="210"/>
      <c r="U285" s="210"/>
      <c r="V285" s="210"/>
      <c r="W285" s="210"/>
    </row>
    <row r="286" spans="1:23" ht="11.25" customHeight="1">
      <c r="A286" s="1210">
        <f t="shared" si="38"/>
        <v>0</v>
      </c>
      <c r="B286" s="1073"/>
      <c r="C286" s="1080"/>
      <c r="D286" s="1080"/>
      <c r="E286" s="1081"/>
      <c r="F286" s="1082"/>
      <c r="G286" s="1080"/>
      <c r="H286" s="1083"/>
      <c r="I286" s="1084"/>
      <c r="J286" s="1080"/>
      <c r="K286" s="1081"/>
      <c r="L286" s="209"/>
      <c r="M286" s="210"/>
      <c r="N286" s="210"/>
      <c r="O286" s="210"/>
      <c r="P286" s="210"/>
      <c r="Q286" s="210"/>
      <c r="R286" s="210"/>
      <c r="S286" s="210"/>
      <c r="T286" s="210"/>
      <c r="U286" s="210"/>
      <c r="V286" s="210"/>
      <c r="W286" s="210"/>
    </row>
    <row r="287" spans="1:23" ht="11.25" customHeight="1">
      <c r="A287" s="1210">
        <f t="shared" si="38"/>
        <v>0</v>
      </c>
      <c r="B287" s="1073"/>
      <c r="C287" s="1080"/>
      <c r="D287" s="1080"/>
      <c r="E287" s="1081"/>
      <c r="F287" s="1082"/>
      <c r="G287" s="1080"/>
      <c r="H287" s="1083"/>
      <c r="I287" s="1084"/>
      <c r="J287" s="1080"/>
      <c r="K287" s="1081"/>
      <c r="L287" s="209"/>
      <c r="M287" s="210"/>
      <c r="N287" s="210"/>
      <c r="O287" s="210"/>
      <c r="P287" s="210"/>
      <c r="Q287" s="210"/>
      <c r="R287" s="210"/>
      <c r="S287" s="210"/>
      <c r="T287" s="210"/>
      <c r="U287" s="210"/>
      <c r="V287" s="210"/>
      <c r="W287" s="210"/>
    </row>
    <row r="288" spans="1:23" ht="11.25" customHeight="1">
      <c r="A288" s="1210">
        <f t="shared" si="38"/>
        <v>0</v>
      </c>
      <c r="B288" s="1073"/>
      <c r="C288" s="1080"/>
      <c r="D288" s="1080"/>
      <c r="E288" s="1081"/>
      <c r="F288" s="1082"/>
      <c r="G288" s="1080"/>
      <c r="H288" s="1083"/>
      <c r="I288" s="1084"/>
      <c r="J288" s="1080"/>
      <c r="K288" s="1081"/>
      <c r="L288" s="209"/>
      <c r="M288" s="210"/>
      <c r="N288" s="210"/>
      <c r="O288" s="210"/>
      <c r="P288" s="210"/>
      <c r="Q288" s="210"/>
      <c r="R288" s="210"/>
      <c r="S288" s="210"/>
      <c r="T288" s="210"/>
      <c r="U288" s="210"/>
      <c r="V288" s="210"/>
      <c r="W288" s="210"/>
    </row>
    <row r="289" spans="1:23" ht="11.25" customHeight="1">
      <c r="A289" s="1210">
        <f t="shared" si="38"/>
        <v>0</v>
      </c>
      <c r="B289" s="1073"/>
      <c r="C289" s="1080"/>
      <c r="D289" s="1080"/>
      <c r="E289" s="1081"/>
      <c r="F289" s="1082"/>
      <c r="G289" s="1080"/>
      <c r="H289" s="1083"/>
      <c r="I289" s="1084"/>
      <c r="J289" s="1080"/>
      <c r="K289" s="1081"/>
      <c r="L289" s="209"/>
      <c r="M289" s="210"/>
      <c r="N289" s="210"/>
      <c r="O289" s="210"/>
      <c r="P289" s="210"/>
      <c r="Q289" s="210"/>
      <c r="R289" s="210"/>
      <c r="S289" s="210"/>
      <c r="T289" s="210"/>
      <c r="U289" s="210"/>
      <c r="V289" s="210"/>
      <c r="W289" s="210"/>
    </row>
    <row r="290" spans="1:23" ht="11.25" customHeight="1">
      <c r="A290" s="1210">
        <f t="shared" si="38"/>
        <v>0</v>
      </c>
      <c r="B290" s="1073"/>
      <c r="C290" s="1080"/>
      <c r="D290" s="1080"/>
      <c r="E290" s="1081"/>
      <c r="F290" s="1082"/>
      <c r="G290" s="1080"/>
      <c r="H290" s="1083"/>
      <c r="I290" s="1084"/>
      <c r="J290" s="1080"/>
      <c r="K290" s="1081"/>
      <c r="L290" s="209"/>
      <c r="M290" s="210"/>
      <c r="N290" s="210"/>
      <c r="O290" s="210"/>
      <c r="P290" s="210"/>
      <c r="Q290" s="210"/>
      <c r="R290" s="210"/>
      <c r="S290" s="210"/>
      <c r="T290" s="210"/>
      <c r="U290" s="210"/>
      <c r="V290" s="210"/>
      <c r="W290" s="210"/>
    </row>
    <row r="291" spans="1:23" ht="11.25" customHeight="1">
      <c r="A291" s="1210">
        <f t="shared" si="38"/>
        <v>0</v>
      </c>
      <c r="B291" s="1073"/>
      <c r="C291" s="1080"/>
      <c r="D291" s="1080"/>
      <c r="E291" s="1081"/>
      <c r="F291" s="1082"/>
      <c r="G291" s="1080"/>
      <c r="H291" s="1083"/>
      <c r="I291" s="1084"/>
      <c r="J291" s="1080"/>
      <c r="K291" s="1081"/>
      <c r="L291" s="209"/>
      <c r="M291" s="210"/>
      <c r="N291" s="210"/>
      <c r="O291" s="210"/>
      <c r="P291" s="210"/>
      <c r="Q291" s="210"/>
      <c r="R291" s="210"/>
      <c r="S291" s="210"/>
      <c r="T291" s="210"/>
      <c r="U291" s="210"/>
      <c r="V291" s="210"/>
      <c r="W291" s="210"/>
    </row>
    <row r="292" spans="1:23" ht="11.25" customHeight="1">
      <c r="A292" s="1210">
        <f t="shared" si="38"/>
        <v>0</v>
      </c>
      <c r="B292" s="1073"/>
      <c r="C292" s="1080"/>
      <c r="D292" s="1080"/>
      <c r="E292" s="1081"/>
      <c r="F292" s="1082"/>
      <c r="G292" s="1080"/>
      <c r="H292" s="1083"/>
      <c r="I292" s="1084"/>
      <c r="J292" s="1080"/>
      <c r="K292" s="1081"/>
      <c r="L292" s="209"/>
      <c r="M292" s="210"/>
      <c r="N292" s="210"/>
      <c r="O292" s="210"/>
      <c r="P292" s="210"/>
      <c r="Q292" s="210"/>
      <c r="R292" s="210"/>
      <c r="S292" s="210"/>
      <c r="T292" s="210"/>
      <c r="U292" s="210"/>
      <c r="V292" s="210"/>
      <c r="W292" s="210"/>
    </row>
    <row r="293" spans="1:23" ht="11.25" customHeight="1">
      <c r="A293" s="1210">
        <f t="shared" si="38"/>
        <v>0</v>
      </c>
      <c r="B293" s="1073"/>
      <c r="C293" s="1080"/>
      <c r="D293" s="1080"/>
      <c r="E293" s="1081"/>
      <c r="F293" s="1082"/>
      <c r="G293" s="1080"/>
      <c r="H293" s="1083"/>
      <c r="I293" s="1084"/>
      <c r="J293" s="1080"/>
      <c r="K293" s="1081"/>
      <c r="L293" s="209"/>
      <c r="M293" s="210"/>
      <c r="N293" s="210"/>
      <c r="O293" s="210"/>
      <c r="P293" s="210"/>
      <c r="Q293" s="210"/>
      <c r="R293" s="210"/>
      <c r="S293" s="210"/>
      <c r="T293" s="210"/>
      <c r="U293" s="210"/>
      <c r="V293" s="210"/>
      <c r="W293" s="210"/>
    </row>
    <row r="294" spans="1:23" ht="11.25" customHeight="1">
      <c r="A294" s="1209" t="str">
        <f t="shared" si="38"/>
        <v>Example 12 - Vote12</v>
      </c>
      <c r="B294" s="1073"/>
      <c r="C294" s="1002">
        <f t="shared" ref="C294:K294" si="39">SUM(C295:C304)</f>
        <v>0</v>
      </c>
      <c r="D294" s="1002">
        <f t="shared" si="39"/>
        <v>0</v>
      </c>
      <c r="E294" s="1003">
        <f t="shared" si="39"/>
        <v>0</v>
      </c>
      <c r="F294" s="1004">
        <f t="shared" si="39"/>
        <v>0</v>
      </c>
      <c r="G294" s="1002">
        <f t="shared" si="39"/>
        <v>0</v>
      </c>
      <c r="H294" s="1005">
        <f t="shared" si="39"/>
        <v>0</v>
      </c>
      <c r="I294" s="1006">
        <f t="shared" si="39"/>
        <v>0</v>
      </c>
      <c r="J294" s="1002">
        <f t="shared" si="39"/>
        <v>0</v>
      </c>
      <c r="K294" s="1003">
        <f t="shared" si="39"/>
        <v>0</v>
      </c>
      <c r="L294" s="209"/>
      <c r="M294" s="210"/>
      <c r="N294" s="210"/>
      <c r="O294" s="210"/>
      <c r="P294" s="210"/>
      <c r="Q294" s="210"/>
      <c r="R294" s="210"/>
      <c r="S294" s="210"/>
      <c r="T294" s="210"/>
      <c r="U294" s="210"/>
      <c r="V294" s="210"/>
      <c r="W294" s="210"/>
    </row>
    <row r="295" spans="1:23" ht="11.25" customHeight="1">
      <c r="A295" s="1210" t="str">
        <f t="shared" si="38"/>
        <v>Subvote example 12</v>
      </c>
      <c r="B295" s="1073"/>
      <c r="C295" s="1080"/>
      <c r="D295" s="1080"/>
      <c r="E295" s="1081"/>
      <c r="F295" s="1082"/>
      <c r="G295" s="1080"/>
      <c r="H295" s="1083"/>
      <c r="I295" s="1084"/>
      <c r="J295" s="1080"/>
      <c r="K295" s="1081"/>
      <c r="L295" s="209"/>
      <c r="M295" s="210"/>
      <c r="N295" s="210"/>
      <c r="O295" s="210"/>
      <c r="P295" s="210"/>
      <c r="Q295" s="210"/>
      <c r="R295" s="210"/>
      <c r="S295" s="210"/>
      <c r="T295" s="210"/>
      <c r="U295" s="210"/>
      <c r="V295" s="210"/>
      <c r="W295" s="210"/>
    </row>
    <row r="296" spans="1:23" ht="11.25" customHeight="1">
      <c r="A296" s="1210">
        <f t="shared" si="38"/>
        <v>0</v>
      </c>
      <c r="B296" s="1073"/>
      <c r="C296" s="1080"/>
      <c r="D296" s="1080"/>
      <c r="E296" s="1081"/>
      <c r="F296" s="1082"/>
      <c r="G296" s="1080"/>
      <c r="H296" s="1083"/>
      <c r="I296" s="1084"/>
      <c r="J296" s="1080"/>
      <c r="K296" s="1081"/>
      <c r="L296" s="209"/>
      <c r="M296" s="210"/>
      <c r="N296" s="210"/>
      <c r="O296" s="210"/>
      <c r="P296" s="210"/>
      <c r="Q296" s="210"/>
      <c r="R296" s="210"/>
      <c r="S296" s="210"/>
      <c r="T296" s="210"/>
      <c r="U296" s="210"/>
      <c r="V296" s="210"/>
      <c r="W296" s="210"/>
    </row>
    <row r="297" spans="1:23" ht="11.25" customHeight="1">
      <c r="A297" s="1210">
        <f t="shared" si="38"/>
        <v>0</v>
      </c>
      <c r="B297" s="1073"/>
      <c r="C297" s="1080"/>
      <c r="D297" s="1080"/>
      <c r="E297" s="1081"/>
      <c r="F297" s="1082"/>
      <c r="G297" s="1080"/>
      <c r="H297" s="1083"/>
      <c r="I297" s="1084"/>
      <c r="J297" s="1080"/>
      <c r="K297" s="1081"/>
      <c r="L297" s="209"/>
      <c r="M297" s="210"/>
      <c r="N297" s="210"/>
      <c r="O297" s="210"/>
      <c r="P297" s="210"/>
      <c r="Q297" s="210"/>
      <c r="R297" s="210"/>
      <c r="S297" s="210"/>
      <c r="T297" s="210"/>
      <c r="U297" s="210"/>
      <c r="V297" s="210"/>
      <c r="W297" s="210"/>
    </row>
    <row r="298" spans="1:23" ht="11.25" customHeight="1">
      <c r="A298" s="1210">
        <f t="shared" si="38"/>
        <v>0</v>
      </c>
      <c r="B298" s="1073"/>
      <c r="C298" s="1080"/>
      <c r="D298" s="1080"/>
      <c r="E298" s="1081"/>
      <c r="F298" s="1082"/>
      <c r="G298" s="1080"/>
      <c r="H298" s="1083"/>
      <c r="I298" s="1084"/>
      <c r="J298" s="1080"/>
      <c r="K298" s="1081"/>
      <c r="L298" s="209"/>
      <c r="M298" s="210"/>
      <c r="N298" s="210"/>
      <c r="O298" s="210"/>
      <c r="P298" s="210"/>
      <c r="Q298" s="210"/>
      <c r="R298" s="210"/>
      <c r="S298" s="210"/>
      <c r="T298" s="210"/>
      <c r="U298" s="210"/>
      <c r="V298" s="210"/>
      <c r="W298" s="210"/>
    </row>
    <row r="299" spans="1:23" ht="11.25" customHeight="1">
      <c r="A299" s="1210">
        <f t="shared" si="38"/>
        <v>0</v>
      </c>
      <c r="B299" s="1073"/>
      <c r="C299" s="1080"/>
      <c r="D299" s="1080"/>
      <c r="E299" s="1081"/>
      <c r="F299" s="1082"/>
      <c r="G299" s="1080"/>
      <c r="H299" s="1083"/>
      <c r="I299" s="1084"/>
      <c r="J299" s="1080"/>
      <c r="K299" s="1081"/>
      <c r="L299" s="209"/>
      <c r="M299" s="210"/>
      <c r="N299" s="210"/>
      <c r="O299" s="210"/>
      <c r="P299" s="210"/>
      <c r="Q299" s="210"/>
      <c r="R299" s="210"/>
      <c r="S299" s="210"/>
      <c r="T299" s="210"/>
      <c r="U299" s="210"/>
      <c r="V299" s="210"/>
      <c r="W299" s="210"/>
    </row>
    <row r="300" spans="1:23" ht="11.25" customHeight="1">
      <c r="A300" s="1210">
        <f t="shared" si="38"/>
        <v>0</v>
      </c>
      <c r="B300" s="1073"/>
      <c r="C300" s="1080"/>
      <c r="D300" s="1080"/>
      <c r="E300" s="1081"/>
      <c r="F300" s="1082"/>
      <c r="G300" s="1080"/>
      <c r="H300" s="1083"/>
      <c r="I300" s="1084"/>
      <c r="J300" s="1080"/>
      <c r="K300" s="1081"/>
      <c r="L300" s="209"/>
      <c r="M300" s="210"/>
      <c r="N300" s="210"/>
      <c r="O300" s="210"/>
      <c r="P300" s="210"/>
      <c r="Q300" s="210"/>
      <c r="R300" s="210"/>
      <c r="S300" s="210"/>
      <c r="T300" s="210"/>
      <c r="U300" s="210"/>
      <c r="V300" s="210"/>
      <c r="W300" s="210"/>
    </row>
    <row r="301" spans="1:23" ht="11.25" customHeight="1">
      <c r="A301" s="1210">
        <f t="shared" si="38"/>
        <v>0</v>
      </c>
      <c r="B301" s="1073"/>
      <c r="C301" s="1080"/>
      <c r="D301" s="1080"/>
      <c r="E301" s="1081"/>
      <c r="F301" s="1082"/>
      <c r="G301" s="1080"/>
      <c r="H301" s="1083"/>
      <c r="I301" s="1084"/>
      <c r="J301" s="1080"/>
      <c r="K301" s="1081"/>
      <c r="L301" s="209"/>
      <c r="M301" s="210"/>
      <c r="N301" s="210"/>
      <c r="O301" s="210"/>
      <c r="P301" s="210"/>
      <c r="Q301" s="210"/>
      <c r="R301" s="210"/>
      <c r="S301" s="210"/>
      <c r="T301" s="210"/>
      <c r="U301" s="210"/>
      <c r="V301" s="210"/>
      <c r="W301" s="210"/>
    </row>
    <row r="302" spans="1:23" ht="11.25" customHeight="1">
      <c r="A302" s="1210">
        <f t="shared" si="38"/>
        <v>0</v>
      </c>
      <c r="B302" s="1073"/>
      <c r="C302" s="1080"/>
      <c r="D302" s="1080"/>
      <c r="E302" s="1081"/>
      <c r="F302" s="1082"/>
      <c r="G302" s="1080"/>
      <c r="H302" s="1083"/>
      <c r="I302" s="1084"/>
      <c r="J302" s="1080"/>
      <c r="K302" s="1081"/>
      <c r="L302" s="209"/>
      <c r="M302" s="210"/>
      <c r="N302" s="210"/>
      <c r="O302" s="210"/>
      <c r="P302" s="210"/>
      <c r="Q302" s="210"/>
      <c r="R302" s="210"/>
      <c r="S302" s="210"/>
      <c r="T302" s="210"/>
      <c r="U302" s="210"/>
      <c r="V302" s="210"/>
      <c r="W302" s="210"/>
    </row>
    <row r="303" spans="1:23" ht="11.25" customHeight="1">
      <c r="A303" s="1210">
        <f t="shared" si="38"/>
        <v>0</v>
      </c>
      <c r="B303" s="1073"/>
      <c r="C303" s="1080"/>
      <c r="D303" s="1080"/>
      <c r="E303" s="1081"/>
      <c r="F303" s="1082"/>
      <c r="G303" s="1080"/>
      <c r="H303" s="1083"/>
      <c r="I303" s="1084"/>
      <c r="J303" s="1080"/>
      <c r="K303" s="1081"/>
      <c r="L303" s="209"/>
      <c r="M303" s="210"/>
      <c r="N303" s="210"/>
      <c r="O303" s="210"/>
      <c r="P303" s="210"/>
      <c r="Q303" s="210"/>
      <c r="R303" s="210"/>
      <c r="S303" s="210"/>
      <c r="T303" s="210"/>
      <c r="U303" s="210"/>
      <c r="V303" s="210"/>
      <c r="W303" s="210"/>
    </row>
    <row r="304" spans="1:23" ht="11.25" customHeight="1">
      <c r="A304" s="1210">
        <f t="shared" si="38"/>
        <v>0</v>
      </c>
      <c r="B304" s="1073"/>
      <c r="C304" s="1080"/>
      <c r="D304" s="1080"/>
      <c r="E304" s="1081"/>
      <c r="F304" s="1082"/>
      <c r="G304" s="1080"/>
      <c r="H304" s="1083"/>
      <c r="I304" s="1084"/>
      <c r="J304" s="1080"/>
      <c r="K304" s="1081"/>
      <c r="L304" s="209"/>
      <c r="M304" s="210"/>
      <c r="N304" s="210"/>
      <c r="O304" s="210"/>
      <c r="P304" s="210"/>
      <c r="Q304" s="210"/>
      <c r="R304" s="210"/>
      <c r="S304" s="210"/>
      <c r="T304" s="210"/>
      <c r="U304" s="210"/>
      <c r="V304" s="210"/>
      <c r="W304" s="210"/>
    </row>
    <row r="305" spans="1:23" ht="11.25" customHeight="1">
      <c r="A305" s="1209" t="str">
        <f t="shared" si="38"/>
        <v>Example 13 - Vote13</v>
      </c>
      <c r="B305" s="1073"/>
      <c r="C305" s="1002">
        <f t="shared" ref="C305:K305" si="40">SUM(C306:C315)</f>
        <v>0</v>
      </c>
      <c r="D305" s="1002">
        <f t="shared" si="40"/>
        <v>0</v>
      </c>
      <c r="E305" s="1003">
        <f t="shared" si="40"/>
        <v>0</v>
      </c>
      <c r="F305" s="1004">
        <f t="shared" si="40"/>
        <v>0</v>
      </c>
      <c r="G305" s="1002">
        <f t="shared" si="40"/>
        <v>0</v>
      </c>
      <c r="H305" s="1005">
        <f t="shared" si="40"/>
        <v>0</v>
      </c>
      <c r="I305" s="1006">
        <f t="shared" si="40"/>
        <v>0</v>
      </c>
      <c r="J305" s="1002">
        <f t="shared" si="40"/>
        <v>0</v>
      </c>
      <c r="K305" s="1003">
        <f t="shared" si="40"/>
        <v>0</v>
      </c>
      <c r="L305" s="209"/>
      <c r="M305" s="210"/>
      <c r="N305" s="210"/>
      <c r="O305" s="210"/>
      <c r="P305" s="210"/>
      <c r="Q305" s="210"/>
      <c r="R305" s="210"/>
      <c r="S305" s="210"/>
      <c r="T305" s="210"/>
      <c r="U305" s="210"/>
      <c r="V305" s="210"/>
      <c r="W305" s="210"/>
    </row>
    <row r="306" spans="1:23" ht="11.25" customHeight="1">
      <c r="A306" s="1210" t="str">
        <f t="shared" si="38"/>
        <v>Subvote example 13</v>
      </c>
      <c r="B306" s="1073"/>
      <c r="C306" s="1080"/>
      <c r="D306" s="1080"/>
      <c r="E306" s="1081"/>
      <c r="F306" s="1082"/>
      <c r="G306" s="1080"/>
      <c r="H306" s="1083"/>
      <c r="I306" s="1084"/>
      <c r="J306" s="1080"/>
      <c r="K306" s="1081"/>
      <c r="L306" s="209"/>
      <c r="M306" s="210"/>
      <c r="N306" s="210"/>
      <c r="O306" s="210"/>
      <c r="P306" s="210"/>
      <c r="Q306" s="210"/>
      <c r="R306" s="210"/>
      <c r="S306" s="210"/>
      <c r="T306" s="210"/>
      <c r="U306" s="210"/>
      <c r="V306" s="210"/>
      <c r="W306" s="210"/>
    </row>
    <row r="307" spans="1:23" ht="11.25" customHeight="1">
      <c r="A307" s="1210">
        <f t="shared" si="38"/>
        <v>0</v>
      </c>
      <c r="B307" s="1073"/>
      <c r="C307" s="1080"/>
      <c r="D307" s="1080"/>
      <c r="E307" s="1081"/>
      <c r="F307" s="1082"/>
      <c r="G307" s="1080"/>
      <c r="H307" s="1083"/>
      <c r="I307" s="1084"/>
      <c r="J307" s="1080"/>
      <c r="K307" s="1081"/>
      <c r="L307" s="209"/>
      <c r="M307" s="210"/>
      <c r="N307" s="210"/>
      <c r="O307" s="210"/>
      <c r="P307" s="210"/>
      <c r="Q307" s="210"/>
      <c r="R307" s="210"/>
      <c r="S307" s="210"/>
      <c r="T307" s="210"/>
      <c r="U307" s="210"/>
      <c r="V307" s="210"/>
      <c r="W307" s="210"/>
    </row>
    <row r="308" spans="1:23" ht="11.25" customHeight="1">
      <c r="A308" s="1210">
        <f t="shared" si="38"/>
        <v>0</v>
      </c>
      <c r="B308" s="1073"/>
      <c r="C308" s="1080"/>
      <c r="D308" s="1080"/>
      <c r="E308" s="1081"/>
      <c r="F308" s="1082"/>
      <c r="G308" s="1080"/>
      <c r="H308" s="1083"/>
      <c r="I308" s="1084"/>
      <c r="J308" s="1080"/>
      <c r="K308" s="1081"/>
      <c r="L308" s="209"/>
      <c r="M308" s="210"/>
      <c r="N308" s="210"/>
      <c r="O308" s="210"/>
      <c r="P308" s="210"/>
      <c r="Q308" s="210"/>
      <c r="R308" s="210"/>
      <c r="S308" s="210"/>
      <c r="T308" s="210"/>
      <c r="U308" s="210"/>
      <c r="V308" s="210"/>
      <c r="W308" s="210"/>
    </row>
    <row r="309" spans="1:23" ht="11.25" customHeight="1">
      <c r="A309" s="1210">
        <f t="shared" si="38"/>
        <v>0</v>
      </c>
      <c r="B309" s="1073"/>
      <c r="C309" s="1080"/>
      <c r="D309" s="1080"/>
      <c r="E309" s="1081"/>
      <c r="F309" s="1082"/>
      <c r="G309" s="1080"/>
      <c r="H309" s="1083"/>
      <c r="I309" s="1084"/>
      <c r="J309" s="1080"/>
      <c r="K309" s="1081"/>
      <c r="L309" s="209"/>
      <c r="M309" s="210"/>
      <c r="N309" s="210"/>
      <c r="O309" s="210"/>
      <c r="P309" s="210"/>
      <c r="Q309" s="210"/>
      <c r="R309" s="210"/>
      <c r="S309" s="210"/>
      <c r="T309" s="210"/>
      <c r="U309" s="210"/>
      <c r="V309" s="210"/>
      <c r="W309" s="210"/>
    </row>
    <row r="310" spans="1:23" ht="11.25" customHeight="1">
      <c r="A310" s="1210">
        <f t="shared" si="38"/>
        <v>0</v>
      </c>
      <c r="B310" s="1073"/>
      <c r="C310" s="1080"/>
      <c r="D310" s="1080"/>
      <c r="E310" s="1081"/>
      <c r="F310" s="1082"/>
      <c r="G310" s="1080"/>
      <c r="H310" s="1083"/>
      <c r="I310" s="1084"/>
      <c r="J310" s="1080"/>
      <c r="K310" s="1081"/>
      <c r="L310" s="209"/>
      <c r="M310" s="210"/>
      <c r="N310" s="210"/>
      <c r="O310" s="210"/>
      <c r="P310" s="210"/>
      <c r="Q310" s="210"/>
      <c r="R310" s="210"/>
      <c r="S310" s="210"/>
      <c r="T310" s="210"/>
      <c r="U310" s="210"/>
      <c r="V310" s="210"/>
      <c r="W310" s="210"/>
    </row>
    <row r="311" spans="1:23" ht="11.25" customHeight="1">
      <c r="A311" s="1210">
        <f t="shared" si="38"/>
        <v>0</v>
      </c>
      <c r="B311" s="1073"/>
      <c r="C311" s="1080"/>
      <c r="D311" s="1080"/>
      <c r="E311" s="1081"/>
      <c r="F311" s="1082"/>
      <c r="G311" s="1080"/>
      <c r="H311" s="1083"/>
      <c r="I311" s="1084"/>
      <c r="J311" s="1080"/>
      <c r="K311" s="1081"/>
      <c r="L311" s="209"/>
      <c r="M311" s="210"/>
      <c r="N311" s="210"/>
      <c r="O311" s="210"/>
      <c r="P311" s="210"/>
      <c r="Q311" s="210"/>
      <c r="R311" s="210"/>
      <c r="S311" s="210"/>
      <c r="T311" s="210"/>
      <c r="U311" s="210"/>
      <c r="V311" s="210"/>
      <c r="W311" s="210"/>
    </row>
    <row r="312" spans="1:23" ht="11.25" customHeight="1">
      <c r="A312" s="1210">
        <f t="shared" si="38"/>
        <v>0</v>
      </c>
      <c r="B312" s="1073"/>
      <c r="C312" s="1080"/>
      <c r="D312" s="1080"/>
      <c r="E312" s="1081"/>
      <c r="F312" s="1082"/>
      <c r="G312" s="1080"/>
      <c r="H312" s="1083"/>
      <c r="I312" s="1084"/>
      <c r="J312" s="1080"/>
      <c r="K312" s="1081"/>
      <c r="L312" s="209"/>
      <c r="M312" s="210"/>
      <c r="N312" s="210"/>
      <c r="O312" s="210"/>
      <c r="P312" s="210"/>
      <c r="Q312" s="210"/>
      <c r="R312" s="210"/>
      <c r="S312" s="210"/>
      <c r="T312" s="210"/>
      <c r="U312" s="210"/>
      <c r="V312" s="210"/>
      <c r="W312" s="210"/>
    </row>
    <row r="313" spans="1:23" ht="11.25" customHeight="1">
      <c r="A313" s="1210">
        <f t="shared" si="38"/>
        <v>0</v>
      </c>
      <c r="B313" s="1073"/>
      <c r="C313" s="1080"/>
      <c r="D313" s="1080"/>
      <c r="E313" s="1081"/>
      <c r="F313" s="1082"/>
      <c r="G313" s="1080"/>
      <c r="H313" s="1083"/>
      <c r="I313" s="1084"/>
      <c r="J313" s="1080"/>
      <c r="K313" s="1081"/>
      <c r="L313" s="209"/>
      <c r="M313" s="210"/>
      <c r="N313" s="210"/>
      <c r="O313" s="210"/>
      <c r="P313" s="210"/>
      <c r="Q313" s="210"/>
      <c r="R313" s="210"/>
      <c r="S313" s="210"/>
      <c r="T313" s="210"/>
      <c r="U313" s="210"/>
      <c r="V313" s="210"/>
      <c r="W313" s="210"/>
    </row>
    <row r="314" spans="1:23" ht="11.25" customHeight="1">
      <c r="A314" s="1210">
        <f t="shared" si="38"/>
        <v>0</v>
      </c>
      <c r="B314" s="1073"/>
      <c r="C314" s="1080"/>
      <c r="D314" s="1080"/>
      <c r="E314" s="1081"/>
      <c r="F314" s="1082"/>
      <c r="G314" s="1080"/>
      <c r="H314" s="1083"/>
      <c r="I314" s="1084"/>
      <c r="J314" s="1080"/>
      <c r="K314" s="1081"/>
      <c r="L314" s="209"/>
      <c r="M314" s="210"/>
      <c r="N314" s="210"/>
      <c r="O314" s="210"/>
      <c r="P314" s="210"/>
      <c r="Q314" s="210"/>
      <c r="R314" s="210"/>
      <c r="S314" s="210"/>
      <c r="T314" s="210"/>
      <c r="U314" s="210"/>
      <c r="V314" s="210"/>
      <c r="W314" s="210"/>
    </row>
    <row r="315" spans="1:23" ht="11.25" customHeight="1">
      <c r="A315" s="1210">
        <f t="shared" si="38"/>
        <v>0</v>
      </c>
      <c r="B315" s="1073"/>
      <c r="C315" s="1080"/>
      <c r="D315" s="1080"/>
      <c r="E315" s="1081"/>
      <c r="F315" s="1082"/>
      <c r="G315" s="1080"/>
      <c r="H315" s="1083"/>
      <c r="I315" s="1084"/>
      <c r="J315" s="1080"/>
      <c r="K315" s="1081"/>
      <c r="L315" s="209"/>
      <c r="M315" s="210"/>
      <c r="N315" s="210"/>
      <c r="O315" s="210"/>
      <c r="P315" s="210"/>
      <c r="Q315" s="210"/>
      <c r="R315" s="210"/>
      <c r="S315" s="210"/>
      <c r="T315" s="210"/>
      <c r="U315" s="210"/>
      <c r="V315" s="210"/>
      <c r="W315" s="210"/>
    </row>
    <row r="316" spans="1:23" ht="11.25" customHeight="1">
      <c r="A316" s="1209" t="str">
        <f t="shared" si="38"/>
        <v>Example 14 - Vote14</v>
      </c>
      <c r="B316" s="1073"/>
      <c r="C316" s="1002">
        <f t="shared" ref="C316:K316" si="41">SUM(C317:C326)</f>
        <v>0</v>
      </c>
      <c r="D316" s="1002">
        <f t="shared" si="41"/>
        <v>0</v>
      </c>
      <c r="E316" s="1003">
        <f t="shared" si="41"/>
        <v>0</v>
      </c>
      <c r="F316" s="1004">
        <f t="shared" si="41"/>
        <v>0</v>
      </c>
      <c r="G316" s="1002">
        <f t="shared" si="41"/>
        <v>0</v>
      </c>
      <c r="H316" s="1005">
        <f t="shared" si="41"/>
        <v>0</v>
      </c>
      <c r="I316" s="1006">
        <f t="shared" si="41"/>
        <v>0</v>
      </c>
      <c r="J316" s="1002">
        <f t="shared" si="41"/>
        <v>0</v>
      </c>
      <c r="K316" s="1003">
        <f t="shared" si="41"/>
        <v>0</v>
      </c>
      <c r="L316" s="209"/>
      <c r="M316" s="210"/>
      <c r="N316" s="210"/>
      <c r="O316" s="210"/>
      <c r="P316" s="210"/>
      <c r="Q316" s="210"/>
      <c r="R316" s="210"/>
      <c r="S316" s="210"/>
      <c r="T316" s="210"/>
      <c r="U316" s="210"/>
      <c r="V316" s="210"/>
      <c r="W316" s="210"/>
    </row>
    <row r="317" spans="1:23" ht="11.25" customHeight="1">
      <c r="A317" s="1210" t="str">
        <f t="shared" si="38"/>
        <v>Subvote example 14</v>
      </c>
      <c r="B317" s="1073"/>
      <c r="C317" s="1080"/>
      <c r="D317" s="1080"/>
      <c r="E317" s="1081"/>
      <c r="F317" s="1082"/>
      <c r="G317" s="1080"/>
      <c r="H317" s="1083"/>
      <c r="I317" s="1084"/>
      <c r="J317" s="1080"/>
      <c r="K317" s="1081"/>
      <c r="L317" s="209"/>
      <c r="M317" s="210"/>
      <c r="N317" s="210"/>
      <c r="O317" s="210"/>
      <c r="P317" s="210"/>
      <c r="Q317" s="210"/>
      <c r="R317" s="210"/>
      <c r="S317" s="210"/>
      <c r="T317" s="210"/>
      <c r="U317" s="210"/>
      <c r="V317" s="210"/>
      <c r="W317" s="210"/>
    </row>
    <row r="318" spans="1:23" ht="11.25" customHeight="1">
      <c r="A318" s="1210">
        <f t="shared" si="38"/>
        <v>0</v>
      </c>
      <c r="B318" s="1073"/>
      <c r="C318" s="1080"/>
      <c r="D318" s="1080"/>
      <c r="E318" s="1081"/>
      <c r="F318" s="1082"/>
      <c r="G318" s="1080"/>
      <c r="H318" s="1083"/>
      <c r="I318" s="1084"/>
      <c r="J318" s="1080"/>
      <c r="K318" s="1081"/>
      <c r="L318" s="209"/>
      <c r="M318" s="210"/>
      <c r="N318" s="210"/>
      <c r="O318" s="210"/>
      <c r="P318" s="210"/>
      <c r="Q318" s="210"/>
      <c r="R318" s="210"/>
      <c r="S318" s="210"/>
      <c r="T318" s="210"/>
      <c r="U318" s="210"/>
      <c r="V318" s="210"/>
      <c r="W318" s="210"/>
    </row>
    <row r="319" spans="1:23" ht="11.25" customHeight="1">
      <c r="A319" s="1210">
        <f t="shared" si="38"/>
        <v>0</v>
      </c>
      <c r="B319" s="1073"/>
      <c r="C319" s="1080"/>
      <c r="D319" s="1080"/>
      <c r="E319" s="1081"/>
      <c r="F319" s="1082"/>
      <c r="G319" s="1080"/>
      <c r="H319" s="1083"/>
      <c r="I319" s="1084"/>
      <c r="J319" s="1080"/>
      <c r="K319" s="1081"/>
      <c r="L319" s="209"/>
      <c r="M319" s="210"/>
      <c r="N319" s="210"/>
      <c r="O319" s="210"/>
      <c r="P319" s="210"/>
      <c r="Q319" s="210"/>
      <c r="R319" s="210"/>
      <c r="S319" s="210"/>
      <c r="T319" s="210"/>
      <c r="U319" s="210"/>
      <c r="V319" s="210"/>
      <c r="W319" s="210"/>
    </row>
    <row r="320" spans="1:23" ht="11.25" customHeight="1">
      <c r="A320" s="1210">
        <f t="shared" si="38"/>
        <v>0</v>
      </c>
      <c r="B320" s="1073"/>
      <c r="C320" s="1080"/>
      <c r="D320" s="1080"/>
      <c r="E320" s="1081"/>
      <c r="F320" s="1082"/>
      <c r="G320" s="1080"/>
      <c r="H320" s="1083"/>
      <c r="I320" s="1084"/>
      <c r="J320" s="1080"/>
      <c r="K320" s="1081"/>
      <c r="L320" s="209"/>
      <c r="M320" s="210"/>
      <c r="N320" s="210"/>
      <c r="O320" s="210"/>
      <c r="P320" s="210"/>
      <c r="Q320" s="210"/>
      <c r="R320" s="210"/>
      <c r="S320" s="210"/>
      <c r="T320" s="210"/>
      <c r="U320" s="210"/>
      <c r="V320" s="210"/>
      <c r="W320" s="210"/>
    </row>
    <row r="321" spans="1:23" ht="11.25" customHeight="1">
      <c r="A321" s="1210">
        <f t="shared" si="38"/>
        <v>0</v>
      </c>
      <c r="B321" s="1073"/>
      <c r="C321" s="1080"/>
      <c r="D321" s="1080"/>
      <c r="E321" s="1081"/>
      <c r="F321" s="1082"/>
      <c r="G321" s="1080"/>
      <c r="H321" s="1083"/>
      <c r="I321" s="1084"/>
      <c r="J321" s="1080"/>
      <c r="K321" s="1081"/>
      <c r="L321" s="209"/>
      <c r="M321" s="210"/>
      <c r="N321" s="210"/>
      <c r="O321" s="210"/>
      <c r="P321" s="210"/>
      <c r="Q321" s="210"/>
      <c r="R321" s="210"/>
      <c r="S321" s="210"/>
      <c r="T321" s="210"/>
      <c r="U321" s="210"/>
      <c r="V321" s="210"/>
      <c r="W321" s="210"/>
    </row>
    <row r="322" spans="1:23" ht="11.25" customHeight="1">
      <c r="A322" s="1210">
        <f t="shared" si="38"/>
        <v>0</v>
      </c>
      <c r="B322" s="1073"/>
      <c r="C322" s="1080"/>
      <c r="D322" s="1080"/>
      <c r="E322" s="1081"/>
      <c r="F322" s="1082"/>
      <c r="G322" s="1080"/>
      <c r="H322" s="1083"/>
      <c r="I322" s="1084"/>
      <c r="J322" s="1080"/>
      <c r="K322" s="1081"/>
      <c r="L322" s="209"/>
      <c r="M322" s="210"/>
      <c r="N322" s="210"/>
      <c r="O322" s="210"/>
      <c r="P322" s="210"/>
      <c r="Q322" s="210"/>
      <c r="R322" s="210"/>
      <c r="S322" s="210"/>
      <c r="T322" s="210"/>
      <c r="U322" s="210"/>
      <c r="V322" s="210"/>
      <c r="W322" s="210"/>
    </row>
    <row r="323" spans="1:23" ht="11.25" customHeight="1">
      <c r="A323" s="1210">
        <f t="shared" si="38"/>
        <v>0</v>
      </c>
      <c r="B323" s="1073"/>
      <c r="C323" s="1080"/>
      <c r="D323" s="1080"/>
      <c r="E323" s="1081"/>
      <c r="F323" s="1082"/>
      <c r="G323" s="1080"/>
      <c r="H323" s="1083"/>
      <c r="I323" s="1084"/>
      <c r="J323" s="1080"/>
      <c r="K323" s="1081"/>
      <c r="L323" s="209"/>
      <c r="M323" s="210"/>
      <c r="N323" s="210"/>
      <c r="O323" s="210"/>
      <c r="P323" s="210"/>
      <c r="Q323" s="210"/>
      <c r="R323" s="210"/>
      <c r="S323" s="210"/>
      <c r="T323" s="210"/>
      <c r="U323" s="210"/>
      <c r="V323" s="210"/>
      <c r="W323" s="210"/>
    </row>
    <row r="324" spans="1:23" ht="11.25" customHeight="1">
      <c r="A324" s="1210">
        <f t="shared" si="38"/>
        <v>0</v>
      </c>
      <c r="B324" s="1073"/>
      <c r="C324" s="1080"/>
      <c r="D324" s="1080"/>
      <c r="E324" s="1081"/>
      <c r="F324" s="1082"/>
      <c r="G324" s="1080"/>
      <c r="H324" s="1083"/>
      <c r="I324" s="1084"/>
      <c r="J324" s="1080"/>
      <c r="K324" s="1081"/>
      <c r="L324" s="209"/>
      <c r="M324" s="210"/>
      <c r="N324" s="210"/>
      <c r="O324" s="210"/>
      <c r="P324" s="210"/>
      <c r="Q324" s="210"/>
      <c r="R324" s="210"/>
      <c r="S324" s="210"/>
      <c r="T324" s="210"/>
      <c r="U324" s="210"/>
      <c r="V324" s="210"/>
      <c r="W324" s="210"/>
    </row>
    <row r="325" spans="1:23" ht="11.25" customHeight="1">
      <c r="A325" s="1210">
        <f t="shared" si="38"/>
        <v>0</v>
      </c>
      <c r="B325" s="1073"/>
      <c r="C325" s="1080"/>
      <c r="D325" s="1080"/>
      <c r="E325" s="1081"/>
      <c r="F325" s="1082"/>
      <c r="G325" s="1080"/>
      <c r="H325" s="1083"/>
      <c r="I325" s="1084"/>
      <c r="J325" s="1080"/>
      <c r="K325" s="1081"/>
      <c r="L325" s="209"/>
      <c r="M325" s="210"/>
      <c r="N325" s="210"/>
      <c r="O325" s="210"/>
      <c r="P325" s="210"/>
      <c r="Q325" s="210"/>
      <c r="R325" s="210"/>
      <c r="S325" s="210"/>
      <c r="T325" s="210"/>
      <c r="U325" s="210"/>
      <c r="V325" s="210"/>
      <c r="W325" s="210"/>
    </row>
    <row r="326" spans="1:23" ht="11.25" customHeight="1">
      <c r="A326" s="1210">
        <f t="shared" si="38"/>
        <v>0</v>
      </c>
      <c r="B326" s="1073"/>
      <c r="C326" s="1080"/>
      <c r="D326" s="1080"/>
      <c r="E326" s="1081"/>
      <c r="F326" s="1082"/>
      <c r="G326" s="1080"/>
      <c r="H326" s="1083"/>
      <c r="I326" s="1084"/>
      <c r="J326" s="1080"/>
      <c r="K326" s="1081"/>
      <c r="L326" s="209"/>
      <c r="M326" s="210"/>
      <c r="N326" s="210"/>
      <c r="O326" s="210"/>
      <c r="P326" s="210"/>
      <c r="Q326" s="210"/>
      <c r="R326" s="210"/>
      <c r="S326" s="210"/>
      <c r="T326" s="210"/>
      <c r="U326" s="210"/>
      <c r="V326" s="210"/>
      <c r="W326" s="210"/>
    </row>
    <row r="327" spans="1:23" ht="11.25" customHeight="1">
      <c r="A327" s="1209" t="str">
        <f t="shared" si="38"/>
        <v>Example 15 - Vote15</v>
      </c>
      <c r="B327" s="1073"/>
      <c r="C327" s="1002">
        <f t="shared" ref="C327:K327" si="42">SUM(C328:C337)</f>
        <v>0</v>
      </c>
      <c r="D327" s="1002">
        <f t="shared" si="42"/>
        <v>0</v>
      </c>
      <c r="E327" s="1003">
        <f t="shared" si="42"/>
        <v>0</v>
      </c>
      <c r="F327" s="1004">
        <f t="shared" si="42"/>
        <v>0</v>
      </c>
      <c r="G327" s="1002">
        <f t="shared" si="42"/>
        <v>0</v>
      </c>
      <c r="H327" s="1005">
        <f t="shared" si="42"/>
        <v>0</v>
      </c>
      <c r="I327" s="1006">
        <f t="shared" si="42"/>
        <v>0</v>
      </c>
      <c r="J327" s="1002">
        <f t="shared" si="42"/>
        <v>0</v>
      </c>
      <c r="K327" s="1003">
        <f t="shared" si="42"/>
        <v>0</v>
      </c>
      <c r="L327" s="209"/>
      <c r="M327" s="210"/>
      <c r="N327" s="210"/>
      <c r="O327" s="210"/>
      <c r="P327" s="210"/>
      <c r="Q327" s="210"/>
      <c r="R327" s="210"/>
      <c r="S327" s="210"/>
      <c r="T327" s="210"/>
      <c r="U327" s="210"/>
      <c r="V327" s="210"/>
      <c r="W327" s="210"/>
    </row>
    <row r="328" spans="1:23" ht="11.25" customHeight="1">
      <c r="A328" s="1210" t="str">
        <f t="shared" si="38"/>
        <v>Subvote example 15</v>
      </c>
      <c r="B328" s="1073"/>
      <c r="C328" s="1080"/>
      <c r="D328" s="1080"/>
      <c r="E328" s="1081"/>
      <c r="F328" s="1082"/>
      <c r="G328" s="1080"/>
      <c r="H328" s="1083"/>
      <c r="I328" s="1084"/>
      <c r="J328" s="1080"/>
      <c r="K328" s="1081"/>
      <c r="L328" s="209"/>
      <c r="M328" s="210"/>
      <c r="N328" s="210"/>
      <c r="O328" s="210"/>
      <c r="P328" s="210"/>
      <c r="Q328" s="210"/>
      <c r="R328" s="210"/>
      <c r="S328" s="210"/>
      <c r="T328" s="210"/>
      <c r="U328" s="210"/>
      <c r="V328" s="210"/>
      <c r="W328" s="210"/>
    </row>
    <row r="329" spans="1:23" ht="11.25" customHeight="1">
      <c r="A329" s="1210">
        <f t="shared" si="38"/>
        <v>0</v>
      </c>
      <c r="B329" s="1073"/>
      <c r="C329" s="1080"/>
      <c r="D329" s="1080"/>
      <c r="E329" s="1081"/>
      <c r="F329" s="1082"/>
      <c r="G329" s="1080"/>
      <c r="H329" s="1083"/>
      <c r="I329" s="1084"/>
      <c r="J329" s="1080"/>
      <c r="K329" s="1081"/>
      <c r="L329" s="209"/>
      <c r="M329" s="210"/>
      <c r="N329" s="210"/>
      <c r="O329" s="210"/>
      <c r="P329" s="210"/>
      <c r="Q329" s="210"/>
      <c r="R329" s="210"/>
      <c r="S329" s="210"/>
      <c r="T329" s="210"/>
      <c r="U329" s="210"/>
      <c r="V329" s="210"/>
      <c r="W329" s="210"/>
    </row>
    <row r="330" spans="1:23" ht="11.25" customHeight="1">
      <c r="A330" s="1210">
        <f t="shared" si="38"/>
        <v>0</v>
      </c>
      <c r="B330" s="1073"/>
      <c r="C330" s="1080"/>
      <c r="D330" s="1080"/>
      <c r="E330" s="1081"/>
      <c r="F330" s="1082"/>
      <c r="G330" s="1080"/>
      <c r="H330" s="1083"/>
      <c r="I330" s="1084"/>
      <c r="J330" s="1080"/>
      <c r="K330" s="1081"/>
      <c r="L330" s="209"/>
      <c r="M330" s="210"/>
      <c r="N330" s="210"/>
      <c r="O330" s="210"/>
      <c r="P330" s="210"/>
      <c r="Q330" s="210"/>
      <c r="R330" s="210"/>
      <c r="S330" s="210"/>
      <c r="T330" s="210"/>
      <c r="U330" s="210"/>
      <c r="V330" s="210"/>
      <c r="W330" s="210"/>
    </row>
    <row r="331" spans="1:23" ht="11.25" customHeight="1">
      <c r="A331" s="1210">
        <f t="shared" si="38"/>
        <v>0</v>
      </c>
      <c r="B331" s="1073"/>
      <c r="C331" s="1080"/>
      <c r="D331" s="1080"/>
      <c r="E331" s="1081"/>
      <c r="F331" s="1082"/>
      <c r="G331" s="1080"/>
      <c r="H331" s="1083"/>
      <c r="I331" s="1084"/>
      <c r="J331" s="1080"/>
      <c r="K331" s="1081"/>
      <c r="L331" s="209"/>
      <c r="M331" s="210"/>
      <c r="N331" s="210"/>
      <c r="O331" s="210"/>
      <c r="P331" s="210"/>
      <c r="Q331" s="210"/>
      <c r="R331" s="210"/>
      <c r="S331" s="210"/>
      <c r="T331" s="210"/>
      <c r="U331" s="210"/>
      <c r="V331" s="210"/>
      <c r="W331" s="210"/>
    </row>
    <row r="332" spans="1:23" ht="11.25" customHeight="1">
      <c r="A332" s="1210">
        <f t="shared" si="38"/>
        <v>0</v>
      </c>
      <c r="B332" s="1073"/>
      <c r="C332" s="1080"/>
      <c r="D332" s="1080"/>
      <c r="E332" s="1081"/>
      <c r="F332" s="1082"/>
      <c r="G332" s="1080"/>
      <c r="H332" s="1083"/>
      <c r="I332" s="1084"/>
      <c r="J332" s="1080"/>
      <c r="K332" s="1081"/>
      <c r="L332" s="209"/>
      <c r="M332" s="210"/>
      <c r="N332" s="210"/>
      <c r="O332" s="210"/>
      <c r="P332" s="210"/>
      <c r="Q332" s="210"/>
      <c r="R332" s="210"/>
      <c r="S332" s="210"/>
      <c r="T332" s="210"/>
      <c r="U332" s="210"/>
      <c r="V332" s="210"/>
      <c r="W332" s="210"/>
    </row>
    <row r="333" spans="1:23" ht="11.25" customHeight="1">
      <c r="A333" s="1210">
        <f t="shared" si="38"/>
        <v>0</v>
      </c>
      <c r="B333" s="1073"/>
      <c r="C333" s="1080"/>
      <c r="D333" s="1080"/>
      <c r="E333" s="1081"/>
      <c r="F333" s="1082"/>
      <c r="G333" s="1080"/>
      <c r="H333" s="1083"/>
      <c r="I333" s="1084"/>
      <c r="J333" s="1080"/>
      <c r="K333" s="1081"/>
      <c r="L333" s="209"/>
      <c r="M333" s="210"/>
      <c r="N333" s="210"/>
      <c r="O333" s="210"/>
      <c r="P333" s="210"/>
      <c r="Q333" s="210"/>
      <c r="R333" s="210"/>
      <c r="S333" s="210"/>
      <c r="T333" s="210"/>
      <c r="U333" s="210"/>
      <c r="V333" s="210"/>
      <c r="W333" s="210"/>
    </row>
    <row r="334" spans="1:23" ht="11.25" customHeight="1">
      <c r="A334" s="1210">
        <f t="shared" si="38"/>
        <v>0</v>
      </c>
      <c r="B334" s="1073"/>
      <c r="C334" s="1080"/>
      <c r="D334" s="1080"/>
      <c r="E334" s="1081"/>
      <c r="F334" s="1082"/>
      <c r="G334" s="1080"/>
      <c r="H334" s="1083"/>
      <c r="I334" s="1084"/>
      <c r="J334" s="1080"/>
      <c r="K334" s="1081"/>
      <c r="L334" s="209"/>
      <c r="M334" s="210"/>
      <c r="N334" s="210"/>
      <c r="O334" s="210"/>
      <c r="P334" s="210"/>
      <c r="Q334" s="210"/>
      <c r="R334" s="210"/>
      <c r="S334" s="210"/>
      <c r="T334" s="210"/>
      <c r="U334" s="210"/>
      <c r="V334" s="210"/>
      <c r="W334" s="210"/>
    </row>
    <row r="335" spans="1:23" ht="11.25" customHeight="1">
      <c r="A335" s="1210">
        <f t="shared" si="38"/>
        <v>0</v>
      </c>
      <c r="B335" s="1073"/>
      <c r="C335" s="1080"/>
      <c r="D335" s="1080"/>
      <c r="E335" s="1081"/>
      <c r="F335" s="1082"/>
      <c r="G335" s="1080"/>
      <c r="H335" s="1083"/>
      <c r="I335" s="1084"/>
      <c r="J335" s="1080"/>
      <c r="K335" s="1081"/>
      <c r="L335" s="209"/>
      <c r="M335" s="210"/>
      <c r="N335" s="210"/>
      <c r="O335" s="210"/>
      <c r="P335" s="210"/>
      <c r="Q335" s="210"/>
      <c r="R335" s="210"/>
      <c r="S335" s="210"/>
      <c r="T335" s="210"/>
      <c r="U335" s="210"/>
      <c r="V335" s="210"/>
      <c r="W335" s="210"/>
    </row>
    <row r="336" spans="1:23" ht="11.25" customHeight="1">
      <c r="A336" s="1210">
        <f t="shared" si="38"/>
        <v>0</v>
      </c>
      <c r="B336" s="1073"/>
      <c r="C336" s="1080"/>
      <c r="D336" s="1080"/>
      <c r="E336" s="1081"/>
      <c r="F336" s="1082"/>
      <c r="G336" s="1080"/>
      <c r="H336" s="1083"/>
      <c r="I336" s="1084"/>
      <c r="J336" s="1080"/>
      <c r="K336" s="1081"/>
      <c r="L336" s="209"/>
      <c r="M336" s="210"/>
      <c r="N336" s="210"/>
      <c r="O336" s="210"/>
      <c r="P336" s="210"/>
      <c r="Q336" s="210"/>
      <c r="R336" s="210"/>
      <c r="S336" s="210"/>
      <c r="T336" s="210"/>
      <c r="U336" s="210"/>
      <c r="V336" s="210"/>
      <c r="W336" s="210"/>
    </row>
    <row r="337" spans="1:23" ht="11.25" customHeight="1">
      <c r="A337" s="1210">
        <f t="shared" si="38"/>
        <v>0</v>
      </c>
      <c r="B337" s="1073"/>
      <c r="C337" s="1080"/>
      <c r="D337" s="1080"/>
      <c r="E337" s="1081"/>
      <c r="F337" s="1082"/>
      <c r="G337" s="1080"/>
      <c r="H337" s="1083"/>
      <c r="I337" s="1084"/>
      <c r="J337" s="1080"/>
      <c r="K337" s="1081"/>
      <c r="L337" s="209"/>
      <c r="M337" s="210"/>
      <c r="N337" s="210"/>
      <c r="O337" s="210"/>
      <c r="P337" s="210"/>
      <c r="Q337" s="210"/>
      <c r="R337" s="210"/>
      <c r="S337" s="210"/>
      <c r="T337" s="210"/>
      <c r="U337" s="210"/>
      <c r="V337" s="210"/>
      <c r="W337" s="210"/>
    </row>
    <row r="338" spans="1:23" ht="11.25" customHeight="1">
      <c r="A338" s="198" t="s">
        <v>185</v>
      </c>
      <c r="B338" s="1073">
        <v>2</v>
      </c>
      <c r="C338" s="214">
        <f>C173+C184+C195+C206+C217+C228+C239+C250+C261+C283+C294+C305+C316+C327+C272</f>
        <v>0</v>
      </c>
      <c r="D338" s="214">
        <f>D173+D184+D195+D206+D217+D228+D239+D250+D261+D283+D294+D305+D316+D327+D272</f>
        <v>0</v>
      </c>
      <c r="E338" s="215">
        <f t="shared" ref="E338:K338" si="43">E173+E184+E195+E206+E217+E228+E239+E250+E261+E283+E294+E305+E316+E327+E272</f>
        <v>2739150630</v>
      </c>
      <c r="F338" s="216">
        <f>F173+F184+F195+F206+F217+F228+F239+F250+F261+F283+F294+F305+F316+F327+F272</f>
        <v>2388296180</v>
      </c>
      <c r="G338" s="214">
        <f t="shared" si="43"/>
        <v>3035455323</v>
      </c>
      <c r="H338" s="213">
        <f t="shared" si="43"/>
        <v>3035455323</v>
      </c>
      <c r="I338" s="217">
        <f t="shared" si="43"/>
        <v>3339106373</v>
      </c>
      <c r="J338" s="214">
        <f t="shared" si="43"/>
        <v>3551108161</v>
      </c>
      <c r="K338" s="215">
        <f t="shared" si="43"/>
        <v>3711581028</v>
      </c>
      <c r="L338" s="200">
        <f t="shared" ref="L338:W338" si="44">SUM(L173:L249)</f>
        <v>0</v>
      </c>
      <c r="M338" s="201">
        <f t="shared" si="44"/>
        <v>0</v>
      </c>
      <c r="N338" s="201">
        <f t="shared" si="44"/>
        <v>0</v>
      </c>
      <c r="O338" s="201">
        <f t="shared" si="44"/>
        <v>0</v>
      </c>
      <c r="P338" s="201">
        <f t="shared" si="44"/>
        <v>0</v>
      </c>
      <c r="Q338" s="201">
        <f t="shared" si="44"/>
        <v>0</v>
      </c>
      <c r="R338" s="201">
        <f t="shared" si="44"/>
        <v>0</v>
      </c>
      <c r="S338" s="201">
        <f t="shared" si="44"/>
        <v>0</v>
      </c>
      <c r="T338" s="201">
        <f t="shared" si="44"/>
        <v>0</v>
      </c>
      <c r="U338" s="201">
        <f t="shared" si="44"/>
        <v>0</v>
      </c>
      <c r="V338" s="201">
        <f t="shared" si="44"/>
        <v>0</v>
      </c>
      <c r="W338" s="201">
        <f t="shared" si="44"/>
        <v>0</v>
      </c>
    </row>
    <row r="339" spans="1:23" ht="5.0999999999999996" customHeight="1">
      <c r="A339" s="202"/>
      <c r="B339" s="1073"/>
      <c r="C339" s="219"/>
      <c r="D339" s="219"/>
      <c r="E339" s="220"/>
      <c r="F339" s="221"/>
      <c r="G339" s="219"/>
      <c r="H339" s="218"/>
      <c r="I339" s="222"/>
      <c r="J339" s="219"/>
      <c r="K339" s="220"/>
      <c r="L339" s="223"/>
      <c r="M339" s="224"/>
      <c r="N339" s="224"/>
      <c r="O339" s="224"/>
      <c r="P339" s="224"/>
      <c r="Q339" s="224"/>
      <c r="R339" s="224"/>
      <c r="S339" s="224"/>
      <c r="T339" s="224"/>
      <c r="U339" s="224"/>
      <c r="V339" s="224"/>
      <c r="W339" s="224"/>
    </row>
    <row r="340" spans="1:23" ht="13.5" thickBot="1">
      <c r="A340" s="225" t="str">
        <f>result</f>
        <v>Surplus/(Deficit) for the year</v>
      </c>
      <c r="B340" s="1074">
        <v>2</v>
      </c>
      <c r="C340" s="228">
        <f t="shared" ref="C340:W340" si="45">C170-C338</f>
        <v>0</v>
      </c>
      <c r="D340" s="228">
        <f t="shared" si="45"/>
        <v>0</v>
      </c>
      <c r="E340" s="229">
        <f t="shared" si="45"/>
        <v>-232981191</v>
      </c>
      <c r="F340" s="230">
        <f>F170-F338</f>
        <v>112798</v>
      </c>
      <c r="G340" s="231">
        <f t="shared" si="45"/>
        <v>112899</v>
      </c>
      <c r="H340" s="232">
        <f t="shared" si="45"/>
        <v>112899</v>
      </c>
      <c r="I340" s="233">
        <f t="shared" si="45"/>
        <v>90000</v>
      </c>
      <c r="J340" s="231">
        <f t="shared" si="45"/>
        <v>100001</v>
      </c>
      <c r="K340" s="229">
        <f t="shared" si="45"/>
        <v>110000</v>
      </c>
      <c r="L340" s="234">
        <f t="shared" si="45"/>
        <v>0</v>
      </c>
      <c r="M340" s="235">
        <f t="shared" si="45"/>
        <v>0</v>
      </c>
      <c r="N340" s="235">
        <f t="shared" si="45"/>
        <v>0</v>
      </c>
      <c r="O340" s="235">
        <f t="shared" si="45"/>
        <v>0</v>
      </c>
      <c r="P340" s="235">
        <f t="shared" si="45"/>
        <v>0</v>
      </c>
      <c r="Q340" s="235">
        <f t="shared" si="45"/>
        <v>0</v>
      </c>
      <c r="R340" s="235">
        <f t="shared" si="45"/>
        <v>0</v>
      </c>
      <c r="S340" s="235">
        <f t="shared" si="45"/>
        <v>0</v>
      </c>
      <c r="T340" s="235">
        <f t="shared" si="45"/>
        <v>0</v>
      </c>
      <c r="U340" s="235">
        <f t="shared" si="45"/>
        <v>0</v>
      </c>
      <c r="V340" s="235">
        <f t="shared" si="45"/>
        <v>0</v>
      </c>
      <c r="W340" s="235">
        <f t="shared" si="45"/>
        <v>0</v>
      </c>
    </row>
    <row r="341" spans="1:23" s="722" customFormat="1" ht="11.25" customHeight="1" thickTop="1">
      <c r="A341" s="1276" t="str">
        <f>head27a</f>
        <v>References</v>
      </c>
      <c r="B341" s="1065"/>
      <c r="C341" s="1066"/>
      <c r="D341" s="1067"/>
      <c r="E341" s="1067"/>
      <c r="F341" s="1067"/>
      <c r="G341" s="1067"/>
      <c r="H341" s="1067"/>
      <c r="I341" s="1067"/>
      <c r="J341" s="1067"/>
      <c r="K341" s="1067"/>
    </row>
    <row r="342" spans="1:23" s="722" customFormat="1" ht="11.25" customHeight="1">
      <c r="A342" s="1241" t="s">
        <v>688</v>
      </c>
      <c r="B342" s="1065"/>
      <c r="C342" s="1068"/>
      <c r="D342" s="1068"/>
      <c r="E342" s="1069"/>
      <c r="F342" s="1069"/>
      <c r="G342" s="1069"/>
      <c r="H342" s="1069"/>
      <c r="I342" s="1069"/>
      <c r="J342" s="1069"/>
      <c r="K342" s="1069"/>
    </row>
    <row r="343" spans="1:23" s="722" customFormat="1" ht="11.25" customHeight="1">
      <c r="A343" s="1282" t="s">
        <v>462</v>
      </c>
      <c r="B343" s="1065"/>
      <c r="C343" s="1068"/>
      <c r="D343" s="1068"/>
      <c r="E343" s="1069"/>
      <c r="F343" s="1069"/>
      <c r="G343" s="1069"/>
      <c r="H343" s="1069"/>
      <c r="I343" s="1069"/>
      <c r="J343" s="1069"/>
      <c r="K343" s="1069"/>
    </row>
    <row r="344" spans="1:23" s="722" customFormat="1" ht="11.25" customHeight="1">
      <c r="A344" s="1282" t="s">
        <v>460</v>
      </c>
      <c r="B344" s="1070"/>
      <c r="C344" s="1071"/>
      <c r="D344" s="1071"/>
      <c r="E344" s="1072"/>
      <c r="F344" s="1072"/>
      <c r="G344" s="1072"/>
      <c r="H344" s="1072"/>
      <c r="I344" s="1072"/>
      <c r="J344" s="1072"/>
      <c r="K344" s="1072"/>
    </row>
    <row r="345" spans="1:23" ht="11.25" customHeight="1">
      <c r="A345" s="247"/>
    </row>
    <row r="346" spans="1:23" ht="11.25" customHeight="1">
      <c r="A346" s="1283" t="s">
        <v>11</v>
      </c>
      <c r="B346" s="717"/>
      <c r="C346" s="1284">
        <f>C170-'A4-FinPerf RE'!C60</f>
        <v>-1947081812</v>
      </c>
      <c r="D346" s="1284">
        <f>D170-'A4-FinPerf RE'!D60</f>
        <v>-1929068437</v>
      </c>
      <c r="E346" s="1284">
        <f>E170-'A4-FinPerf RE'!E60</f>
        <v>-351213796</v>
      </c>
      <c r="F346" s="1284">
        <f>F170-'A4-FinPerf RE'!F60</f>
        <v>-136513018</v>
      </c>
      <c r="G346" s="1284">
        <f>G170-'A4-FinPerf RE'!G60</f>
        <v>-126513206</v>
      </c>
      <c r="H346" s="1284">
        <f>H170-'A4-FinPerf RE'!H60</f>
        <v>-126513204</v>
      </c>
      <c r="I346" s="1284">
        <f>I170-'A4-FinPerf RE'!J60</f>
        <v>-411313111</v>
      </c>
      <c r="J346" s="1284">
        <f>J170-'A4-FinPerf RE'!K60</f>
        <v>-310819069.62900019</v>
      </c>
      <c r="K346" s="1284">
        <f>K170-'A4-FinPerf RE'!L60</f>
        <v>-214215375.54359484</v>
      </c>
    </row>
    <row r="347" spans="1:23" ht="11.25" customHeight="1">
      <c r="A347" s="1283" t="s">
        <v>12</v>
      </c>
      <c r="B347" s="717"/>
      <c r="C347" s="1284">
        <f>C338-'A4-FinPerf RE'!C36</f>
        <v>-1596216663</v>
      </c>
      <c r="D347" s="1284">
        <f>D338-'A4-FinPerf RE'!D36</f>
        <v>-1827270016</v>
      </c>
      <c r="E347" s="1284">
        <f>E338-'A4-FinPerf RE'!E36</f>
        <v>-351123438</v>
      </c>
      <c r="F347" s="1284">
        <f>F338-'A4-FinPerf RE'!F36</f>
        <v>351</v>
      </c>
      <c r="G347" s="1284">
        <f>G338-'A4-FinPerf RE'!G36</f>
        <v>654</v>
      </c>
      <c r="H347" s="1284">
        <f>H338-'A4-FinPerf RE'!H36</f>
        <v>654</v>
      </c>
      <c r="I347" s="1284">
        <f>I338-'A4-FinPerf RE'!J36</f>
        <v>125</v>
      </c>
      <c r="J347" s="1284">
        <f>J338-'A4-FinPerf RE'!K36</f>
        <v>45.814000129699707</v>
      </c>
      <c r="K347" s="1284">
        <f>K338-'A4-FinPerf RE'!L36</f>
        <v>-452.36122989654541</v>
      </c>
    </row>
    <row r="348" spans="1:23" ht="11.25" customHeight="1">
      <c r="A348" s="247"/>
    </row>
    <row r="349" spans="1:23" ht="11.25" customHeight="1">
      <c r="A349" s="247"/>
    </row>
    <row r="350" spans="1:23" ht="11.25" customHeight="1">
      <c r="A350" s="247"/>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2" type="noConversion"/>
  <dataValidations xWindow="281" yWindow="656" count="16">
    <dataValidation type="list" allowBlank="1" showInputMessage="1" showErrorMessage="1" promptTitle="Select Vote" prompt="Select Vote from list" sqref="A184 A82 A104 A93 A38 A71 A60 A16 A27 A148 A49 A115 A159 A126 A137 A5">
      <formula1>Vote</formula1>
    </dataValidation>
    <dataValidation type="list" allowBlank="1" showInputMessage="1" showErrorMessage="1" promptTitle="Select Sub-Vote" prompt="Select sub-vote from list" sqref="A83:A92">
      <formula1>Vote8</formula1>
    </dataValidation>
    <dataValidation type="list" allowBlank="1" showInputMessage="1" showErrorMessage="1" promptTitle="Select Sub-Vote" prompt="Select sub-vote from list" sqref="A94:A103">
      <formula1>Vote9</formula1>
    </dataValidation>
    <dataValidation type="list" allowBlank="1" showInputMessage="1" showErrorMessage="1" promptTitle="Select Sub-Vote" prompt="Select sub-vote from list" sqref="A105:A114">
      <formula1>Vote10</formula1>
    </dataValidation>
    <dataValidation type="list" allowBlank="1" showInputMessage="1" showErrorMessage="1" promptTitle="Select Sub-Vote" prompt="Select sub-vote from list" sqref="A39:A48">
      <formula1>Vote4</formula1>
    </dataValidation>
    <dataValidation type="list" allowBlank="1" showInputMessage="1" showErrorMessage="1" promptTitle="Select Sub-Vote" prompt="Select sub-vote from list" sqref="A50:A59">
      <formula1>Vote5</formula1>
    </dataValidation>
    <dataValidation type="list" allowBlank="1" showInputMessage="1" showErrorMessage="1" promptTitle="Select Sub-Vote" prompt="Select sub-vote from list" sqref="A61:A70">
      <formula1>Vote6</formula1>
    </dataValidation>
    <dataValidation type="list" allowBlank="1" showInputMessage="1" showErrorMessage="1" promptTitle="Select Sub-Vote" prompt="Select sub-vote from list" sqref="A72:A81">
      <formula1>Vote7</formula1>
    </dataValidation>
    <dataValidation type="list" allowBlank="1" showInputMessage="1" showErrorMessage="1" promptTitle="Select Sub-Vote" prompt="Select sub-vote from list" sqref="A6:A15">
      <formula1>Vote1</formula1>
    </dataValidation>
    <dataValidation type="list" allowBlank="1" showInputMessage="1" showErrorMessage="1" promptTitle="Select Sub-Vote" prompt="Select sub-vote from list" sqref="A17:A26">
      <formula1>Vote2</formula1>
    </dataValidation>
    <dataValidation type="list" allowBlank="1" showInputMessage="1" showErrorMessage="1" promptTitle="Select Sub-Vote" prompt="Select sub-vote from list" sqref="A28:A37">
      <formula1>Vote3</formula1>
    </dataValidation>
    <dataValidation type="list" allowBlank="1" showInputMessage="1" showErrorMessage="1" promptTitle="Select Sub-Vote" prompt="Select sub-vote from list" sqref="A116:A125">
      <formula1>Vote11</formula1>
    </dataValidation>
    <dataValidation type="list" allowBlank="1" showInputMessage="1" showErrorMessage="1" promptTitle="Select Sub-Vote" prompt="Select sub-vote from list" sqref="A127:A136">
      <formula1>Vote12</formula1>
    </dataValidation>
    <dataValidation type="list" allowBlank="1" showInputMessage="1" showErrorMessage="1" promptTitle="Select Sub-Vote" prompt="Select sub-vote from list" sqref="A138:A147">
      <formula1>Vote13</formula1>
    </dataValidation>
    <dataValidation type="list" allowBlank="1" showInputMessage="1" showErrorMessage="1" promptTitle="Select Sub-Vote" prompt="Select sub-vote from list" sqref="A149:A158">
      <formula1>Vote14</formula1>
    </dataValidation>
    <dataValidation type="list" allowBlank="1" showInputMessage="1" showErrorMessage="1" promptTitle="Select Sub-Vote" prompt="Select sub-vote from list" sqref="A160:A169">
      <formula1>Vote15</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H34" sqref="H34"/>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hidden="1" customWidth="1"/>
    <col min="14" max="14" width="9.5703125" style="150" hidden="1" customWidth="1"/>
    <col min="15" max="15" width="9.85546875" style="150" hidden="1" customWidth="1"/>
    <col min="16" max="18" width="9.5703125" style="150" hidden="1" customWidth="1"/>
    <col min="19" max="19" width="9.85546875" style="150" hidden="1" customWidth="1"/>
    <col min="20" max="22" width="9.5703125" style="150" hidden="1" customWidth="1"/>
    <col min="23" max="24" width="9.85546875" style="150" hidden="1" customWidth="1"/>
    <col min="25" max="16384" width="9.140625" style="150"/>
  </cols>
  <sheetData>
    <row r="1" spans="1:25" s="180" customFormat="1">
      <c r="A1" s="148" t="str">
        <f>muni&amp;" - "&amp;Approve4</f>
        <v>KZN225 Msunduzi - Table A4 Budgeted Financial Performance (revenue and expenditure)</v>
      </c>
      <c r="B1" s="148"/>
      <c r="C1" s="148"/>
      <c r="D1" s="148"/>
      <c r="E1" s="148"/>
      <c r="F1" s="148"/>
      <c r="G1" s="148"/>
      <c r="H1" s="148"/>
      <c r="I1" s="148"/>
      <c r="J1" s="148"/>
      <c r="K1" s="148"/>
      <c r="L1" s="148"/>
    </row>
    <row r="2" spans="1:25" ht="28.5" customHeight="1">
      <c r="A2" s="1001" t="str">
        <f>desc</f>
        <v>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c r="M2" s="2429" t="str">
        <f>Head4</f>
        <v>LTFS</v>
      </c>
      <c r="N2" s="2429"/>
      <c r="O2" s="2429"/>
      <c r="P2" s="2429"/>
      <c r="Q2" s="2429"/>
      <c r="R2" s="2429"/>
      <c r="S2" s="2429"/>
      <c r="T2" s="2429"/>
      <c r="U2" s="2429"/>
      <c r="V2" s="2429"/>
      <c r="W2" s="2429"/>
      <c r="X2" s="2430"/>
    </row>
    <row r="3" spans="1:25" ht="25.5">
      <c r="A3" s="181" t="s">
        <v>703</v>
      </c>
      <c r="B3" s="291">
        <v>1</v>
      </c>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c r="M3" s="1639" t="str">
        <f>Head12</f>
        <v>Forecast 2014/15</v>
      </c>
      <c r="N3" s="1640" t="str">
        <f>Head13</f>
        <v>Forecast 2015/16</v>
      </c>
      <c r="O3" s="1640" t="str">
        <f>Head14</f>
        <v>Forecast 2016/17</v>
      </c>
      <c r="P3" s="1640" t="str">
        <f>Head15</f>
        <v>Forecast 2017/18</v>
      </c>
      <c r="Q3" s="1640" t="str">
        <f>Head16</f>
        <v>Forecast 2018/19</v>
      </c>
      <c r="R3" s="1640" t="str">
        <f>Head17</f>
        <v>Forecast 2019/20</v>
      </c>
      <c r="S3" s="1640" t="str">
        <f>Head18</f>
        <v>Forecast 2020/21</v>
      </c>
      <c r="T3" s="1640" t="str">
        <f>Head19</f>
        <v>Forecast 2021/22</v>
      </c>
      <c r="U3" s="1640" t="str">
        <f>Head20</f>
        <v>Forecast 2022/23</v>
      </c>
      <c r="V3" s="1640" t="str">
        <f>Head21</f>
        <v>Forecast 2023/24</v>
      </c>
      <c r="W3" s="1640" t="str">
        <f>Head22</f>
        <v>Forecast 2024/25</v>
      </c>
      <c r="X3" s="1640" t="str">
        <f>Head23</f>
        <v>Forecast 2025/26</v>
      </c>
    </row>
    <row r="4" spans="1:25" ht="12.75" customHeight="1">
      <c r="A4" s="250" t="s">
        <v>705</v>
      </c>
      <c r="B4" s="292"/>
      <c r="C4" s="185"/>
      <c r="D4" s="185"/>
      <c r="E4" s="293"/>
      <c r="F4" s="187"/>
      <c r="G4" s="185"/>
      <c r="H4" s="186"/>
      <c r="I4" s="184"/>
      <c r="J4" s="188"/>
      <c r="K4" s="185"/>
      <c r="L4" s="186"/>
      <c r="M4" s="189"/>
      <c r="N4" s="190"/>
      <c r="O4" s="190"/>
      <c r="P4" s="190"/>
      <c r="Q4" s="190"/>
      <c r="R4" s="190"/>
      <c r="S4" s="190"/>
      <c r="T4" s="190"/>
      <c r="U4" s="190"/>
      <c r="V4" s="190"/>
      <c r="W4" s="190"/>
      <c r="X4" s="190"/>
      <c r="Y4" s="373"/>
    </row>
    <row r="5" spans="1:25" ht="12.75" customHeight="1">
      <c r="A5" s="251" t="s">
        <v>572</v>
      </c>
      <c r="B5" s="295">
        <v>2</v>
      </c>
      <c r="C5" s="1091">
        <f>'SA1'!C9</f>
        <v>345067836</v>
      </c>
      <c r="D5" s="1091">
        <f>'SA1'!D9</f>
        <v>371363065</v>
      </c>
      <c r="E5" s="1469">
        <f>'SA1'!E9</f>
        <v>420030162</v>
      </c>
      <c r="F5" s="1095">
        <f>'SA1'!F9</f>
        <v>575181000</v>
      </c>
      <c r="G5" s="1091">
        <f>'SA1'!G9</f>
        <v>453235521</v>
      </c>
      <c r="H5" s="1191">
        <f>'SA1'!H9</f>
        <v>453235521</v>
      </c>
      <c r="I5" s="1094">
        <f>'SA1'!I9</f>
        <v>453235521</v>
      </c>
      <c r="J5" s="1095">
        <f>'SA1'!J9</f>
        <v>488357600</v>
      </c>
      <c r="K5" s="1091">
        <f>'SA1'!K9</f>
        <v>514240553</v>
      </c>
      <c r="L5" s="1191">
        <f>'SA1'!L9</f>
        <v>542523783</v>
      </c>
      <c r="M5" s="196"/>
      <c r="N5" s="197"/>
      <c r="O5" s="197"/>
      <c r="P5" s="197"/>
      <c r="Q5" s="197"/>
      <c r="R5" s="197"/>
      <c r="S5" s="197"/>
      <c r="T5" s="197"/>
      <c r="U5" s="197"/>
      <c r="V5" s="197"/>
      <c r="W5" s="197"/>
      <c r="X5" s="197"/>
      <c r="Y5" s="373"/>
    </row>
    <row r="6" spans="1:25" ht="12.75" customHeight="1">
      <c r="A6" s="251" t="s">
        <v>1760</v>
      </c>
      <c r="B6" s="295"/>
      <c r="C6" s="1081">
        <v>23565464</v>
      </c>
      <c r="D6" s="1082">
        <v>18941823</v>
      </c>
      <c r="E6" s="2241">
        <v>20284950</v>
      </c>
      <c r="F6" s="1712">
        <v>5966490</v>
      </c>
      <c r="G6" s="1708">
        <v>5966490</v>
      </c>
      <c r="H6" s="1708">
        <v>5966490</v>
      </c>
      <c r="I6" s="1708">
        <v>5966490</v>
      </c>
      <c r="J6" s="1081">
        <v>28454666</v>
      </c>
      <c r="K6" s="1708">
        <v>29962763.298</v>
      </c>
      <c r="L6" s="1711">
        <v>31610715.27939</v>
      </c>
      <c r="M6" s="196"/>
      <c r="N6" s="197"/>
      <c r="O6" s="197"/>
      <c r="P6" s="197"/>
      <c r="Q6" s="197"/>
      <c r="R6" s="197"/>
      <c r="S6" s="197"/>
      <c r="T6" s="197"/>
      <c r="U6" s="197"/>
      <c r="V6" s="197"/>
      <c r="W6" s="197"/>
      <c r="X6" s="197"/>
      <c r="Y6" s="373"/>
    </row>
    <row r="7" spans="1:25" ht="12.75" customHeight="1">
      <c r="A7" s="255" t="s">
        <v>1964</v>
      </c>
      <c r="B7" s="295">
        <v>2</v>
      </c>
      <c r="C7" s="1091">
        <f>'SA1'!C14</f>
        <v>538231578</v>
      </c>
      <c r="D7" s="1091">
        <f>'SA1'!D14</f>
        <v>584114974</v>
      </c>
      <c r="E7" s="1469">
        <f>'SA1'!E14</f>
        <v>816262839</v>
      </c>
      <c r="F7" s="1095">
        <f>'SA1'!F14</f>
        <v>963000000</v>
      </c>
      <c r="G7" s="1091">
        <f>'SA1'!G14</f>
        <v>1038567014</v>
      </c>
      <c r="H7" s="1191">
        <f>'SA1'!H14</f>
        <v>1038567013</v>
      </c>
      <c r="I7" s="1094">
        <f>'SA1'!I14</f>
        <v>1038567012</v>
      </c>
      <c r="J7" s="1095">
        <f>'SA1'!J14</f>
        <v>1185516774</v>
      </c>
      <c r="K7" s="1091">
        <f>'SA1'!K14</f>
        <v>1251438825</v>
      </c>
      <c r="L7" s="1191">
        <f>'SA1'!L14</f>
        <v>1324643385</v>
      </c>
      <c r="M7" s="196"/>
      <c r="N7" s="197"/>
      <c r="O7" s="197"/>
      <c r="P7" s="197"/>
      <c r="Q7" s="197"/>
      <c r="R7" s="197"/>
      <c r="S7" s="197"/>
      <c r="T7" s="197"/>
      <c r="U7" s="197"/>
      <c r="V7" s="197"/>
      <c r="W7" s="197"/>
      <c r="X7" s="197"/>
      <c r="Y7" s="373"/>
    </row>
    <row r="8" spans="1:25" ht="12.75" customHeight="1">
      <c r="A8" s="255" t="s">
        <v>1965</v>
      </c>
      <c r="B8" s="295">
        <v>2</v>
      </c>
      <c r="C8" s="1091">
        <f>'SA1'!C19</f>
        <v>188183405</v>
      </c>
      <c r="D8" s="1091">
        <f>'SA1'!D19</f>
        <v>199654291</v>
      </c>
      <c r="E8" s="1469">
        <f>'SA1'!E19</f>
        <v>213633343</v>
      </c>
      <c r="F8" s="1095">
        <f>'SA1'!F19</f>
        <v>232253351</v>
      </c>
      <c r="G8" s="1091">
        <f>'SA1'!G19</f>
        <v>270989956</v>
      </c>
      <c r="H8" s="1191">
        <f>'SA1'!H19</f>
        <v>270989956</v>
      </c>
      <c r="I8" s="1094">
        <f>'SA1'!I19</f>
        <v>270989956</v>
      </c>
      <c r="J8" s="1095">
        <f>'SA1'!J19</f>
        <v>301906355</v>
      </c>
      <c r="K8" s="1091">
        <f>'SA1'!K19</f>
        <v>317907392</v>
      </c>
      <c r="L8" s="1191">
        <f>'SA1'!L19</f>
        <v>335392298</v>
      </c>
      <c r="M8" s="196"/>
      <c r="N8" s="197"/>
      <c r="O8" s="197"/>
      <c r="P8" s="197"/>
      <c r="Q8" s="197"/>
      <c r="R8" s="197"/>
      <c r="S8" s="197"/>
      <c r="T8" s="197"/>
      <c r="U8" s="197"/>
      <c r="V8" s="197"/>
      <c r="W8" s="197"/>
      <c r="X8" s="197"/>
      <c r="Y8" s="373"/>
    </row>
    <row r="9" spans="1:25" ht="12.75" customHeight="1">
      <c r="A9" s="255" t="s">
        <v>1006</v>
      </c>
      <c r="B9" s="295">
        <v>2</v>
      </c>
      <c r="C9" s="1091">
        <f>'SA1'!C24</f>
        <v>61328283</v>
      </c>
      <c r="D9" s="1091">
        <f>'SA1'!D24</f>
        <v>64783101</v>
      </c>
      <c r="E9" s="1469">
        <f>'SA1'!E24</f>
        <v>76207067</v>
      </c>
      <c r="F9" s="1095">
        <f>'SA1'!F24</f>
        <v>91143967</v>
      </c>
      <c r="G9" s="1091">
        <f>'SA1'!G24</f>
        <v>104217250</v>
      </c>
      <c r="H9" s="1191">
        <f>'SA1'!H24</f>
        <v>104217250</v>
      </c>
      <c r="I9" s="1094">
        <f>'SA1'!I24</f>
        <v>104217250</v>
      </c>
      <c r="J9" s="1095">
        <f>'SA1'!J24</f>
        <v>113759715</v>
      </c>
      <c r="K9" s="1091">
        <f>'SA1'!K24</f>
        <v>119788980</v>
      </c>
      <c r="L9" s="1191">
        <f>'SA1'!L24</f>
        <v>126377374</v>
      </c>
      <c r="M9" s="196"/>
      <c r="N9" s="197"/>
      <c r="O9" s="197"/>
      <c r="P9" s="197"/>
      <c r="Q9" s="197"/>
      <c r="R9" s="197"/>
      <c r="S9" s="197"/>
      <c r="T9" s="197"/>
      <c r="U9" s="197"/>
      <c r="V9" s="197"/>
      <c r="W9" s="197"/>
      <c r="X9" s="197"/>
      <c r="Y9" s="373"/>
    </row>
    <row r="10" spans="1:25" ht="12.75" customHeight="1">
      <c r="A10" s="255" t="s">
        <v>1128</v>
      </c>
      <c r="B10" s="295">
        <v>2</v>
      </c>
      <c r="C10" s="208">
        <f>'SA1'!C30</f>
        <v>44263319</v>
      </c>
      <c r="D10" s="208">
        <f>'SA1'!D30</f>
        <v>46242428</v>
      </c>
      <c r="E10" s="205">
        <f>'SA1'!E30</f>
        <v>53287411</v>
      </c>
      <c r="F10" s="206">
        <f>'SA1'!F30</f>
        <v>66282919</v>
      </c>
      <c r="G10" s="204">
        <f>'SA1'!G30</f>
        <v>64421733</v>
      </c>
      <c r="H10" s="821">
        <f>'SA1'!H30</f>
        <v>64421732</v>
      </c>
      <c r="I10" s="203">
        <f>'SA1'!I30</f>
        <v>64421731</v>
      </c>
      <c r="J10" s="207">
        <f>'SA1'!J30</f>
        <v>68603339</v>
      </c>
      <c r="K10" s="204">
        <f>'SA1'!K30</f>
        <v>72239316</v>
      </c>
      <c r="L10" s="205">
        <f>'SA1'!L30</f>
        <v>76212478</v>
      </c>
      <c r="M10" s="196"/>
      <c r="N10" s="197"/>
      <c r="O10" s="197"/>
      <c r="P10" s="197"/>
      <c r="Q10" s="197"/>
      <c r="R10" s="197"/>
      <c r="S10" s="197"/>
      <c r="T10" s="197"/>
      <c r="U10" s="197"/>
      <c r="V10" s="197"/>
      <c r="W10" s="197"/>
      <c r="X10" s="197"/>
      <c r="Y10" s="373"/>
    </row>
    <row r="11" spans="1:25" ht="12.75" customHeight="1">
      <c r="A11" s="255" t="s">
        <v>1008</v>
      </c>
      <c r="B11" s="294"/>
      <c r="C11" s="2239">
        <v>0</v>
      </c>
      <c r="D11" s="2240">
        <v>0</v>
      </c>
      <c r="E11" s="2245">
        <v>0</v>
      </c>
      <c r="F11" s="1712"/>
      <c r="G11" s="1708"/>
      <c r="H11" s="1730"/>
      <c r="I11" s="1732"/>
      <c r="J11" s="2239">
        <v>0</v>
      </c>
      <c r="K11" s="1708"/>
      <c r="L11" s="1730"/>
      <c r="M11" s="196"/>
      <c r="N11" s="197"/>
      <c r="O11" s="197"/>
      <c r="P11" s="197"/>
      <c r="Q11" s="197"/>
      <c r="R11" s="197"/>
      <c r="S11" s="197"/>
      <c r="T11" s="197"/>
      <c r="U11" s="197"/>
      <c r="V11" s="197"/>
      <c r="W11" s="197"/>
      <c r="X11" s="197"/>
      <c r="Y11" s="373"/>
    </row>
    <row r="12" spans="1:25" ht="12.75" customHeight="1">
      <c r="A12" s="255" t="s">
        <v>1762</v>
      </c>
      <c r="B12" s="294"/>
      <c r="C12" s="2241">
        <v>15717272</v>
      </c>
      <c r="D12" s="2241">
        <v>17098934</v>
      </c>
      <c r="E12" s="2241">
        <v>15571328</v>
      </c>
      <c r="F12" s="1712">
        <v>17446000</v>
      </c>
      <c r="G12" s="1708">
        <v>17445686</v>
      </c>
      <c r="H12" s="1708">
        <v>17445686</v>
      </c>
      <c r="I12" s="1708">
        <v>17445686</v>
      </c>
      <c r="J12" s="2241">
        <v>18261097</v>
      </c>
      <c r="K12" s="1708">
        <v>19203488</v>
      </c>
      <c r="L12" s="1730">
        <v>20259680</v>
      </c>
      <c r="M12" s="196"/>
      <c r="N12" s="197"/>
      <c r="O12" s="197"/>
      <c r="P12" s="197"/>
      <c r="Q12" s="197"/>
      <c r="R12" s="197"/>
      <c r="S12" s="197"/>
      <c r="T12" s="197"/>
      <c r="U12" s="197"/>
      <c r="V12" s="197"/>
      <c r="W12" s="197"/>
      <c r="X12" s="197"/>
    </row>
    <row r="13" spans="1:25" ht="12.75" customHeight="1">
      <c r="A13" s="251" t="s">
        <v>498</v>
      </c>
      <c r="B13" s="294"/>
      <c r="C13" s="2241">
        <v>29320951</v>
      </c>
      <c r="D13" s="2241">
        <v>10019004</v>
      </c>
      <c r="E13" s="2241">
        <v>5453509</v>
      </c>
      <c r="F13" s="1712">
        <v>4076994</v>
      </c>
      <c r="G13" s="1708">
        <v>4076994</v>
      </c>
      <c r="H13" s="1708">
        <v>4076994</v>
      </c>
      <c r="I13" s="1708">
        <v>4076994</v>
      </c>
      <c r="J13" s="2241">
        <v>15800000</v>
      </c>
      <c r="K13" s="1708">
        <v>16637400</v>
      </c>
      <c r="L13" s="1730">
        <v>17552457</v>
      </c>
      <c r="M13" s="196"/>
      <c r="N13" s="197"/>
      <c r="O13" s="197"/>
      <c r="P13" s="197"/>
      <c r="Q13" s="197"/>
      <c r="R13" s="197"/>
      <c r="S13" s="197"/>
      <c r="T13" s="197"/>
      <c r="U13" s="197"/>
      <c r="V13" s="197"/>
      <c r="W13" s="197"/>
      <c r="X13" s="197"/>
    </row>
    <row r="14" spans="1:25" ht="12.75" customHeight="1">
      <c r="A14" s="251" t="s">
        <v>499</v>
      </c>
      <c r="B14" s="294"/>
      <c r="C14" s="2241">
        <v>22972938</v>
      </c>
      <c r="D14" s="2241">
        <v>19811793</v>
      </c>
      <c r="E14" s="2241">
        <v>1303696</v>
      </c>
      <c r="F14" s="1712">
        <v>32631009</v>
      </c>
      <c r="G14" s="1708">
        <v>935559</v>
      </c>
      <c r="H14" s="1708">
        <v>935559</v>
      </c>
      <c r="I14" s="1708">
        <v>935559</v>
      </c>
      <c r="J14" s="2241">
        <v>1018527</v>
      </c>
      <c r="K14" s="1708">
        <v>1072508.9310000001</v>
      </c>
      <c r="L14" s="1730">
        <v>1131496.922205</v>
      </c>
      <c r="M14" s="196"/>
      <c r="N14" s="197"/>
      <c r="O14" s="197"/>
      <c r="P14" s="197"/>
      <c r="Q14" s="197"/>
      <c r="R14" s="197"/>
      <c r="S14" s="197"/>
      <c r="T14" s="197"/>
      <c r="U14" s="197"/>
      <c r="V14" s="197"/>
      <c r="W14" s="197"/>
      <c r="X14" s="197"/>
    </row>
    <row r="15" spans="1:25" ht="12.75" customHeight="1">
      <c r="A15" s="251" t="s">
        <v>1671</v>
      </c>
      <c r="B15" s="294"/>
      <c r="C15" s="2242">
        <v>0</v>
      </c>
      <c r="D15" s="2243">
        <v>0</v>
      </c>
      <c r="E15" s="2246"/>
      <c r="F15" s="1712"/>
      <c r="G15" s="1733"/>
      <c r="H15" s="1733"/>
      <c r="I15" s="1733"/>
      <c r="J15" s="2242"/>
      <c r="K15" s="1733"/>
      <c r="L15" s="1734"/>
      <c r="M15" s="196"/>
      <c r="N15" s="197"/>
      <c r="O15" s="197"/>
      <c r="P15" s="197"/>
      <c r="Q15" s="197"/>
      <c r="R15" s="197"/>
      <c r="S15" s="197"/>
      <c r="T15" s="197"/>
      <c r="U15" s="197"/>
      <c r="V15" s="197"/>
      <c r="W15" s="197"/>
      <c r="X15" s="197"/>
    </row>
    <row r="16" spans="1:25" ht="12.75" customHeight="1">
      <c r="A16" s="251" t="s">
        <v>500</v>
      </c>
      <c r="B16" s="294"/>
      <c r="C16" s="2241">
        <v>14774353</v>
      </c>
      <c r="D16" s="2241">
        <v>11520959</v>
      </c>
      <c r="E16" s="2241">
        <v>7084343</v>
      </c>
      <c r="F16" s="1712">
        <f>8702000</f>
        <v>8702000</v>
      </c>
      <c r="G16" s="1708">
        <v>6702179</v>
      </c>
      <c r="H16" s="1708">
        <v>6702179</v>
      </c>
      <c r="I16" s="1708">
        <v>6702179</v>
      </c>
      <c r="J16" s="2241">
        <v>6072783</v>
      </c>
      <c r="K16" s="1708">
        <v>6394640</v>
      </c>
      <c r="L16" s="1730">
        <v>6746346</v>
      </c>
      <c r="M16" s="196"/>
      <c r="N16" s="197"/>
      <c r="O16" s="197"/>
      <c r="P16" s="197"/>
      <c r="Q16" s="197"/>
      <c r="R16" s="197"/>
      <c r="S16" s="197"/>
      <c r="T16" s="197"/>
      <c r="U16" s="197"/>
      <c r="V16" s="197"/>
      <c r="W16" s="197"/>
      <c r="X16" s="197"/>
    </row>
    <row r="17" spans="1:24" ht="12.75" customHeight="1">
      <c r="A17" s="251" t="s">
        <v>501</v>
      </c>
      <c r="B17" s="294"/>
      <c r="C17" s="2239">
        <v>43655</v>
      </c>
      <c r="D17" s="2240">
        <v>66000</v>
      </c>
      <c r="E17" s="2245">
        <v>72254</v>
      </c>
      <c r="F17" s="1712">
        <f>91000</f>
        <v>91000</v>
      </c>
      <c r="G17" s="1708">
        <v>90584</v>
      </c>
      <c r="H17" s="1708">
        <v>90584</v>
      </c>
      <c r="I17" s="1708">
        <v>90584</v>
      </c>
      <c r="J17" s="2239">
        <f>89575</f>
        <v>89575</v>
      </c>
      <c r="K17" s="1708">
        <v>94322</v>
      </c>
      <c r="L17" s="1730">
        <v>99510</v>
      </c>
      <c r="M17" s="196"/>
      <c r="N17" s="197"/>
      <c r="O17" s="197"/>
      <c r="P17" s="197"/>
      <c r="Q17" s="197"/>
      <c r="R17" s="197"/>
      <c r="S17" s="197"/>
      <c r="T17" s="197"/>
      <c r="U17" s="197"/>
      <c r="V17" s="197"/>
      <c r="W17" s="197"/>
      <c r="X17" s="197"/>
    </row>
    <row r="18" spans="1:24" ht="12.75" customHeight="1">
      <c r="A18" s="255" t="s">
        <v>1647</v>
      </c>
      <c r="B18" s="295"/>
      <c r="C18" s="2242">
        <v>751904</v>
      </c>
      <c r="D18" s="2243">
        <v>4862107</v>
      </c>
      <c r="E18" s="2246">
        <v>1435383</v>
      </c>
      <c r="F18" s="1712">
        <v>6470000</v>
      </c>
      <c r="G18" s="1733">
        <v>649130</v>
      </c>
      <c r="H18" s="1733">
        <v>649130</v>
      </c>
      <c r="I18" s="1733">
        <v>649130</v>
      </c>
      <c r="J18" s="2242">
        <v>334800</v>
      </c>
      <c r="K18" s="1733">
        <v>352544.4</v>
      </c>
      <c r="L18" s="1734">
        <v>371934.342</v>
      </c>
      <c r="M18" s="196"/>
      <c r="N18" s="197"/>
      <c r="O18" s="197"/>
      <c r="P18" s="197"/>
      <c r="Q18" s="197"/>
      <c r="R18" s="197"/>
      <c r="S18" s="197"/>
      <c r="T18" s="197"/>
      <c r="U18" s="197"/>
      <c r="V18" s="197"/>
      <c r="W18" s="197"/>
      <c r="X18" s="197"/>
    </row>
    <row r="19" spans="1:24" ht="12.75" customHeight="1">
      <c r="A19" s="251" t="s">
        <v>35</v>
      </c>
      <c r="B19" s="294"/>
      <c r="C19" s="2241">
        <f>266381115-97770614</f>
        <v>168610501</v>
      </c>
      <c r="D19" s="2241">
        <v>181063344</v>
      </c>
      <c r="E19" s="2241">
        <v>276021934</v>
      </c>
      <c r="F19" s="1712">
        <v>299334000</v>
      </c>
      <c r="G19" s="1708">
        <v>322506865</v>
      </c>
      <c r="H19" s="1708">
        <v>322506865</v>
      </c>
      <c r="I19" s="1708">
        <v>322506865</v>
      </c>
      <c r="J19" s="2241">
        <v>326131000</v>
      </c>
      <c r="K19" s="1708">
        <v>365712160</v>
      </c>
      <c r="L19" s="1730">
        <v>399129300</v>
      </c>
      <c r="M19" s="209"/>
      <c r="N19" s="197"/>
      <c r="O19" s="197"/>
      <c r="P19" s="197"/>
      <c r="Q19" s="197"/>
      <c r="R19" s="197"/>
      <c r="S19" s="197"/>
      <c r="T19" s="197"/>
      <c r="U19" s="197"/>
      <c r="V19" s="197"/>
      <c r="W19" s="197"/>
      <c r="X19" s="197"/>
    </row>
    <row r="20" spans="1:24" ht="12.75" customHeight="1">
      <c r="A20" s="251" t="s">
        <v>1703</v>
      </c>
      <c r="B20" s="294">
        <v>2</v>
      </c>
      <c r="C20" s="208">
        <f>'SA1'!C35</f>
        <v>446406000</v>
      </c>
      <c r="D20" s="208">
        <f>'SA1'!D35</f>
        <v>301756000</v>
      </c>
      <c r="E20" s="205">
        <f>'SA1'!E35</f>
        <v>872327778</v>
      </c>
      <c r="F20" s="206">
        <f>'SA1'!F35</f>
        <v>85830000</v>
      </c>
      <c r="G20" s="204">
        <f>'SA1'!G35</f>
        <v>745763201</v>
      </c>
      <c r="H20" s="205">
        <f>'SA1'!H35</f>
        <v>745763201</v>
      </c>
      <c r="I20" s="203">
        <f>'SA1'!I35</f>
        <v>745763201</v>
      </c>
      <c r="J20" s="207">
        <f>'SA1'!J35</f>
        <v>784889953</v>
      </c>
      <c r="K20" s="204">
        <f>'SA1'!K35</f>
        <v>836163039</v>
      </c>
      <c r="L20" s="205">
        <f>'SA1'!L35</f>
        <v>829640646</v>
      </c>
      <c r="M20" s="209"/>
      <c r="N20" s="197"/>
      <c r="O20" s="197"/>
      <c r="P20" s="197"/>
      <c r="Q20" s="197"/>
      <c r="R20" s="197"/>
      <c r="S20" s="197"/>
      <c r="T20" s="197"/>
      <c r="U20" s="197"/>
      <c r="V20" s="197"/>
      <c r="W20" s="197"/>
      <c r="X20" s="197"/>
    </row>
    <row r="21" spans="1:24" ht="12.75" customHeight="1">
      <c r="A21" s="251" t="s">
        <v>502</v>
      </c>
      <c r="B21" s="294"/>
      <c r="C21" s="1733"/>
      <c r="D21" s="1708"/>
      <c r="E21" s="1730"/>
      <c r="F21" s="1731"/>
      <c r="G21" s="1708"/>
      <c r="H21" s="1730"/>
      <c r="I21" s="1732"/>
      <c r="J21" s="1710"/>
      <c r="K21" s="1708"/>
      <c r="L21" s="1730"/>
      <c r="M21" s="209"/>
      <c r="N21" s="197"/>
      <c r="O21" s="197"/>
      <c r="P21" s="197"/>
      <c r="Q21" s="197"/>
      <c r="R21" s="197"/>
      <c r="S21" s="197"/>
      <c r="T21" s="197"/>
      <c r="U21" s="197"/>
      <c r="V21" s="197"/>
      <c r="W21" s="197"/>
      <c r="X21" s="197"/>
    </row>
    <row r="22" spans="1:24" ht="24" customHeight="1">
      <c r="A22" s="1422" t="s">
        <v>1129</v>
      </c>
      <c r="B22" s="1423"/>
      <c r="C22" s="1424">
        <f t="shared" ref="C22:X22" si="0">SUM(C5:C21)</f>
        <v>1899237459</v>
      </c>
      <c r="D22" s="1424">
        <f t="shared" si="0"/>
        <v>1831297823</v>
      </c>
      <c r="E22" s="1425">
        <f t="shared" si="0"/>
        <v>2778975997</v>
      </c>
      <c r="F22" s="1426">
        <f t="shared" si="0"/>
        <v>2388408730</v>
      </c>
      <c r="G22" s="1424">
        <f t="shared" si="0"/>
        <v>3035568162</v>
      </c>
      <c r="H22" s="1425">
        <f t="shared" si="0"/>
        <v>3035568160</v>
      </c>
      <c r="I22" s="1426">
        <f t="shared" si="0"/>
        <v>3035568158</v>
      </c>
      <c r="J22" s="1427">
        <f t="shared" si="0"/>
        <v>3339196184</v>
      </c>
      <c r="K22" s="1424">
        <f t="shared" si="0"/>
        <v>3551207931.6290002</v>
      </c>
      <c r="L22" s="1425">
        <f t="shared" si="0"/>
        <v>3711691403.5435948</v>
      </c>
      <c r="M22" s="200">
        <f t="shared" si="0"/>
        <v>0</v>
      </c>
      <c r="N22" s="201">
        <f t="shared" si="0"/>
        <v>0</v>
      </c>
      <c r="O22" s="201">
        <f t="shared" si="0"/>
        <v>0</v>
      </c>
      <c r="P22" s="201">
        <f t="shared" si="0"/>
        <v>0</v>
      </c>
      <c r="Q22" s="201">
        <f t="shared" si="0"/>
        <v>0</v>
      </c>
      <c r="R22" s="201">
        <f t="shared" si="0"/>
        <v>0</v>
      </c>
      <c r="S22" s="201">
        <f t="shared" si="0"/>
        <v>0</v>
      </c>
      <c r="T22" s="201">
        <f t="shared" si="0"/>
        <v>0</v>
      </c>
      <c r="U22" s="201">
        <f t="shared" si="0"/>
        <v>0</v>
      </c>
      <c r="V22" s="201">
        <f t="shared" si="0"/>
        <v>0</v>
      </c>
      <c r="W22" s="201">
        <f t="shared" si="0"/>
        <v>0</v>
      </c>
      <c r="X22" s="201">
        <f t="shared" si="0"/>
        <v>0</v>
      </c>
    </row>
    <row r="23" spans="1:24" ht="5.0999999999999996" customHeight="1">
      <c r="A23" s="274"/>
      <c r="B23" s="294"/>
      <c r="C23" s="204"/>
      <c r="D23" s="204"/>
      <c r="E23" s="205"/>
      <c r="F23" s="206"/>
      <c r="G23" s="204"/>
      <c r="H23" s="205"/>
      <c r="I23" s="203"/>
      <c r="J23" s="207"/>
      <c r="K23" s="204"/>
      <c r="L23" s="205"/>
      <c r="M23" s="196"/>
      <c r="N23" s="197"/>
      <c r="O23" s="197"/>
      <c r="P23" s="197"/>
      <c r="Q23" s="197"/>
      <c r="R23" s="197"/>
      <c r="S23" s="197"/>
      <c r="T23" s="197"/>
      <c r="U23" s="197"/>
      <c r="V23" s="197"/>
      <c r="W23" s="197"/>
      <c r="X23" s="197"/>
    </row>
    <row r="24" spans="1:24" ht="11.25" customHeight="1">
      <c r="A24" s="250" t="s">
        <v>1804</v>
      </c>
      <c r="B24" s="296"/>
      <c r="C24" s="204"/>
      <c r="D24" s="204"/>
      <c r="E24" s="205"/>
      <c r="F24" s="206"/>
      <c r="G24" s="204"/>
      <c r="H24" s="205"/>
      <c r="I24" s="203"/>
      <c r="J24" s="207"/>
      <c r="K24" s="204"/>
      <c r="L24" s="205"/>
      <c r="M24" s="196"/>
      <c r="N24" s="197"/>
      <c r="O24" s="197"/>
      <c r="P24" s="197"/>
      <c r="Q24" s="197"/>
      <c r="R24" s="197"/>
      <c r="S24" s="197"/>
      <c r="T24" s="197"/>
      <c r="U24" s="197"/>
      <c r="V24" s="197"/>
      <c r="W24" s="197"/>
      <c r="X24" s="197"/>
    </row>
    <row r="25" spans="1:24" ht="11.25" customHeight="1">
      <c r="A25" s="2146" t="s">
        <v>503</v>
      </c>
      <c r="B25" s="295">
        <v>2</v>
      </c>
      <c r="C25" s="204">
        <f>'SA1'!C50</f>
        <v>500859237</v>
      </c>
      <c r="D25" s="208">
        <f>'SA1'!D50</f>
        <v>521274564</v>
      </c>
      <c r="E25" s="205">
        <f>'SA1'!E50</f>
        <v>660086556</v>
      </c>
      <c r="F25" s="206">
        <f>'SA1'!F50</f>
        <v>598014000</v>
      </c>
      <c r="G25" s="204">
        <f>'SA1'!G50</f>
        <v>637530471</v>
      </c>
      <c r="H25" s="205">
        <f>'SA1'!H50</f>
        <v>637530471</v>
      </c>
      <c r="I25" s="203">
        <f>'SA1'!I50</f>
        <v>637530471</v>
      </c>
      <c r="J25" s="207">
        <f>'SA1'!J50</f>
        <v>657095980</v>
      </c>
      <c r="K25" s="204">
        <f>'SA1'!K50</f>
        <v>739478438</v>
      </c>
      <c r="L25" s="205">
        <f>'SA1'!L50</f>
        <v>790949818</v>
      </c>
      <c r="M25" s="196"/>
      <c r="N25" s="197"/>
      <c r="O25" s="197"/>
      <c r="P25" s="197"/>
      <c r="Q25" s="197"/>
      <c r="R25" s="197"/>
      <c r="S25" s="197"/>
      <c r="T25" s="197"/>
      <c r="U25" s="197"/>
      <c r="V25" s="197"/>
      <c r="W25" s="197"/>
      <c r="X25" s="197"/>
    </row>
    <row r="26" spans="1:24" ht="11.25" customHeight="1">
      <c r="A26" s="255" t="s">
        <v>561</v>
      </c>
      <c r="B26" s="295"/>
      <c r="C26" s="1080">
        <v>15503082</v>
      </c>
      <c r="D26" s="1081">
        <v>15467145</v>
      </c>
      <c r="E26" s="1084">
        <v>19383701</v>
      </c>
      <c r="F26" s="1731">
        <v>19355784</v>
      </c>
      <c r="G26" s="1708">
        <v>19355784</v>
      </c>
      <c r="H26" s="1708">
        <v>19355784</v>
      </c>
      <c r="I26" s="1708">
        <v>19355784</v>
      </c>
      <c r="J26" s="1081">
        <v>20954246</v>
      </c>
      <c r="K26" s="1708">
        <v>22064821</v>
      </c>
      <c r="L26" s="1730">
        <v>23278386</v>
      </c>
      <c r="M26" s="196"/>
      <c r="N26" s="197"/>
      <c r="O26" s="197"/>
      <c r="P26" s="197"/>
      <c r="Q26" s="197"/>
      <c r="R26" s="197"/>
      <c r="S26" s="197"/>
      <c r="T26" s="197"/>
      <c r="U26" s="197"/>
      <c r="V26" s="197"/>
      <c r="W26" s="197"/>
      <c r="X26" s="197"/>
    </row>
    <row r="27" spans="1:24" ht="11.25" customHeight="1">
      <c r="A27" s="255" t="s">
        <v>1600</v>
      </c>
      <c r="B27" s="295">
        <v>3</v>
      </c>
      <c r="C27" s="1080">
        <v>20000000</v>
      </c>
      <c r="D27" s="1081">
        <v>10000000</v>
      </c>
      <c r="E27" s="1084">
        <v>250539606</v>
      </c>
      <c r="F27" s="1731">
        <v>219817113</v>
      </c>
      <c r="G27" s="1708">
        <v>96000000</v>
      </c>
      <c r="H27" s="1708">
        <v>96000000</v>
      </c>
      <c r="I27" s="1708">
        <v>96000000</v>
      </c>
      <c r="J27" s="1081">
        <v>160917200</v>
      </c>
      <c r="K27" s="1708">
        <v>169445812</v>
      </c>
      <c r="L27" s="1730">
        <v>178765331</v>
      </c>
      <c r="M27" s="196"/>
      <c r="N27" s="197"/>
      <c r="O27" s="197"/>
      <c r="P27" s="197"/>
      <c r="Q27" s="197"/>
      <c r="R27" s="197"/>
      <c r="S27" s="197"/>
      <c r="T27" s="197"/>
      <c r="U27" s="197"/>
      <c r="V27" s="197"/>
      <c r="W27" s="197"/>
      <c r="X27" s="197"/>
    </row>
    <row r="28" spans="1:24" ht="11.25" customHeight="1">
      <c r="A28" s="255" t="s">
        <v>1633</v>
      </c>
      <c r="B28" s="295">
        <v>2</v>
      </c>
      <c r="C28" s="204">
        <f>'SA1'!C65</f>
        <v>96408758</v>
      </c>
      <c r="D28" s="208">
        <f>'SA1'!D65</f>
        <v>50736350</v>
      </c>
      <c r="E28" s="205">
        <f>'SA1'!E65</f>
        <v>123646386</v>
      </c>
      <c r="F28" s="206">
        <f>'SA1'!F65</f>
        <v>115834000</v>
      </c>
      <c r="G28" s="204">
        <f>'SA1'!G65</f>
        <v>105634674</v>
      </c>
      <c r="H28" s="205">
        <f>'SA1'!H65</f>
        <v>105634674</v>
      </c>
      <c r="I28" s="203">
        <f>'SA1'!I65</f>
        <v>105634674</v>
      </c>
      <c r="J28" s="207">
        <f>'SA1'!J65</f>
        <v>124711874</v>
      </c>
      <c r="K28" s="204">
        <f>'SA1'!K65</f>
        <v>85999663</v>
      </c>
      <c r="L28" s="205">
        <f>'SA1'!L65</f>
        <v>91593636</v>
      </c>
      <c r="M28" s="209"/>
      <c r="N28" s="210"/>
      <c r="O28" s="210"/>
      <c r="P28" s="210"/>
      <c r="Q28" s="210"/>
      <c r="R28" s="210"/>
      <c r="S28" s="210"/>
      <c r="T28" s="210"/>
      <c r="U28" s="210"/>
      <c r="V28" s="210"/>
      <c r="W28" s="210"/>
      <c r="X28" s="210"/>
    </row>
    <row r="29" spans="1:24" ht="11.25" customHeight="1">
      <c r="A29" s="255" t="s">
        <v>1702</v>
      </c>
      <c r="B29" s="295"/>
      <c r="C29" s="1080">
        <v>50194080</v>
      </c>
      <c r="D29" s="1081">
        <v>55028233</v>
      </c>
      <c r="E29" s="1084">
        <v>73753994</v>
      </c>
      <c r="F29" s="1712">
        <v>69096888</v>
      </c>
      <c r="G29" s="1708">
        <v>68948580</v>
      </c>
      <c r="H29" s="1708">
        <v>68948580</v>
      </c>
      <c r="I29" s="1708">
        <v>68948580</v>
      </c>
      <c r="J29" s="1081">
        <v>57747139</v>
      </c>
      <c r="K29" s="1708">
        <v>60807737</v>
      </c>
      <c r="L29" s="1730">
        <v>64152163</v>
      </c>
      <c r="M29" s="196"/>
      <c r="N29" s="197"/>
      <c r="O29" s="197"/>
      <c r="P29" s="197"/>
      <c r="Q29" s="197"/>
      <c r="R29" s="197"/>
      <c r="S29" s="197"/>
      <c r="T29" s="197"/>
      <c r="U29" s="197"/>
      <c r="V29" s="197"/>
      <c r="W29" s="197"/>
      <c r="X29" s="197"/>
    </row>
    <row r="30" spans="1:24" ht="11.25" customHeight="1">
      <c r="A30" s="255" t="s">
        <v>506</v>
      </c>
      <c r="B30" s="295">
        <v>2</v>
      </c>
      <c r="C30" s="204">
        <f>'SA1'!C70</f>
        <v>515449656</v>
      </c>
      <c r="D30" s="208">
        <f>'SA1'!D70</f>
        <v>598699231</v>
      </c>
      <c r="E30" s="205">
        <f>'SA1'!E70</f>
        <v>804979363</v>
      </c>
      <c r="F30" s="206">
        <f>'SA1'!F70</f>
        <v>891254044</v>
      </c>
      <c r="G30" s="204">
        <f>'SA1'!G70</f>
        <v>1002983616</v>
      </c>
      <c r="H30" s="205">
        <f>'SA1'!H70</f>
        <v>1002983616</v>
      </c>
      <c r="I30" s="203">
        <f>'SA1'!I70</f>
        <v>1002983616</v>
      </c>
      <c r="J30" s="207">
        <f>'SA1'!J70</f>
        <v>1243499897</v>
      </c>
      <c r="K30" s="204">
        <f>'SA1'!K70</f>
        <v>1309405392.1859999</v>
      </c>
      <c r="L30" s="205">
        <f>'SA1'!L70</f>
        <v>1381422688.3612299</v>
      </c>
      <c r="M30" s="196"/>
      <c r="N30" s="197"/>
      <c r="O30" s="197"/>
      <c r="P30" s="197"/>
      <c r="Q30" s="197"/>
      <c r="R30" s="197"/>
      <c r="S30" s="197"/>
      <c r="T30" s="197"/>
      <c r="U30" s="197"/>
      <c r="V30" s="197"/>
      <c r="W30" s="197"/>
      <c r="X30" s="197"/>
    </row>
    <row r="31" spans="1:24" ht="11.25" customHeight="1">
      <c r="A31" s="2146" t="s">
        <v>1666</v>
      </c>
      <c r="B31" s="295">
        <v>8</v>
      </c>
      <c r="C31" s="1733"/>
      <c r="D31" s="1733"/>
      <c r="E31" s="1734"/>
      <c r="F31" s="1735"/>
      <c r="G31" s="1733"/>
      <c r="H31" s="1734"/>
      <c r="I31" s="1736"/>
      <c r="J31" s="1737"/>
      <c r="K31" s="1733"/>
      <c r="L31" s="1734"/>
      <c r="M31" s="196"/>
      <c r="N31" s="197"/>
      <c r="O31" s="197"/>
      <c r="P31" s="197"/>
      <c r="Q31" s="197"/>
      <c r="R31" s="197"/>
      <c r="S31" s="197"/>
      <c r="T31" s="197"/>
      <c r="U31" s="197"/>
      <c r="V31" s="197"/>
      <c r="W31" s="197"/>
      <c r="X31" s="197"/>
    </row>
    <row r="32" spans="1:24" ht="11.25" customHeight="1">
      <c r="A32" s="2146" t="s">
        <v>507</v>
      </c>
      <c r="B32" s="295"/>
      <c r="C32" s="204">
        <f>'SA1'!C104</f>
        <v>12264640</v>
      </c>
      <c r="D32" s="208">
        <f>'SA1'!D104</f>
        <v>10888920</v>
      </c>
      <c r="E32" s="205">
        <f>'SA1'!E104</f>
        <v>14690414</v>
      </c>
      <c r="F32" s="206">
        <f>'SA1'!F104</f>
        <v>10009000</v>
      </c>
      <c r="G32" s="204">
        <f>'SA1'!G104</f>
        <v>8550000</v>
      </c>
      <c r="H32" s="205">
        <f>'SA1'!H104</f>
        <v>8550000</v>
      </c>
      <c r="I32" s="203">
        <f>'SA1'!I104</f>
        <v>8550000</v>
      </c>
      <c r="J32" s="207">
        <f>'SA1'!J104</f>
        <v>16050000</v>
      </c>
      <c r="K32" s="204">
        <f>'SA1'!K104</f>
        <v>5377119</v>
      </c>
      <c r="L32" s="205">
        <f>'SA1'!L104</f>
        <v>5635221</v>
      </c>
      <c r="M32" s="196"/>
      <c r="N32" s="197"/>
      <c r="O32" s="197"/>
      <c r="P32" s="197"/>
      <c r="Q32" s="197"/>
      <c r="R32" s="197"/>
      <c r="S32" s="197"/>
      <c r="T32" s="197"/>
      <c r="U32" s="197"/>
      <c r="V32" s="197"/>
      <c r="W32" s="197"/>
      <c r="X32" s="197"/>
    </row>
    <row r="33" spans="1:24" ht="11.25" customHeight="1">
      <c r="A33" s="255" t="s">
        <v>848</v>
      </c>
      <c r="B33" s="295"/>
      <c r="C33" s="2241">
        <v>3699167</v>
      </c>
      <c r="D33" s="2241">
        <v>4392550</v>
      </c>
      <c r="E33" s="2241">
        <v>4342416</v>
      </c>
      <c r="F33" s="1712">
        <v>4300000</v>
      </c>
      <c r="G33" s="1708">
        <v>4300000</v>
      </c>
      <c r="H33" s="1708">
        <v>4300000</v>
      </c>
      <c r="I33" s="1708">
        <v>4300000</v>
      </c>
      <c r="J33" s="1081">
        <v>4500000</v>
      </c>
      <c r="K33" s="1708">
        <v>4716000</v>
      </c>
      <c r="L33" s="1730">
        <v>4942368</v>
      </c>
      <c r="M33" s="196"/>
      <c r="N33" s="197"/>
      <c r="O33" s="197"/>
      <c r="P33" s="197"/>
      <c r="Q33" s="197"/>
      <c r="R33" s="197"/>
      <c r="S33" s="197"/>
      <c r="T33" s="197"/>
      <c r="U33" s="197"/>
      <c r="V33" s="197"/>
      <c r="W33" s="197"/>
      <c r="X33" s="197"/>
    </row>
    <row r="34" spans="1:24" ht="11.25" customHeight="1">
      <c r="A34" s="2146" t="s">
        <v>1039</v>
      </c>
      <c r="B34" s="295" t="s">
        <v>689</v>
      </c>
      <c r="C34" s="204">
        <f>'SA1'!C134</f>
        <v>381814441</v>
      </c>
      <c r="D34" s="208">
        <f>'SA1'!D134</f>
        <v>560639658</v>
      </c>
      <c r="E34" s="205">
        <f>'SA1'!E134</f>
        <v>1138669451</v>
      </c>
      <c r="F34" s="206">
        <f>'SA1'!F134</f>
        <v>460615000</v>
      </c>
      <c r="G34" s="204">
        <f>'SA1'!G134</f>
        <v>1092151544</v>
      </c>
      <c r="H34" s="205">
        <f>'SA1'!H134</f>
        <v>1092151544</v>
      </c>
      <c r="I34" s="203">
        <f>'SA1'!I134</f>
        <v>1092151544</v>
      </c>
      <c r="J34" s="207">
        <f>'SA1'!J134</f>
        <v>1053629912</v>
      </c>
      <c r="K34" s="204">
        <f>'SA1'!K134</f>
        <v>1153813133</v>
      </c>
      <c r="L34" s="205">
        <f>'SA1'!L134</f>
        <v>1170841869</v>
      </c>
      <c r="M34" s="196"/>
      <c r="N34" s="197"/>
      <c r="O34" s="197"/>
      <c r="P34" s="197"/>
      <c r="Q34" s="197"/>
      <c r="R34" s="197"/>
      <c r="S34" s="197"/>
      <c r="T34" s="197"/>
      <c r="U34" s="197"/>
      <c r="V34" s="197"/>
      <c r="W34" s="197"/>
      <c r="X34" s="197"/>
    </row>
    <row r="35" spans="1:24" ht="11.25" customHeight="1">
      <c r="A35" s="251" t="s">
        <v>426</v>
      </c>
      <c r="B35" s="294"/>
      <c r="C35" s="2244">
        <v>23602</v>
      </c>
      <c r="D35" s="1081">
        <v>143365</v>
      </c>
      <c r="E35" s="1730">
        <v>182181</v>
      </c>
      <c r="F35" s="1735"/>
      <c r="G35" s="1733"/>
      <c r="H35" s="1730"/>
      <c r="I35" s="1732"/>
      <c r="J35" s="1737"/>
      <c r="K35" s="1733"/>
      <c r="L35" s="1734"/>
      <c r="M35" s="196"/>
      <c r="N35" s="197"/>
      <c r="O35" s="197"/>
      <c r="P35" s="197"/>
      <c r="Q35" s="197"/>
      <c r="R35" s="197"/>
      <c r="S35" s="197"/>
      <c r="T35" s="197"/>
      <c r="U35" s="197"/>
      <c r="V35" s="197"/>
      <c r="W35" s="197"/>
      <c r="X35" s="197"/>
    </row>
    <row r="36" spans="1:24" ht="11.25" customHeight="1">
      <c r="A36" s="1428" t="s">
        <v>1805</v>
      </c>
      <c r="B36" s="1423"/>
      <c r="C36" s="1424">
        <f t="shared" ref="C36:L36" si="1">SUM(C25:C35)</f>
        <v>1596216663</v>
      </c>
      <c r="D36" s="1424">
        <f>SUM(D25:D35)</f>
        <v>1827270016</v>
      </c>
      <c r="E36" s="1425">
        <f t="shared" si="1"/>
        <v>3090274068</v>
      </c>
      <c r="F36" s="1426">
        <f t="shared" si="1"/>
        <v>2388295829</v>
      </c>
      <c r="G36" s="1424">
        <f t="shared" si="1"/>
        <v>3035454669</v>
      </c>
      <c r="H36" s="1425">
        <f t="shared" si="1"/>
        <v>3035454669</v>
      </c>
      <c r="I36" s="1426">
        <f t="shared" si="1"/>
        <v>3035454669</v>
      </c>
      <c r="J36" s="1427">
        <f t="shared" si="1"/>
        <v>3339106248</v>
      </c>
      <c r="K36" s="1424">
        <f t="shared" si="1"/>
        <v>3551108115.1859999</v>
      </c>
      <c r="L36" s="1425">
        <f t="shared" si="1"/>
        <v>3711581480.3612299</v>
      </c>
      <c r="M36" s="200">
        <f t="shared" ref="M36:X36" si="2">SUM(M25:M35)</f>
        <v>0</v>
      </c>
      <c r="N36" s="201">
        <f t="shared" si="2"/>
        <v>0</v>
      </c>
      <c r="O36" s="201">
        <f t="shared" si="2"/>
        <v>0</v>
      </c>
      <c r="P36" s="201">
        <f t="shared" si="2"/>
        <v>0</v>
      </c>
      <c r="Q36" s="201">
        <f t="shared" si="2"/>
        <v>0</v>
      </c>
      <c r="R36" s="201">
        <f t="shared" si="2"/>
        <v>0</v>
      </c>
      <c r="S36" s="201">
        <f t="shared" si="2"/>
        <v>0</v>
      </c>
      <c r="T36" s="201">
        <f t="shared" si="2"/>
        <v>0</v>
      </c>
      <c r="U36" s="201">
        <f t="shared" si="2"/>
        <v>0</v>
      </c>
      <c r="V36" s="201">
        <f t="shared" si="2"/>
        <v>0</v>
      </c>
      <c r="W36" s="201">
        <f t="shared" si="2"/>
        <v>0</v>
      </c>
      <c r="X36" s="201">
        <f t="shared" si="2"/>
        <v>0</v>
      </c>
    </row>
    <row r="37" spans="1:24" ht="5.0999999999999996" customHeight="1">
      <c r="A37" s="274"/>
      <c r="B37" s="294"/>
      <c r="C37" s="214"/>
      <c r="D37" s="214"/>
      <c r="E37" s="215"/>
      <c r="F37" s="216"/>
      <c r="G37" s="214"/>
      <c r="H37" s="215"/>
      <c r="I37" s="216"/>
      <c r="J37" s="217"/>
      <c r="K37" s="214"/>
      <c r="L37" s="215"/>
      <c r="M37" s="223"/>
      <c r="N37" s="224"/>
      <c r="O37" s="224"/>
      <c r="P37" s="224"/>
      <c r="Q37" s="224"/>
      <c r="R37" s="224"/>
      <c r="S37" s="224"/>
      <c r="T37" s="224"/>
      <c r="U37" s="224"/>
      <c r="V37" s="224"/>
      <c r="W37" s="224"/>
      <c r="X37" s="224"/>
    </row>
    <row r="38" spans="1:24" ht="12" customHeight="1">
      <c r="A38" s="266" t="s">
        <v>1876</v>
      </c>
      <c r="B38" s="294"/>
      <c r="C38" s="219">
        <f t="shared" ref="C38:L38" si="3">C22-C36</f>
        <v>303020796</v>
      </c>
      <c r="D38" s="219">
        <f t="shared" si="3"/>
        <v>4027807</v>
      </c>
      <c r="E38" s="220">
        <f t="shared" si="3"/>
        <v>-311298071</v>
      </c>
      <c r="F38" s="221">
        <f t="shared" si="3"/>
        <v>112901</v>
      </c>
      <c r="G38" s="219">
        <f t="shared" si="3"/>
        <v>113493</v>
      </c>
      <c r="H38" s="220">
        <f t="shared" si="3"/>
        <v>113491</v>
      </c>
      <c r="I38" s="221">
        <f t="shared" si="3"/>
        <v>113489</v>
      </c>
      <c r="J38" s="222">
        <f t="shared" si="3"/>
        <v>89936</v>
      </c>
      <c r="K38" s="219">
        <f t="shared" si="3"/>
        <v>99816.44300031662</v>
      </c>
      <c r="L38" s="220">
        <f t="shared" si="3"/>
        <v>109923.18236494064</v>
      </c>
      <c r="M38" s="223">
        <f t="shared" ref="M38:X38" si="4">M22+M36</f>
        <v>0</v>
      </c>
      <c r="N38" s="224">
        <f t="shared" si="4"/>
        <v>0</v>
      </c>
      <c r="O38" s="224">
        <f t="shared" si="4"/>
        <v>0</v>
      </c>
      <c r="P38" s="224">
        <f t="shared" si="4"/>
        <v>0</v>
      </c>
      <c r="Q38" s="224">
        <f t="shared" si="4"/>
        <v>0</v>
      </c>
      <c r="R38" s="224">
        <f t="shared" si="4"/>
        <v>0</v>
      </c>
      <c r="S38" s="224">
        <f t="shared" si="4"/>
        <v>0</v>
      </c>
      <c r="T38" s="224">
        <f t="shared" si="4"/>
        <v>0</v>
      </c>
      <c r="U38" s="224">
        <f t="shared" si="4"/>
        <v>0</v>
      </c>
      <c r="V38" s="224">
        <f t="shared" si="4"/>
        <v>0</v>
      </c>
      <c r="W38" s="224">
        <f t="shared" si="4"/>
        <v>0</v>
      </c>
      <c r="X38" s="224">
        <f t="shared" si="4"/>
        <v>0</v>
      </c>
    </row>
    <row r="39" spans="1:24" ht="11.25" customHeight="1">
      <c r="A39" s="251" t="s">
        <v>1475</v>
      </c>
      <c r="B39" s="294"/>
      <c r="C39" s="1080">
        <v>47844353</v>
      </c>
      <c r="D39" s="1081">
        <v>97770614</v>
      </c>
      <c r="E39" s="1730">
        <v>78407238</v>
      </c>
      <c r="F39" s="1712">
        <v>136513266</v>
      </c>
      <c r="G39" s="1708">
        <v>126513266</v>
      </c>
      <c r="H39" s="1708">
        <v>126513266</v>
      </c>
      <c r="I39" s="1708">
        <v>126513266</v>
      </c>
      <c r="J39" s="1710">
        <v>411313300</v>
      </c>
      <c r="K39" s="1708">
        <v>310819300</v>
      </c>
      <c r="L39" s="1730">
        <v>214215000</v>
      </c>
      <c r="M39" s="196"/>
      <c r="N39" s="197"/>
      <c r="O39" s="197"/>
      <c r="P39" s="197"/>
      <c r="Q39" s="197"/>
      <c r="R39" s="197"/>
      <c r="S39" s="197"/>
      <c r="T39" s="197"/>
      <c r="U39" s="197"/>
      <c r="V39" s="197"/>
      <c r="W39" s="197"/>
      <c r="X39" s="197"/>
    </row>
    <row r="40" spans="1:24" ht="11.25" customHeight="1">
      <c r="A40" s="251" t="s">
        <v>879</v>
      </c>
      <c r="B40" s="294">
        <v>6</v>
      </c>
      <c r="C40" s="204">
        <f>'SA1'!C59</f>
        <v>0</v>
      </c>
      <c r="D40" s="208">
        <f>'SA1'!D59</f>
        <v>0</v>
      </c>
      <c r="E40" s="205">
        <f>'SA1'!E59</f>
        <v>0</v>
      </c>
      <c r="F40" s="206">
        <f>'SA1'!F59</f>
        <v>0</v>
      </c>
      <c r="G40" s="204">
        <f>'SA1'!G59</f>
        <v>0</v>
      </c>
      <c r="H40" s="205">
        <f>'SA1'!H59</f>
        <v>0</v>
      </c>
      <c r="I40" s="203">
        <f>'SA1'!I59</f>
        <v>0</v>
      </c>
      <c r="J40" s="207">
        <f>'SA1'!J59</f>
        <v>0</v>
      </c>
      <c r="K40" s="204">
        <f>'SA1'!K59</f>
        <v>0</v>
      </c>
      <c r="L40" s="205">
        <f>'SA1'!L59</f>
        <v>0</v>
      </c>
      <c r="M40" s="196"/>
      <c r="N40" s="197"/>
      <c r="O40" s="197"/>
      <c r="P40" s="197"/>
      <c r="Q40" s="197"/>
      <c r="R40" s="197"/>
      <c r="S40" s="197"/>
      <c r="T40" s="197"/>
      <c r="U40" s="197"/>
      <c r="V40" s="197"/>
      <c r="W40" s="197"/>
      <c r="X40" s="197"/>
    </row>
    <row r="41" spans="1:24" ht="11.25" customHeight="1">
      <c r="A41" s="251" t="s">
        <v>39</v>
      </c>
      <c r="B41" s="294"/>
      <c r="C41" s="1733"/>
      <c r="D41" s="1708"/>
      <c r="E41" s="1730"/>
      <c r="F41" s="1738"/>
      <c r="G41" s="1739"/>
      <c r="H41" s="1740"/>
      <c r="I41" s="1732"/>
      <c r="J41" s="1741"/>
      <c r="K41" s="1739"/>
      <c r="L41" s="1740"/>
      <c r="M41" s="196"/>
      <c r="N41" s="197"/>
      <c r="O41" s="197"/>
      <c r="P41" s="197"/>
      <c r="Q41" s="197"/>
      <c r="R41" s="197"/>
      <c r="S41" s="197"/>
      <c r="T41" s="197"/>
      <c r="U41" s="197"/>
      <c r="V41" s="197"/>
      <c r="W41" s="197"/>
      <c r="X41" s="197"/>
    </row>
    <row r="42" spans="1:24" ht="25.5">
      <c r="A42" s="298" t="s">
        <v>459</v>
      </c>
      <c r="B42" s="294"/>
      <c r="C42" s="299">
        <f t="shared" ref="C42:L42" si="5">SUM(C38:C41)</f>
        <v>350865149</v>
      </c>
      <c r="D42" s="299">
        <f t="shared" si="5"/>
        <v>101798421</v>
      </c>
      <c r="E42" s="301">
        <f t="shared" si="5"/>
        <v>-232890833</v>
      </c>
      <c r="F42" s="302">
        <f t="shared" si="5"/>
        <v>136626167</v>
      </c>
      <c r="G42" s="299">
        <f t="shared" si="5"/>
        <v>126626759</v>
      </c>
      <c r="H42" s="301">
        <f t="shared" si="5"/>
        <v>126626757</v>
      </c>
      <c r="I42" s="302">
        <f t="shared" si="5"/>
        <v>126626755</v>
      </c>
      <c r="J42" s="303">
        <f t="shared" si="5"/>
        <v>411403236</v>
      </c>
      <c r="K42" s="299">
        <f t="shared" si="5"/>
        <v>310919116.44300032</v>
      </c>
      <c r="L42" s="301">
        <f t="shared" si="5"/>
        <v>214324923.18236494</v>
      </c>
      <c r="M42" s="196"/>
      <c r="N42" s="197"/>
      <c r="O42" s="197"/>
      <c r="P42" s="197"/>
      <c r="Q42" s="197"/>
      <c r="R42" s="197"/>
      <c r="S42" s="197"/>
      <c r="T42" s="197"/>
      <c r="U42" s="197"/>
      <c r="V42" s="197"/>
      <c r="W42" s="197"/>
      <c r="X42" s="197"/>
    </row>
    <row r="43" spans="1:24" ht="11.25" customHeight="1">
      <c r="A43" s="251" t="s">
        <v>1133</v>
      </c>
      <c r="B43" s="294"/>
      <c r="C43" s="1733"/>
      <c r="D43" s="1733"/>
      <c r="E43" s="1734"/>
      <c r="F43" s="1735"/>
      <c r="G43" s="1733"/>
      <c r="H43" s="1734"/>
      <c r="I43" s="1735"/>
      <c r="J43" s="1737"/>
      <c r="K43" s="1733"/>
      <c r="L43" s="1734"/>
      <c r="M43" s="196"/>
      <c r="N43" s="197"/>
      <c r="O43" s="197"/>
      <c r="P43" s="197"/>
      <c r="Q43" s="197"/>
      <c r="R43" s="197"/>
      <c r="S43" s="197"/>
      <c r="T43" s="197"/>
      <c r="U43" s="197"/>
      <c r="V43" s="197"/>
      <c r="W43" s="197"/>
      <c r="X43" s="197"/>
    </row>
    <row r="44" spans="1:24" ht="11.25" customHeight="1">
      <c r="A44" s="304" t="s">
        <v>1134</v>
      </c>
      <c r="B44" s="294"/>
      <c r="C44" s="214">
        <f t="shared" ref="C44:L44" si="6">C42-C43</f>
        <v>350865149</v>
      </c>
      <c r="D44" s="214">
        <f t="shared" si="6"/>
        <v>101798421</v>
      </c>
      <c r="E44" s="215">
        <f t="shared" si="6"/>
        <v>-232890833</v>
      </c>
      <c r="F44" s="216">
        <f t="shared" si="6"/>
        <v>136626167</v>
      </c>
      <c r="G44" s="214">
        <f t="shared" si="6"/>
        <v>126626759</v>
      </c>
      <c r="H44" s="215">
        <f t="shared" si="6"/>
        <v>126626757</v>
      </c>
      <c r="I44" s="216">
        <f t="shared" si="6"/>
        <v>126626755</v>
      </c>
      <c r="J44" s="217">
        <f t="shared" si="6"/>
        <v>411403236</v>
      </c>
      <c r="K44" s="214">
        <f t="shared" si="6"/>
        <v>310919116.44300032</v>
      </c>
      <c r="L44" s="215">
        <f t="shared" si="6"/>
        <v>214324923.18236494</v>
      </c>
      <c r="M44" s="196"/>
      <c r="N44" s="197"/>
      <c r="O44" s="197"/>
      <c r="P44" s="197"/>
      <c r="Q44" s="197"/>
      <c r="R44" s="197"/>
      <c r="S44" s="197"/>
      <c r="T44" s="197"/>
      <c r="U44" s="197"/>
      <c r="V44" s="197"/>
      <c r="W44" s="197"/>
      <c r="X44" s="197"/>
    </row>
    <row r="45" spans="1:24" ht="11.25" customHeight="1">
      <c r="A45" s="251" t="s">
        <v>1206</v>
      </c>
      <c r="B45" s="294"/>
      <c r="C45" s="1733"/>
      <c r="D45" s="1733"/>
      <c r="E45" s="1734"/>
      <c r="F45" s="1735"/>
      <c r="G45" s="1733"/>
      <c r="H45" s="1734"/>
      <c r="I45" s="1735"/>
      <c r="J45" s="1737"/>
      <c r="K45" s="1733"/>
      <c r="L45" s="1734"/>
      <c r="M45" s="196"/>
      <c r="N45" s="197"/>
      <c r="O45" s="197"/>
      <c r="P45" s="197"/>
      <c r="Q45" s="197"/>
      <c r="R45" s="197"/>
      <c r="S45" s="197"/>
      <c r="T45" s="197"/>
      <c r="U45" s="197"/>
      <c r="V45" s="197"/>
      <c r="W45" s="197"/>
      <c r="X45" s="197"/>
    </row>
    <row r="46" spans="1:24">
      <c r="A46" s="304" t="s">
        <v>197</v>
      </c>
      <c r="B46" s="294"/>
      <c r="C46" s="299">
        <f t="shared" ref="C46:L46" si="7">SUM(C44:C45)</f>
        <v>350865149</v>
      </c>
      <c r="D46" s="299">
        <f t="shared" si="7"/>
        <v>101798421</v>
      </c>
      <c r="E46" s="301">
        <f t="shared" si="7"/>
        <v>-232890833</v>
      </c>
      <c r="F46" s="302">
        <f t="shared" si="7"/>
        <v>136626167</v>
      </c>
      <c r="G46" s="299">
        <f t="shared" si="7"/>
        <v>126626759</v>
      </c>
      <c r="H46" s="301">
        <f t="shared" si="7"/>
        <v>126626757</v>
      </c>
      <c r="I46" s="302">
        <f t="shared" si="7"/>
        <v>126626755</v>
      </c>
      <c r="J46" s="303">
        <f t="shared" si="7"/>
        <v>411403236</v>
      </c>
      <c r="K46" s="299">
        <f t="shared" si="7"/>
        <v>310919116.44300032</v>
      </c>
      <c r="L46" s="301">
        <f t="shared" si="7"/>
        <v>214324923.18236494</v>
      </c>
      <c r="M46" s="196"/>
      <c r="N46" s="197"/>
      <c r="O46" s="197"/>
      <c r="P46" s="197"/>
      <c r="Q46" s="197"/>
      <c r="R46" s="197"/>
      <c r="S46" s="197"/>
      <c r="T46" s="197"/>
      <c r="U46" s="197"/>
      <c r="V46" s="197"/>
      <c r="W46" s="197"/>
      <c r="X46" s="197"/>
    </row>
    <row r="47" spans="1:24">
      <c r="A47" s="305" t="s">
        <v>484</v>
      </c>
      <c r="B47" s="294">
        <v>7</v>
      </c>
      <c r="C47" s="1733"/>
      <c r="D47" s="1733"/>
      <c r="E47" s="1734"/>
      <c r="F47" s="1731"/>
      <c r="G47" s="1708"/>
      <c r="H47" s="1730"/>
      <c r="I47" s="1731"/>
      <c r="J47" s="1710"/>
      <c r="K47" s="1708"/>
      <c r="L47" s="1730"/>
      <c r="M47" s="196"/>
      <c r="N47" s="197"/>
      <c r="O47" s="197"/>
      <c r="P47" s="197"/>
      <c r="Q47" s="197"/>
      <c r="R47" s="197"/>
      <c r="S47" s="197"/>
      <c r="T47" s="197"/>
      <c r="U47" s="197"/>
      <c r="V47" s="197"/>
      <c r="W47" s="197"/>
      <c r="X47" s="197"/>
    </row>
    <row r="48" spans="1:24" ht="13.5" thickBot="1">
      <c r="A48" s="306" t="str">
        <f>result</f>
        <v>Surplus/(Deficit) for the year</v>
      </c>
      <c r="B48" s="307"/>
      <c r="C48" s="228">
        <f t="shared" ref="C48:L48" si="8">SUM(C46:C47)</f>
        <v>350865149</v>
      </c>
      <c r="D48" s="231">
        <f t="shared" si="8"/>
        <v>101798421</v>
      </c>
      <c r="E48" s="354">
        <f t="shared" si="8"/>
        <v>-232890833</v>
      </c>
      <c r="F48" s="355">
        <f t="shared" si="8"/>
        <v>136626167</v>
      </c>
      <c r="G48" s="231">
        <f t="shared" si="8"/>
        <v>126626759</v>
      </c>
      <c r="H48" s="229">
        <f t="shared" si="8"/>
        <v>126626757</v>
      </c>
      <c r="I48" s="230">
        <f t="shared" si="8"/>
        <v>126626755</v>
      </c>
      <c r="J48" s="233">
        <f t="shared" si="8"/>
        <v>411403236</v>
      </c>
      <c r="K48" s="231">
        <f t="shared" si="8"/>
        <v>310919116.44300032</v>
      </c>
      <c r="L48" s="229">
        <f t="shared" si="8"/>
        <v>214324923.18236494</v>
      </c>
      <c r="M48" s="234">
        <f t="shared" ref="M48:X48" si="9">M26+M47</f>
        <v>0</v>
      </c>
      <c r="N48" s="235">
        <f t="shared" si="9"/>
        <v>0</v>
      </c>
      <c r="O48" s="235">
        <f t="shared" si="9"/>
        <v>0</v>
      </c>
      <c r="P48" s="235">
        <f t="shared" si="9"/>
        <v>0</v>
      </c>
      <c r="Q48" s="235">
        <f t="shared" si="9"/>
        <v>0</v>
      </c>
      <c r="R48" s="235">
        <f t="shared" si="9"/>
        <v>0</v>
      </c>
      <c r="S48" s="235">
        <f t="shared" si="9"/>
        <v>0</v>
      </c>
      <c r="T48" s="235">
        <f t="shared" si="9"/>
        <v>0</v>
      </c>
      <c r="U48" s="235">
        <f t="shared" si="9"/>
        <v>0</v>
      </c>
      <c r="V48" s="235">
        <f t="shared" si="9"/>
        <v>0</v>
      </c>
      <c r="W48" s="235">
        <f t="shared" si="9"/>
        <v>0</v>
      </c>
      <c r="X48" s="235">
        <f t="shared" si="9"/>
        <v>0</v>
      </c>
    </row>
    <row r="49" spans="1:24" ht="13.5" thickTop="1">
      <c r="A49" s="1305" t="str">
        <f>head27a</f>
        <v>References</v>
      </c>
      <c r="B49" s="1277"/>
      <c r="C49" s="1281"/>
      <c r="D49" s="1281"/>
      <c r="E49" s="1281"/>
      <c r="F49" s="1281"/>
      <c r="G49" s="1281"/>
      <c r="H49" s="1281"/>
      <c r="I49" s="1281"/>
      <c r="J49" s="1281"/>
      <c r="K49" s="1281"/>
      <c r="L49" s="1281"/>
      <c r="M49" s="242"/>
      <c r="N49" s="242"/>
      <c r="O49" s="242"/>
      <c r="P49" s="242"/>
      <c r="Q49" s="242"/>
      <c r="R49" s="242"/>
      <c r="S49" s="242"/>
      <c r="T49" s="242"/>
      <c r="U49" s="242"/>
      <c r="V49" s="242"/>
      <c r="W49" s="242"/>
      <c r="X49" s="242"/>
    </row>
    <row r="50" spans="1:24" ht="11.25" customHeight="1">
      <c r="A50" s="288" t="s">
        <v>198</v>
      </c>
      <c r="B50" s="1277"/>
      <c r="C50" s="1280"/>
      <c r="D50" s="1280"/>
      <c r="E50" s="1281"/>
      <c r="F50" s="1281"/>
      <c r="G50" s="1281"/>
      <c r="H50" s="1281"/>
      <c r="I50" s="1281"/>
      <c r="J50" s="1281"/>
      <c r="K50" s="1281"/>
      <c r="L50" s="1281"/>
    </row>
    <row r="51" spans="1:24" ht="11.25" customHeight="1">
      <c r="A51" s="1306" t="s">
        <v>849</v>
      </c>
      <c r="B51" s="1277"/>
      <c r="C51" s="1281"/>
      <c r="D51" s="1280"/>
      <c r="E51" s="1281"/>
      <c r="F51" s="1281"/>
      <c r="G51" s="1281"/>
      <c r="H51" s="1281"/>
      <c r="I51" s="1281"/>
      <c r="J51" s="1281"/>
      <c r="K51" s="1281"/>
      <c r="L51" s="1281"/>
    </row>
    <row r="52" spans="1:24" ht="11.25" customHeight="1">
      <c r="A52" s="1306" t="s">
        <v>612</v>
      </c>
      <c r="B52" s="1277"/>
      <c r="C52" s="1281"/>
      <c r="D52" s="1280"/>
      <c r="E52" s="1281"/>
      <c r="F52" s="1281"/>
      <c r="G52" s="1281"/>
      <c r="H52" s="1281"/>
      <c r="I52" s="1281"/>
      <c r="J52" s="1281"/>
      <c r="K52" s="1281"/>
      <c r="L52" s="1281"/>
    </row>
    <row r="53" spans="1:24" ht="11.25" customHeight="1">
      <c r="A53" s="1306" t="s">
        <v>613</v>
      </c>
      <c r="B53" s="1277"/>
      <c r="C53" s="1281"/>
      <c r="D53" s="1280"/>
      <c r="E53" s="1281"/>
      <c r="F53" s="1281"/>
      <c r="G53" s="1281"/>
      <c r="H53" s="1281"/>
      <c r="I53" s="1281"/>
      <c r="J53" s="1281"/>
      <c r="K53" s="1281"/>
      <c r="L53" s="1281"/>
    </row>
    <row r="54" spans="1:24" ht="11.25" customHeight="1">
      <c r="A54" s="1306" t="s">
        <v>1367</v>
      </c>
      <c r="B54" s="1277"/>
      <c r="C54" s="1281"/>
      <c r="D54" s="1280"/>
      <c r="E54" s="1281"/>
      <c r="F54" s="1281"/>
      <c r="G54" s="1281"/>
      <c r="H54" s="1281"/>
      <c r="I54" s="1281"/>
      <c r="J54" s="1281"/>
      <c r="K54" s="1281"/>
      <c r="L54" s="1281"/>
    </row>
    <row r="55" spans="1:24" ht="11.25" customHeight="1">
      <c r="A55" s="1306" t="s">
        <v>199</v>
      </c>
      <c r="B55" s="1277"/>
      <c r="C55" s="1281"/>
      <c r="D55" s="1280"/>
      <c r="E55" s="1281"/>
      <c r="F55" s="1281"/>
      <c r="G55" s="1281"/>
      <c r="H55" s="1281"/>
      <c r="I55" s="1281"/>
      <c r="J55" s="1281"/>
      <c r="K55" s="1281"/>
      <c r="L55" s="1281"/>
    </row>
    <row r="56" spans="1:24" ht="11.25" customHeight="1">
      <c r="A56" s="1306" t="s">
        <v>1302</v>
      </c>
      <c r="B56" s="1277"/>
      <c r="C56" s="1281"/>
      <c r="D56" s="1280"/>
      <c r="E56" s="1281"/>
      <c r="F56" s="1281"/>
      <c r="G56" s="1281"/>
      <c r="H56" s="1281"/>
      <c r="I56" s="1281"/>
      <c r="J56" s="1281"/>
      <c r="K56" s="1281"/>
      <c r="L56" s="1281"/>
    </row>
    <row r="57" spans="1:24" ht="11.25" customHeight="1">
      <c r="A57" s="1306" t="s">
        <v>977</v>
      </c>
      <c r="B57" s="1277"/>
      <c r="C57" s="1281"/>
      <c r="D57" s="1280"/>
      <c r="E57" s="1281"/>
      <c r="F57" s="1281"/>
      <c r="G57" s="1281"/>
      <c r="H57" s="1281"/>
      <c r="I57" s="1281"/>
      <c r="J57" s="1281"/>
      <c r="K57" s="1281"/>
      <c r="L57" s="1281"/>
    </row>
    <row r="58" spans="1:24" ht="11.25" customHeight="1">
      <c r="A58" s="1307" t="s">
        <v>304</v>
      </c>
      <c r="B58" s="1237"/>
      <c r="C58" s="1284">
        <f>C46-'A3-FinPerf V'!C39</f>
        <v>350865149</v>
      </c>
      <c r="D58" s="1284">
        <f>D46-'A3-FinPerf V'!D39</f>
        <v>101798421</v>
      </c>
      <c r="E58" s="1284">
        <f>E46-'A3-FinPerf V'!E39</f>
        <v>90358</v>
      </c>
      <c r="F58" s="1284">
        <f>F46-'A3-FinPerf V'!F39</f>
        <v>136513369</v>
      </c>
      <c r="G58" s="1284">
        <f>G46-'A3-FinPerf V'!G39</f>
        <v>126513860</v>
      </c>
      <c r="H58" s="1284">
        <f>H46-'A3-FinPerf V'!H39</f>
        <v>126513858</v>
      </c>
      <c r="I58" s="1284">
        <f>I46-'A3-FinPerf V'!I39</f>
        <v>126536755</v>
      </c>
      <c r="J58" s="1284">
        <f>J46-'A3-FinPerf V'!I39</f>
        <v>411313236</v>
      </c>
      <c r="K58" s="1284">
        <f>K46-'A3-FinPerf V'!J39</f>
        <v>310819115.44300032</v>
      </c>
      <c r="L58" s="1284">
        <f>L46-'A3-FinPerf V'!K39</f>
        <v>214214923.18236494</v>
      </c>
    </row>
    <row r="59" spans="1:24" ht="11.25" customHeight="1">
      <c r="A59" s="1283"/>
      <c r="B59" s="1237"/>
      <c r="C59" s="1284"/>
      <c r="D59" s="1284"/>
      <c r="E59" s="1284"/>
      <c r="F59" s="1284"/>
      <c r="G59" s="1284"/>
      <c r="H59" s="1284"/>
      <c r="I59" s="1284"/>
      <c r="J59" s="1284"/>
      <c r="K59" s="1284"/>
      <c r="L59" s="1284"/>
    </row>
    <row r="60" spans="1:24" ht="11.25" customHeight="1">
      <c r="A60" s="1283" t="s">
        <v>8</v>
      </c>
      <c r="B60" s="1308"/>
      <c r="C60" s="1309">
        <f t="shared" ref="C60:L60" si="10">C22+SUM(C39:C41)</f>
        <v>1947081812</v>
      </c>
      <c r="D60" s="1309">
        <f t="shared" si="10"/>
        <v>1929068437</v>
      </c>
      <c r="E60" s="1309">
        <f t="shared" si="10"/>
        <v>2857383235</v>
      </c>
      <c r="F60" s="1309">
        <f t="shared" si="10"/>
        <v>2524921996</v>
      </c>
      <c r="G60" s="1309">
        <f t="shared" si="10"/>
        <v>3162081428</v>
      </c>
      <c r="H60" s="1309">
        <f t="shared" si="10"/>
        <v>3162081426</v>
      </c>
      <c r="I60" s="1309">
        <f t="shared" si="10"/>
        <v>3162081424</v>
      </c>
      <c r="J60" s="1309">
        <f t="shared" si="10"/>
        <v>3750509484</v>
      </c>
      <c r="K60" s="1309">
        <f t="shared" si="10"/>
        <v>3862027231.6290002</v>
      </c>
      <c r="L60" s="1309">
        <f t="shared" si="10"/>
        <v>3925906403.5435948</v>
      </c>
      <c r="M60" s="311"/>
    </row>
    <row r="61" spans="1:24" ht="11.25" customHeight="1">
      <c r="A61" s="247"/>
      <c r="B61" s="247"/>
      <c r="C61" s="242"/>
      <c r="D61" s="242"/>
      <c r="E61" s="247"/>
      <c r="F61" s="247"/>
      <c r="G61" s="242"/>
      <c r="M61" s="311"/>
    </row>
    <row r="62" spans="1:24" ht="11.25" customHeight="1">
      <c r="A62" s="247"/>
      <c r="B62" s="247"/>
      <c r="C62" s="242"/>
      <c r="D62" s="242"/>
      <c r="E62" s="247"/>
      <c r="F62" s="247"/>
      <c r="G62" s="242"/>
    </row>
    <row r="63" spans="1:24" ht="11.25" customHeight="1">
      <c r="A63" s="247"/>
      <c r="B63" s="247"/>
      <c r="C63" s="242"/>
      <c r="D63" s="242"/>
      <c r="E63" s="247"/>
      <c r="F63" s="247"/>
      <c r="G63" s="242"/>
    </row>
    <row r="64" spans="1:24" ht="11.25" customHeight="1">
      <c r="A64" s="247"/>
      <c r="B64" s="247"/>
      <c r="C64" s="247"/>
      <c r="D64" s="310"/>
      <c r="E64" s="247"/>
      <c r="F64" s="247"/>
      <c r="G64" s="247"/>
    </row>
    <row r="65" spans="2:2" ht="11.25" customHeight="1">
      <c r="B65" s="150"/>
    </row>
    <row r="66" spans="2:2" ht="11.25" customHeight="1">
      <c r="B66" s="150"/>
    </row>
    <row r="67" spans="2:2" ht="11.25" customHeight="1">
      <c r="B67" s="150"/>
    </row>
    <row r="68" spans="2:2" ht="11.25" customHeight="1">
      <c r="B68" s="150"/>
    </row>
    <row r="69" spans="2:2" ht="11.25" customHeight="1">
      <c r="B69" s="150"/>
    </row>
    <row r="70" spans="2:2" ht="11.25" customHeight="1">
      <c r="B70" s="150"/>
    </row>
    <row r="71" spans="2:2" ht="11.25" customHeight="1">
      <c r="B71" s="150"/>
    </row>
    <row r="72" spans="2:2" ht="11.25" customHeight="1">
      <c r="B72" s="150"/>
    </row>
    <row r="73" spans="2:2" ht="11.25" customHeight="1">
      <c r="B73" s="150"/>
    </row>
    <row r="74" spans="2:2" ht="11.25" customHeight="1">
      <c r="B74" s="150"/>
    </row>
    <row r="75" spans="2:2" ht="11.25" customHeight="1">
      <c r="B75" s="150"/>
    </row>
    <row r="76" spans="2:2" ht="11.25" customHeight="1">
      <c r="B76" s="150"/>
    </row>
    <row r="77" spans="2:2" ht="11.25" customHeight="1">
      <c r="B77" s="150"/>
    </row>
    <row r="78" spans="2:2" ht="11.25" customHeight="1">
      <c r="B78" s="150"/>
    </row>
    <row r="79" spans="2:2" ht="11.25" customHeight="1">
      <c r="B79" s="150"/>
    </row>
    <row r="80" spans="2:2" ht="11.25" customHeight="1">
      <c r="B80" s="150"/>
    </row>
    <row r="81" spans="2:2" ht="11.25" customHeight="1">
      <c r="B81" s="150"/>
    </row>
    <row r="82" spans="2:2" ht="11.25" customHeight="1">
      <c r="B82" s="150"/>
    </row>
    <row r="83" spans="2:2" ht="11.25" customHeight="1">
      <c r="B83" s="150"/>
    </row>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sheetData>
  <sheetProtection password="A35B"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topLeftCell="A49" workbookViewId="0">
      <selection activeCell="L67" sqref="L67"/>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11.7109375" style="150" bestFit="1"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3" s="180" customFormat="1">
      <c r="A1" s="148" t="str">
        <f>muni&amp;" - "&amp;Approve5</f>
        <v>KZN225 Msunduzi - Table A5 Budgeted Capital Expenditure by vote, standard classification and funding</v>
      </c>
      <c r="B1" s="148"/>
      <c r="C1" s="148"/>
      <c r="D1" s="148"/>
      <c r="E1" s="148"/>
      <c r="F1" s="148"/>
      <c r="G1" s="148"/>
      <c r="H1" s="148"/>
      <c r="I1" s="148"/>
      <c r="J1" s="148"/>
      <c r="K1" s="148"/>
      <c r="L1" s="148"/>
    </row>
    <row r="2" spans="1:13" ht="28.5" customHeight="1">
      <c r="A2" s="1001" t="str">
        <f>Vdesc</f>
        <v>Vote 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3" ht="25.5">
      <c r="A3" s="181" t="s">
        <v>703</v>
      </c>
      <c r="B3" s="291">
        <v>1</v>
      </c>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row>
    <row r="4" spans="1:13">
      <c r="A4" s="182" t="s">
        <v>546</v>
      </c>
      <c r="B4" s="292"/>
      <c r="C4" s="312"/>
      <c r="D4" s="312"/>
      <c r="E4" s="313"/>
      <c r="F4" s="314"/>
      <c r="G4" s="312"/>
      <c r="H4" s="315"/>
      <c r="I4" s="313"/>
      <c r="J4" s="314"/>
      <c r="K4" s="312"/>
      <c r="L4" s="315"/>
    </row>
    <row r="5" spans="1:13" ht="11.25" customHeight="1">
      <c r="A5" s="182" t="s">
        <v>1120</v>
      </c>
      <c r="B5" s="294">
        <v>2</v>
      </c>
      <c r="C5" s="316"/>
      <c r="D5" s="316"/>
      <c r="E5" s="317"/>
      <c r="F5" s="318"/>
      <c r="G5" s="316"/>
      <c r="H5" s="319"/>
      <c r="I5" s="317"/>
      <c r="J5" s="318"/>
      <c r="K5" s="316"/>
      <c r="L5" s="319"/>
    </row>
    <row r="6" spans="1:13" ht="11.25" customHeight="1">
      <c r="A6" s="191" t="str">
        <f>A5A!A6</f>
        <v>Vote 1 - Corporate Services and Planning</v>
      </c>
      <c r="B6" s="294"/>
      <c r="C6" s="193">
        <f>A5A!C6</f>
        <v>0</v>
      </c>
      <c r="D6" s="193">
        <f>A5A!D6</f>
        <v>0</v>
      </c>
      <c r="E6" s="194">
        <f>A5A!E6</f>
        <v>7373340</v>
      </c>
      <c r="F6" s="195">
        <f>A5A!F6</f>
        <v>40128000</v>
      </c>
      <c r="G6" s="193">
        <f>A5A!G6</f>
        <v>41575000</v>
      </c>
      <c r="H6" s="194">
        <f>A5A!H6</f>
        <v>41575000</v>
      </c>
      <c r="I6" s="953">
        <f>A5A!I6</f>
        <v>41575000</v>
      </c>
      <c r="J6" s="195">
        <f>A5A!J6</f>
        <v>36560000</v>
      </c>
      <c r="K6" s="193">
        <f>A5A!K6</f>
        <v>29600000</v>
      </c>
      <c r="L6" s="194">
        <f>A5A!L6</f>
        <v>20000000</v>
      </c>
      <c r="M6" s="320"/>
    </row>
    <row r="7" spans="1:13" ht="11.25" customHeight="1">
      <c r="A7" s="191" t="str">
        <f>A5A!A17</f>
        <v>Vote 2 - Financial Management Area</v>
      </c>
      <c r="B7" s="294"/>
      <c r="C7" s="193">
        <f>A5A!C17</f>
        <v>0</v>
      </c>
      <c r="D7" s="193">
        <f>A5A!D17</f>
        <v>0</v>
      </c>
      <c r="E7" s="194">
        <f>A5A!E17</f>
        <v>4975082</v>
      </c>
      <c r="F7" s="195">
        <f>A5A!F17</f>
        <v>0</v>
      </c>
      <c r="G7" s="193">
        <f>A5A!G17</f>
        <v>3190000</v>
      </c>
      <c r="H7" s="194">
        <f>A5A!H17</f>
        <v>3190000</v>
      </c>
      <c r="I7" s="192">
        <f>A5A!I17</f>
        <v>3190000</v>
      </c>
      <c r="J7" s="195">
        <f>A5A!J17</f>
        <v>0</v>
      </c>
      <c r="K7" s="193">
        <f>A5A!K17</f>
        <v>0</v>
      </c>
      <c r="L7" s="194">
        <f>A5A!L17</f>
        <v>0</v>
      </c>
      <c r="M7" s="322"/>
    </row>
    <row r="8" spans="1:13" ht="11.25" customHeight="1">
      <c r="A8" s="191" t="str">
        <f>A5A!A28</f>
        <v>Vote 3 - Infrastructure Development, Service Delivery and Maintenance Management</v>
      </c>
      <c r="B8" s="294"/>
      <c r="C8" s="193">
        <f>A5A!C28</f>
        <v>0</v>
      </c>
      <c r="D8" s="193">
        <f>A5A!D28</f>
        <v>0</v>
      </c>
      <c r="E8" s="194">
        <f>A5A!E28</f>
        <v>130571819</v>
      </c>
      <c r="F8" s="195">
        <f>A5A!F28</f>
        <v>200006003</v>
      </c>
      <c r="G8" s="193">
        <f>A5A!G28</f>
        <v>292679744</v>
      </c>
      <c r="H8" s="194">
        <f>A5A!H28</f>
        <v>292679744</v>
      </c>
      <c r="I8" s="192">
        <f>A5A!I28</f>
        <v>292679744</v>
      </c>
      <c r="J8" s="195">
        <f>A5A!J28</f>
        <v>316516300</v>
      </c>
      <c r="K8" s="193">
        <f>A5A!K28</f>
        <v>263470300</v>
      </c>
      <c r="L8" s="194">
        <f>A5A!L28</f>
        <v>194215000</v>
      </c>
      <c r="M8" s="321"/>
    </row>
    <row r="9" spans="1:13" ht="11.25" customHeight="1">
      <c r="A9" s="191" t="str">
        <f>A5A!A39</f>
        <v>Vote 4 - Sustainable Community Service Delivery Provision Management</v>
      </c>
      <c r="B9" s="294"/>
      <c r="C9" s="193">
        <f>A5A!C39</f>
        <v>0</v>
      </c>
      <c r="D9" s="193">
        <f>A5A!D39</f>
        <v>0</v>
      </c>
      <c r="E9" s="194">
        <f>A5A!E39</f>
        <v>33113251</v>
      </c>
      <c r="F9" s="323">
        <f>A5A!F39</f>
        <v>55803263</v>
      </c>
      <c r="G9" s="193">
        <f>A5A!G39</f>
        <v>57103263</v>
      </c>
      <c r="H9" s="194">
        <f>A5A!H39</f>
        <v>57103263</v>
      </c>
      <c r="I9" s="192">
        <f>A5A!I39</f>
        <v>57103263</v>
      </c>
      <c r="J9" s="195">
        <f>A5A!J39</f>
        <v>58237000</v>
      </c>
      <c r="K9" s="193">
        <f>A5A!K39</f>
        <v>17749000</v>
      </c>
      <c r="L9" s="324">
        <f>A5A!L39</f>
        <v>0</v>
      </c>
      <c r="M9" s="321"/>
    </row>
    <row r="10" spans="1:13" ht="11.25" customHeight="1">
      <c r="A10" s="191" t="str">
        <f>A5A!A50</f>
        <v>Example 5 - Vote5</v>
      </c>
      <c r="B10" s="294"/>
      <c r="C10" s="193">
        <f>A5A!C50</f>
        <v>0</v>
      </c>
      <c r="D10" s="193">
        <f>A5A!D50</f>
        <v>0</v>
      </c>
      <c r="E10" s="194">
        <f>A5A!E50</f>
        <v>0</v>
      </c>
      <c r="F10" s="195">
        <f>A5A!F50</f>
        <v>0</v>
      </c>
      <c r="G10" s="193">
        <f>A5A!G50</f>
        <v>0</v>
      </c>
      <c r="H10" s="194">
        <f>A5A!H50</f>
        <v>0</v>
      </c>
      <c r="I10" s="192">
        <f>A5A!I50</f>
        <v>0</v>
      </c>
      <c r="J10" s="195">
        <f>A5A!J50</f>
        <v>0</v>
      </c>
      <c r="K10" s="193">
        <f>A5A!K50</f>
        <v>0</v>
      </c>
      <c r="L10" s="194">
        <f>A5A!L50</f>
        <v>0</v>
      </c>
      <c r="M10" s="321"/>
    </row>
    <row r="11" spans="1:13" ht="11.25" customHeight="1">
      <c r="A11" s="191" t="str">
        <f>A5A!A61</f>
        <v>Example 6 - Vote6</v>
      </c>
      <c r="B11" s="294"/>
      <c r="C11" s="193">
        <f>A5A!C61</f>
        <v>0</v>
      </c>
      <c r="D11" s="193">
        <f>A5A!D61</f>
        <v>0</v>
      </c>
      <c r="E11" s="194">
        <f>A5A!E61</f>
        <v>0</v>
      </c>
      <c r="F11" s="195">
        <f>A5A!F61</f>
        <v>0</v>
      </c>
      <c r="G11" s="193">
        <f>A5A!G61</f>
        <v>0</v>
      </c>
      <c r="H11" s="194">
        <f>A5A!H61</f>
        <v>0</v>
      </c>
      <c r="I11" s="192">
        <f>A5A!I61</f>
        <v>0</v>
      </c>
      <c r="J11" s="195">
        <f>A5A!J61</f>
        <v>0</v>
      </c>
      <c r="K11" s="193">
        <f>A5A!K61</f>
        <v>0</v>
      </c>
      <c r="L11" s="194">
        <f>A5A!L61</f>
        <v>0</v>
      </c>
      <c r="M11" s="321"/>
    </row>
    <row r="12" spans="1:13" ht="11.25" customHeight="1">
      <c r="A12" s="191" t="str">
        <f>A5A!A72</f>
        <v>Example 7 - Vote7</v>
      </c>
      <c r="B12" s="294"/>
      <c r="C12" s="193">
        <f>A5A!C72</f>
        <v>0</v>
      </c>
      <c r="D12" s="193">
        <f>A5A!D72</f>
        <v>0</v>
      </c>
      <c r="E12" s="194">
        <f>A5A!E72</f>
        <v>0</v>
      </c>
      <c r="F12" s="195">
        <f>A5A!F72</f>
        <v>0</v>
      </c>
      <c r="G12" s="193">
        <f>A5A!G72</f>
        <v>0</v>
      </c>
      <c r="H12" s="194">
        <f>A5A!H72</f>
        <v>0</v>
      </c>
      <c r="I12" s="192">
        <f>A5A!I72</f>
        <v>0</v>
      </c>
      <c r="J12" s="195">
        <f>A5A!J72</f>
        <v>0</v>
      </c>
      <c r="K12" s="193">
        <f>A5A!K72</f>
        <v>0</v>
      </c>
      <c r="L12" s="194">
        <f>A5A!L72</f>
        <v>0</v>
      </c>
      <c r="M12" s="321"/>
    </row>
    <row r="13" spans="1:13" ht="11.25" customHeight="1">
      <c r="A13" s="191" t="str">
        <f>A5A!A83</f>
        <v>Example 8 - Vote8</v>
      </c>
      <c r="B13" s="294"/>
      <c r="C13" s="193">
        <f>A5A!C83</f>
        <v>0</v>
      </c>
      <c r="D13" s="193">
        <f>A5A!D83</f>
        <v>0</v>
      </c>
      <c r="E13" s="192">
        <f>A5A!E83</f>
        <v>0</v>
      </c>
      <c r="F13" s="195">
        <f>A5A!F83</f>
        <v>0</v>
      </c>
      <c r="G13" s="193">
        <f>A5A!G83</f>
        <v>0</v>
      </c>
      <c r="H13" s="194">
        <f>A5A!H83</f>
        <v>0</v>
      </c>
      <c r="I13" s="192">
        <f>A5A!I83</f>
        <v>0</v>
      </c>
      <c r="J13" s="195">
        <f>A5A!J83</f>
        <v>0</v>
      </c>
      <c r="K13" s="193">
        <f>A5A!K83</f>
        <v>0</v>
      </c>
      <c r="L13" s="194">
        <f>A5A!L83</f>
        <v>0</v>
      </c>
      <c r="M13" s="321"/>
    </row>
    <row r="14" spans="1:13" ht="11.25" customHeight="1">
      <c r="A14" s="191" t="str">
        <f>A5A!A94</f>
        <v>Example 9 - Vote9</v>
      </c>
      <c r="B14" s="294"/>
      <c r="C14" s="193">
        <f>A5A!C94</f>
        <v>0</v>
      </c>
      <c r="D14" s="193">
        <f>A5A!D94</f>
        <v>0</v>
      </c>
      <c r="E14" s="192">
        <f>A5A!E94</f>
        <v>0</v>
      </c>
      <c r="F14" s="195">
        <f>A5A!F94</f>
        <v>0</v>
      </c>
      <c r="G14" s="193">
        <f>A5A!G94</f>
        <v>0</v>
      </c>
      <c r="H14" s="194">
        <f>A5A!H94</f>
        <v>0</v>
      </c>
      <c r="I14" s="192">
        <f>A5A!I94</f>
        <v>0</v>
      </c>
      <c r="J14" s="195">
        <f>A5A!J94</f>
        <v>0</v>
      </c>
      <c r="K14" s="193">
        <f>A5A!K94</f>
        <v>0</v>
      </c>
      <c r="L14" s="194">
        <f>A5A!L94</f>
        <v>0</v>
      </c>
      <c r="M14" s="1642"/>
    </row>
    <row r="15" spans="1:13" ht="11.25" customHeight="1">
      <c r="A15" s="191" t="str">
        <f>A5A!A105</f>
        <v>Example 10 - Vote10</v>
      </c>
      <c r="B15" s="294"/>
      <c r="C15" s="193">
        <f>A5A!C105</f>
        <v>0</v>
      </c>
      <c r="D15" s="193">
        <f>A5A!D105</f>
        <v>0</v>
      </c>
      <c r="E15" s="192">
        <f>A5A!E105</f>
        <v>0</v>
      </c>
      <c r="F15" s="195">
        <f>A5A!F105</f>
        <v>0</v>
      </c>
      <c r="G15" s="193">
        <f>A5A!G105</f>
        <v>0</v>
      </c>
      <c r="H15" s="194">
        <f>A5A!H105</f>
        <v>0</v>
      </c>
      <c r="I15" s="192">
        <f>A5A!I105</f>
        <v>0</v>
      </c>
      <c r="J15" s="195">
        <f>A5A!J105</f>
        <v>0</v>
      </c>
      <c r="K15" s="193">
        <f>A5A!K105</f>
        <v>0</v>
      </c>
      <c r="L15" s="194">
        <f>A5A!L105</f>
        <v>0</v>
      </c>
      <c r="M15" s="1642"/>
    </row>
    <row r="16" spans="1:13" ht="11.25" customHeight="1">
      <c r="A16" s="191" t="str">
        <f>A5A!A116</f>
        <v>Example 11 - Vote11</v>
      </c>
      <c r="B16" s="294"/>
      <c r="C16" s="193">
        <f>A5A!C116</f>
        <v>0</v>
      </c>
      <c r="D16" s="193">
        <f>A5A!D116</f>
        <v>0</v>
      </c>
      <c r="E16" s="192">
        <f>A5A!E116</f>
        <v>0</v>
      </c>
      <c r="F16" s="195">
        <f>A5A!F116</f>
        <v>0</v>
      </c>
      <c r="G16" s="193">
        <f>A5A!G116</f>
        <v>0</v>
      </c>
      <c r="H16" s="194">
        <f>A5A!H116</f>
        <v>0</v>
      </c>
      <c r="I16" s="192">
        <f>A5A!I116</f>
        <v>0</v>
      </c>
      <c r="J16" s="195">
        <f>A5A!J116</f>
        <v>0</v>
      </c>
      <c r="K16" s="193">
        <f>A5A!K116</f>
        <v>0</v>
      </c>
      <c r="L16" s="194">
        <f>A5A!L116</f>
        <v>0</v>
      </c>
      <c r="M16" s="373"/>
    </row>
    <row r="17" spans="1:13" ht="11.25" customHeight="1">
      <c r="A17" s="191" t="str">
        <f>A5A!A127</f>
        <v>Example 12 - Vote12</v>
      </c>
      <c r="B17" s="294"/>
      <c r="C17" s="193">
        <f>A5A!C127</f>
        <v>0</v>
      </c>
      <c r="D17" s="193">
        <f>A5A!D127</f>
        <v>0</v>
      </c>
      <c r="E17" s="192">
        <f>A5A!E127</f>
        <v>0</v>
      </c>
      <c r="F17" s="195">
        <f>A5A!F127</f>
        <v>0</v>
      </c>
      <c r="G17" s="193">
        <f>A5A!G127</f>
        <v>0</v>
      </c>
      <c r="H17" s="194">
        <f>A5A!H127</f>
        <v>0</v>
      </c>
      <c r="I17" s="192">
        <f>A5A!I127</f>
        <v>0</v>
      </c>
      <c r="J17" s="195">
        <f>A5A!J127</f>
        <v>0</v>
      </c>
      <c r="K17" s="193">
        <f>A5A!K127</f>
        <v>0</v>
      </c>
      <c r="L17" s="194">
        <f>A5A!L127</f>
        <v>0</v>
      </c>
      <c r="M17" s="1642"/>
    </row>
    <row r="18" spans="1:13" ht="11.25" customHeight="1">
      <c r="A18" s="191" t="str">
        <f>A5A!A138</f>
        <v>Example 13 - Vote13</v>
      </c>
      <c r="B18" s="294"/>
      <c r="C18" s="193">
        <f>A5A!C138</f>
        <v>0</v>
      </c>
      <c r="D18" s="193">
        <f>A5A!D138</f>
        <v>0</v>
      </c>
      <c r="E18" s="192">
        <f>A5A!E138</f>
        <v>0</v>
      </c>
      <c r="F18" s="195">
        <f>A5A!F138</f>
        <v>0</v>
      </c>
      <c r="G18" s="193">
        <f>A5A!G138</f>
        <v>0</v>
      </c>
      <c r="H18" s="194">
        <f>A5A!H138</f>
        <v>0</v>
      </c>
      <c r="I18" s="192">
        <f>A5A!I138</f>
        <v>0</v>
      </c>
      <c r="J18" s="195">
        <f>A5A!J138</f>
        <v>0</v>
      </c>
      <c r="K18" s="193">
        <f>A5A!K138</f>
        <v>0</v>
      </c>
      <c r="L18" s="194">
        <f>A5A!L138</f>
        <v>0</v>
      </c>
      <c r="M18" s="1642"/>
    </row>
    <row r="19" spans="1:13" ht="11.25" customHeight="1">
      <c r="A19" s="191" t="str">
        <f>A5A!A149</f>
        <v>Example 14 - Vote14</v>
      </c>
      <c r="B19" s="294"/>
      <c r="C19" s="193">
        <f>A5A!C149</f>
        <v>0</v>
      </c>
      <c r="D19" s="193">
        <f>A5A!D149</f>
        <v>0</v>
      </c>
      <c r="E19" s="192">
        <f>A5A!E149</f>
        <v>0</v>
      </c>
      <c r="F19" s="195">
        <f>A5A!F149</f>
        <v>0</v>
      </c>
      <c r="G19" s="193">
        <f>A5A!G149</f>
        <v>0</v>
      </c>
      <c r="H19" s="194">
        <f>A5A!H149</f>
        <v>0</v>
      </c>
      <c r="I19" s="192">
        <f>A5A!I149</f>
        <v>0</v>
      </c>
      <c r="J19" s="195">
        <f>A5A!J149</f>
        <v>0</v>
      </c>
      <c r="K19" s="193">
        <f>A5A!K149</f>
        <v>0</v>
      </c>
      <c r="L19" s="194">
        <f>A5A!L149</f>
        <v>0</v>
      </c>
      <c r="M19" s="1642"/>
    </row>
    <row r="20" spans="1:13" ht="11.25" customHeight="1">
      <c r="A20" s="191" t="str">
        <f>A5A!A160</f>
        <v>Example 15 - Vote15</v>
      </c>
      <c r="B20" s="294"/>
      <c r="C20" s="193">
        <f>A5A!C160</f>
        <v>0</v>
      </c>
      <c r="D20" s="193">
        <f>A5A!D160</f>
        <v>0</v>
      </c>
      <c r="E20" s="192">
        <f>A5A!E160</f>
        <v>0</v>
      </c>
      <c r="F20" s="195">
        <f>A5A!F160</f>
        <v>0</v>
      </c>
      <c r="G20" s="193">
        <f>A5A!G160</f>
        <v>0</v>
      </c>
      <c r="H20" s="194">
        <f>A5A!H160</f>
        <v>0</v>
      </c>
      <c r="I20" s="192">
        <f>A5A!I160</f>
        <v>0</v>
      </c>
      <c r="J20" s="195">
        <f>A5A!J160</f>
        <v>0</v>
      </c>
      <c r="K20" s="193">
        <f>A5A!K160</f>
        <v>0</v>
      </c>
      <c r="L20" s="194">
        <f>A5A!L160</f>
        <v>0</v>
      </c>
      <c r="M20" s="1642"/>
    </row>
    <row r="21" spans="1:13">
      <c r="A21" s="198" t="s">
        <v>203</v>
      </c>
      <c r="B21" s="294">
        <v>7</v>
      </c>
      <c r="C21" s="1396">
        <f>SUM(C6:C20)</f>
        <v>0</v>
      </c>
      <c r="D21" s="1396">
        <f t="shared" ref="D21:L21" si="0">SUM(D6:D20)</f>
        <v>0</v>
      </c>
      <c r="E21" s="267">
        <f t="shared" si="0"/>
        <v>176033492</v>
      </c>
      <c r="F21" s="270">
        <f t="shared" si="0"/>
        <v>295937266</v>
      </c>
      <c r="G21" s="268">
        <f t="shared" si="0"/>
        <v>394548007</v>
      </c>
      <c r="H21" s="269">
        <f>SUM(H6:H20)</f>
        <v>394548007</v>
      </c>
      <c r="I21" s="267">
        <f t="shared" si="0"/>
        <v>394548007</v>
      </c>
      <c r="J21" s="270">
        <f t="shared" si="0"/>
        <v>411313300</v>
      </c>
      <c r="K21" s="268">
        <f t="shared" si="0"/>
        <v>310819300</v>
      </c>
      <c r="L21" s="269">
        <f t="shared" si="0"/>
        <v>214215000</v>
      </c>
      <c r="M21" s="373"/>
    </row>
    <row r="22" spans="1:13" ht="5.0999999999999996" customHeight="1">
      <c r="A22" s="202"/>
      <c r="B22" s="294"/>
      <c r="C22" s="204"/>
      <c r="D22" s="260"/>
      <c r="E22" s="203"/>
      <c r="F22" s="206"/>
      <c r="G22" s="204"/>
      <c r="H22" s="205"/>
      <c r="I22" s="203"/>
      <c r="J22" s="206"/>
      <c r="K22" s="204"/>
      <c r="L22" s="205"/>
      <c r="M22" s="373"/>
    </row>
    <row r="23" spans="1:13" ht="11.25" customHeight="1">
      <c r="A23" s="182" t="s">
        <v>1121</v>
      </c>
      <c r="B23" s="294">
        <v>2</v>
      </c>
      <c r="C23" s="325"/>
      <c r="D23" s="325"/>
      <c r="E23" s="194"/>
      <c r="F23" s="195"/>
      <c r="G23" s="193"/>
      <c r="H23" s="194"/>
      <c r="I23" s="192"/>
      <c r="J23" s="195"/>
      <c r="K23" s="193"/>
      <c r="L23" s="194"/>
      <c r="M23" s="373"/>
    </row>
    <row r="24" spans="1:13" ht="11.25" customHeight="1">
      <c r="A24" s="191" t="str">
        <f>A6</f>
        <v>Vote 1 - Corporate Services and Planning</v>
      </c>
      <c r="B24" s="294"/>
      <c r="C24" s="325">
        <f>A5A!C175</f>
        <v>0</v>
      </c>
      <c r="D24" s="325">
        <f>A5A!D175</f>
        <v>0</v>
      </c>
      <c r="E24" s="194">
        <f>A5A!E175</f>
        <v>0</v>
      </c>
      <c r="F24" s="195">
        <f>A5A!F175</f>
        <v>0</v>
      </c>
      <c r="G24" s="193">
        <f>A5A!G175</f>
        <v>0</v>
      </c>
      <c r="H24" s="194">
        <f>A5A!H175</f>
        <v>0</v>
      </c>
      <c r="I24" s="192">
        <f>A5A!I175</f>
        <v>0</v>
      </c>
      <c r="J24" s="195">
        <f>A5A!J175</f>
        <v>0</v>
      </c>
      <c r="K24" s="193">
        <f>A5A!K175</f>
        <v>0</v>
      </c>
      <c r="L24" s="194">
        <f>A5A!L175</f>
        <v>0</v>
      </c>
      <c r="M24" s="373"/>
    </row>
    <row r="25" spans="1:13" ht="11.25" customHeight="1">
      <c r="A25" s="191" t="str">
        <f t="shared" ref="A25:A38" si="1">A7</f>
        <v>Vote 2 - Financial Management Area</v>
      </c>
      <c r="B25" s="294"/>
      <c r="C25" s="325">
        <f>A5A!C186</f>
        <v>0</v>
      </c>
      <c r="D25" s="325">
        <f>A5A!D186</f>
        <v>0</v>
      </c>
      <c r="E25" s="194">
        <f>A5A!E186</f>
        <v>0</v>
      </c>
      <c r="F25" s="195">
        <f>A5A!F186</f>
        <v>0</v>
      </c>
      <c r="G25" s="193">
        <f>A5A!G186</f>
        <v>0</v>
      </c>
      <c r="H25" s="194">
        <f>A5A!H186</f>
        <v>0</v>
      </c>
      <c r="I25" s="192">
        <f>A5A!I186</f>
        <v>0</v>
      </c>
      <c r="J25" s="195">
        <f>A5A!J186</f>
        <v>0</v>
      </c>
      <c r="K25" s="193">
        <f>A5A!K186</f>
        <v>0</v>
      </c>
      <c r="L25" s="194">
        <f>A5A!L186</f>
        <v>0</v>
      </c>
      <c r="M25" s="373"/>
    </row>
    <row r="26" spans="1:13" ht="11.25" customHeight="1">
      <c r="A26" s="191" t="str">
        <f t="shared" si="1"/>
        <v>Vote 3 - Infrastructure Development, Service Delivery and Maintenance Management</v>
      </c>
      <c r="B26" s="294"/>
      <c r="C26" s="325">
        <f>A5A!C197</f>
        <v>0</v>
      </c>
      <c r="D26" s="325">
        <f>A5A!D197</f>
        <v>0</v>
      </c>
      <c r="E26" s="194">
        <f>A5A!E197</f>
        <v>0</v>
      </c>
      <c r="F26" s="195">
        <f>A5A!F197</f>
        <v>0</v>
      </c>
      <c r="G26" s="193">
        <f>A5A!G197</f>
        <v>0</v>
      </c>
      <c r="H26" s="194">
        <f>A5A!H197</f>
        <v>0</v>
      </c>
      <c r="I26" s="192">
        <f>A5A!I197</f>
        <v>0</v>
      </c>
      <c r="J26" s="195">
        <f>A5A!J197</f>
        <v>0</v>
      </c>
      <c r="K26" s="193">
        <f>A5A!K197</f>
        <v>0</v>
      </c>
      <c r="L26" s="194">
        <f>A5A!L197</f>
        <v>0</v>
      </c>
      <c r="M26" s="373"/>
    </row>
    <row r="27" spans="1:13" ht="11.25" customHeight="1">
      <c r="A27" s="191" t="str">
        <f t="shared" si="1"/>
        <v>Vote 4 - Sustainable Community Service Delivery Provision Management</v>
      </c>
      <c r="B27" s="294"/>
      <c r="C27" s="325">
        <f>A5A!C208</f>
        <v>0</v>
      </c>
      <c r="D27" s="325">
        <f>A5A!D208</f>
        <v>0</v>
      </c>
      <c r="E27" s="194">
        <f>A5A!E208</f>
        <v>0</v>
      </c>
      <c r="F27" s="195">
        <f>A5A!F208</f>
        <v>0</v>
      </c>
      <c r="G27" s="193">
        <f>A5A!G208</f>
        <v>0</v>
      </c>
      <c r="H27" s="194">
        <f>A5A!H208</f>
        <v>0</v>
      </c>
      <c r="I27" s="192">
        <f>A5A!I208</f>
        <v>0</v>
      </c>
      <c r="J27" s="195">
        <f>A5A!J208</f>
        <v>0</v>
      </c>
      <c r="K27" s="193">
        <f>A5A!K208</f>
        <v>0</v>
      </c>
      <c r="L27" s="194">
        <f>A5A!L208</f>
        <v>0</v>
      </c>
      <c r="M27" s="373"/>
    </row>
    <row r="28" spans="1:13" ht="11.25" customHeight="1">
      <c r="A28" s="191" t="str">
        <f t="shared" si="1"/>
        <v>Example 5 - Vote5</v>
      </c>
      <c r="B28" s="294"/>
      <c r="C28" s="325">
        <f>A5A!C219</f>
        <v>0</v>
      </c>
      <c r="D28" s="325">
        <f>A5A!D219</f>
        <v>0</v>
      </c>
      <c r="E28" s="194">
        <f>A5A!E219</f>
        <v>0</v>
      </c>
      <c r="F28" s="195">
        <f>A5A!F219</f>
        <v>0</v>
      </c>
      <c r="G28" s="193">
        <f>A5A!G219</f>
        <v>0</v>
      </c>
      <c r="H28" s="194">
        <f>A5A!H219</f>
        <v>0</v>
      </c>
      <c r="I28" s="192">
        <f>A5A!I219</f>
        <v>0</v>
      </c>
      <c r="J28" s="195">
        <f>A5A!J219</f>
        <v>0</v>
      </c>
      <c r="K28" s="193">
        <f>A5A!K219</f>
        <v>0</v>
      </c>
      <c r="L28" s="194">
        <f>A5A!L219</f>
        <v>0</v>
      </c>
      <c r="M28" s="373"/>
    </row>
    <row r="29" spans="1:13" ht="11.25" customHeight="1">
      <c r="A29" s="191" t="str">
        <f t="shared" si="1"/>
        <v>Example 6 - Vote6</v>
      </c>
      <c r="B29" s="294"/>
      <c r="C29" s="325">
        <f>A5A!C230</f>
        <v>0</v>
      </c>
      <c r="D29" s="325">
        <f>A5A!D230</f>
        <v>0</v>
      </c>
      <c r="E29" s="194">
        <f>A5A!E230</f>
        <v>0</v>
      </c>
      <c r="F29" s="195">
        <f>A5A!F230</f>
        <v>0</v>
      </c>
      <c r="G29" s="193">
        <f>A5A!G230</f>
        <v>0</v>
      </c>
      <c r="H29" s="194">
        <f>A5A!H230</f>
        <v>0</v>
      </c>
      <c r="I29" s="192">
        <f>A5A!I230</f>
        <v>0</v>
      </c>
      <c r="J29" s="195">
        <f>A5A!J230</f>
        <v>0</v>
      </c>
      <c r="K29" s="193">
        <f>A5A!K230</f>
        <v>0</v>
      </c>
      <c r="L29" s="194">
        <f>A5A!L230</f>
        <v>0</v>
      </c>
      <c r="M29" s="373"/>
    </row>
    <row r="30" spans="1:13" ht="11.25" customHeight="1">
      <c r="A30" s="191" t="str">
        <f t="shared" si="1"/>
        <v>Example 7 - Vote7</v>
      </c>
      <c r="B30" s="294"/>
      <c r="C30" s="325">
        <f>A5A!C241</f>
        <v>0</v>
      </c>
      <c r="D30" s="325">
        <f>A5A!D241</f>
        <v>0</v>
      </c>
      <c r="E30" s="194">
        <f>A5A!E241</f>
        <v>0</v>
      </c>
      <c r="F30" s="195">
        <f>A5A!F241</f>
        <v>0</v>
      </c>
      <c r="G30" s="193">
        <f>A5A!G241</f>
        <v>0</v>
      </c>
      <c r="H30" s="194">
        <f>A5A!H241</f>
        <v>0</v>
      </c>
      <c r="I30" s="192">
        <f>A5A!I241</f>
        <v>0</v>
      </c>
      <c r="J30" s="195">
        <f>A5A!J241</f>
        <v>0</v>
      </c>
      <c r="K30" s="193">
        <f>A5A!K241</f>
        <v>0</v>
      </c>
      <c r="L30" s="194">
        <f>A5A!L241</f>
        <v>0</v>
      </c>
      <c r="M30" s="373"/>
    </row>
    <row r="31" spans="1:13" ht="11.25" customHeight="1">
      <c r="A31" s="191" t="str">
        <f t="shared" si="1"/>
        <v>Example 8 - Vote8</v>
      </c>
      <c r="B31" s="294"/>
      <c r="C31" s="325">
        <f>A5A!C252</f>
        <v>0</v>
      </c>
      <c r="D31" s="325">
        <f>A5A!D252</f>
        <v>0</v>
      </c>
      <c r="E31" s="194">
        <f>A5A!E252</f>
        <v>0</v>
      </c>
      <c r="F31" s="195">
        <f>A5A!F252</f>
        <v>0</v>
      </c>
      <c r="G31" s="193">
        <f>A5A!G252</f>
        <v>0</v>
      </c>
      <c r="H31" s="194">
        <f>A5A!H252</f>
        <v>0</v>
      </c>
      <c r="I31" s="192">
        <f>A5A!I252</f>
        <v>0</v>
      </c>
      <c r="J31" s="195">
        <f>A5A!J252</f>
        <v>0</v>
      </c>
      <c r="K31" s="193">
        <f>A5A!K252</f>
        <v>0</v>
      </c>
      <c r="L31" s="194">
        <f>A5A!L252</f>
        <v>0</v>
      </c>
      <c r="M31" s="373"/>
    </row>
    <row r="32" spans="1:13" ht="11.25" customHeight="1">
      <c r="A32" s="191" t="str">
        <f t="shared" si="1"/>
        <v>Example 9 - Vote9</v>
      </c>
      <c r="B32" s="294"/>
      <c r="C32" s="325">
        <f>A5A!C263</f>
        <v>0</v>
      </c>
      <c r="D32" s="325">
        <f>A5A!D263</f>
        <v>0</v>
      </c>
      <c r="E32" s="194">
        <f>A5A!E263</f>
        <v>0</v>
      </c>
      <c r="F32" s="195">
        <f>A5A!F263</f>
        <v>0</v>
      </c>
      <c r="G32" s="193">
        <f>A5A!G263</f>
        <v>0</v>
      </c>
      <c r="H32" s="194">
        <f>A5A!H263</f>
        <v>0</v>
      </c>
      <c r="I32" s="192">
        <f>A5A!I263</f>
        <v>0</v>
      </c>
      <c r="J32" s="195">
        <f>A5A!J263</f>
        <v>0</v>
      </c>
      <c r="K32" s="193">
        <f>A5A!K263</f>
        <v>0</v>
      </c>
      <c r="L32" s="194">
        <f>A5A!L263</f>
        <v>0</v>
      </c>
      <c r="M32" s="373"/>
    </row>
    <row r="33" spans="1:18" ht="11.25" customHeight="1">
      <c r="A33" s="191" t="str">
        <f t="shared" si="1"/>
        <v>Example 10 - Vote10</v>
      </c>
      <c r="B33" s="294"/>
      <c r="C33" s="325">
        <f>A5A!C274</f>
        <v>0</v>
      </c>
      <c r="D33" s="325">
        <f>A5A!D274</f>
        <v>0</v>
      </c>
      <c r="E33" s="194">
        <f>A5A!E274</f>
        <v>0</v>
      </c>
      <c r="F33" s="195">
        <f>A5A!F274</f>
        <v>0</v>
      </c>
      <c r="G33" s="193">
        <f>A5A!G274</f>
        <v>0</v>
      </c>
      <c r="H33" s="194">
        <f>A5A!H274</f>
        <v>0</v>
      </c>
      <c r="I33" s="192">
        <f>A5A!I274</f>
        <v>0</v>
      </c>
      <c r="J33" s="195">
        <f>A5A!J274</f>
        <v>0</v>
      </c>
      <c r="K33" s="193">
        <f>A5A!K274</f>
        <v>0</v>
      </c>
      <c r="L33" s="194">
        <f>A5A!L274</f>
        <v>0</v>
      </c>
      <c r="M33" s="373"/>
    </row>
    <row r="34" spans="1:18" ht="11.25" customHeight="1">
      <c r="A34" s="191" t="str">
        <f t="shared" si="1"/>
        <v>Example 11 - Vote11</v>
      </c>
      <c r="B34" s="294"/>
      <c r="C34" s="325">
        <f>A5A!C285</f>
        <v>0</v>
      </c>
      <c r="D34" s="325">
        <f>A5A!D285</f>
        <v>0</v>
      </c>
      <c r="E34" s="194">
        <f>A5A!E285</f>
        <v>0</v>
      </c>
      <c r="F34" s="195">
        <f>A5A!F285</f>
        <v>0</v>
      </c>
      <c r="G34" s="193">
        <f>A5A!G285</f>
        <v>0</v>
      </c>
      <c r="H34" s="194">
        <f>A5A!H285</f>
        <v>0</v>
      </c>
      <c r="I34" s="192">
        <f>A5A!I285</f>
        <v>0</v>
      </c>
      <c r="J34" s="195">
        <f>A5A!J285</f>
        <v>0</v>
      </c>
      <c r="K34" s="193">
        <f>A5A!K285</f>
        <v>0</v>
      </c>
      <c r="L34" s="194">
        <f>A5A!L285</f>
        <v>0</v>
      </c>
      <c r="M34" s="373"/>
    </row>
    <row r="35" spans="1:18" ht="11.25" customHeight="1">
      <c r="A35" s="191" t="str">
        <f t="shared" si="1"/>
        <v>Example 12 - Vote12</v>
      </c>
      <c r="B35" s="294"/>
      <c r="C35" s="325">
        <f>A5A!C296</f>
        <v>0</v>
      </c>
      <c r="D35" s="325">
        <f>A5A!D296</f>
        <v>0</v>
      </c>
      <c r="E35" s="194">
        <f>A5A!E296</f>
        <v>0</v>
      </c>
      <c r="F35" s="195">
        <f>A5A!F296</f>
        <v>0</v>
      </c>
      <c r="G35" s="193">
        <f>A5A!G296</f>
        <v>0</v>
      </c>
      <c r="H35" s="194">
        <f>A5A!H296</f>
        <v>0</v>
      </c>
      <c r="I35" s="192">
        <f>A5A!I296</f>
        <v>0</v>
      </c>
      <c r="J35" s="195">
        <f>A5A!J296</f>
        <v>0</v>
      </c>
      <c r="K35" s="193">
        <f>A5A!K296</f>
        <v>0</v>
      </c>
      <c r="L35" s="194">
        <f>A5A!L296</f>
        <v>0</v>
      </c>
      <c r="M35" s="373"/>
    </row>
    <row r="36" spans="1:18" ht="11.25" customHeight="1">
      <c r="A36" s="191" t="str">
        <f t="shared" si="1"/>
        <v>Example 13 - Vote13</v>
      </c>
      <c r="B36" s="294"/>
      <c r="C36" s="1594">
        <f>A5A!C307</f>
        <v>0</v>
      </c>
      <c r="D36" s="1594">
        <f>A5A!D307</f>
        <v>0</v>
      </c>
      <c r="E36" s="1595">
        <f>A5A!E307</f>
        <v>0</v>
      </c>
      <c r="F36" s="1596">
        <f>A5A!F307</f>
        <v>0</v>
      </c>
      <c r="G36" s="1556">
        <f>A5A!G307</f>
        <v>0</v>
      </c>
      <c r="H36" s="1595">
        <f>A5A!H307</f>
        <v>0</v>
      </c>
      <c r="I36" s="1557">
        <f>A5A!I307</f>
        <v>0</v>
      </c>
      <c r="J36" s="1596">
        <f>A5A!J307</f>
        <v>0</v>
      </c>
      <c r="K36" s="1556">
        <f>A5A!K307</f>
        <v>0</v>
      </c>
      <c r="L36" s="1595">
        <f>A5A!L307</f>
        <v>0</v>
      </c>
      <c r="M36" s="373"/>
    </row>
    <row r="37" spans="1:18" ht="11.25" customHeight="1">
      <c r="A37" s="191" t="str">
        <f t="shared" si="1"/>
        <v>Example 14 - Vote14</v>
      </c>
      <c r="B37" s="294"/>
      <c r="C37" s="1594">
        <f>A5A!C318</f>
        <v>0</v>
      </c>
      <c r="D37" s="1594">
        <f>A5A!D318</f>
        <v>0</v>
      </c>
      <c r="E37" s="1595">
        <f>A5A!E318</f>
        <v>0</v>
      </c>
      <c r="F37" s="1596">
        <f>A5A!F318</f>
        <v>0</v>
      </c>
      <c r="G37" s="1556">
        <f>A5A!G318</f>
        <v>0</v>
      </c>
      <c r="H37" s="1595">
        <f>A5A!H318</f>
        <v>0</v>
      </c>
      <c r="I37" s="1557">
        <f>A5A!I318</f>
        <v>0</v>
      </c>
      <c r="J37" s="1596">
        <f>A5A!J318</f>
        <v>0</v>
      </c>
      <c r="K37" s="1556">
        <f>A5A!K318</f>
        <v>0</v>
      </c>
      <c r="L37" s="1595">
        <f>A5A!L318</f>
        <v>0</v>
      </c>
      <c r="M37" s="373"/>
    </row>
    <row r="38" spans="1:18" ht="11.25" customHeight="1">
      <c r="A38" s="191" t="str">
        <f t="shared" si="1"/>
        <v>Example 15 - Vote15</v>
      </c>
      <c r="B38" s="294"/>
      <c r="C38" s="1594">
        <f>A5A!C329</f>
        <v>0</v>
      </c>
      <c r="D38" s="1594">
        <f>A5A!D329</f>
        <v>0</v>
      </c>
      <c r="E38" s="1595">
        <f>A5A!E329</f>
        <v>0</v>
      </c>
      <c r="F38" s="1596">
        <f>A5A!F329</f>
        <v>0</v>
      </c>
      <c r="G38" s="1556">
        <f>A5A!G329</f>
        <v>0</v>
      </c>
      <c r="H38" s="1595">
        <f>A5A!H329</f>
        <v>0</v>
      </c>
      <c r="I38" s="1557">
        <f>A5A!I329</f>
        <v>0</v>
      </c>
      <c r="J38" s="1596">
        <f>A5A!J329</f>
        <v>0</v>
      </c>
      <c r="K38" s="1556">
        <f>A5A!K329</f>
        <v>0</v>
      </c>
      <c r="L38" s="1595">
        <f>A5A!L329</f>
        <v>0</v>
      </c>
      <c r="M38" s="373"/>
    </row>
    <row r="39" spans="1:18" ht="11.25" customHeight="1">
      <c r="A39" s="327" t="s">
        <v>1454</v>
      </c>
      <c r="B39" s="294"/>
      <c r="C39" s="1393">
        <f>SUM(C24:C38)</f>
        <v>0</v>
      </c>
      <c r="D39" s="1393">
        <f t="shared" ref="D39:L39" si="2">SUM(D24:D38)</f>
        <v>0</v>
      </c>
      <c r="E39" s="1394">
        <f t="shared" si="2"/>
        <v>0</v>
      </c>
      <c r="F39" s="1395">
        <f t="shared" si="2"/>
        <v>0</v>
      </c>
      <c r="G39" s="1396">
        <f t="shared" si="2"/>
        <v>0</v>
      </c>
      <c r="H39" s="1394">
        <f t="shared" si="2"/>
        <v>0</v>
      </c>
      <c r="I39" s="1397">
        <f t="shared" si="2"/>
        <v>0</v>
      </c>
      <c r="J39" s="1395">
        <f t="shared" si="2"/>
        <v>0</v>
      </c>
      <c r="K39" s="1396">
        <f t="shared" si="2"/>
        <v>0</v>
      </c>
      <c r="L39" s="1394">
        <f t="shared" si="2"/>
        <v>0</v>
      </c>
      <c r="M39" s="373"/>
    </row>
    <row r="40" spans="1:18">
      <c r="A40" s="225" t="s">
        <v>1122</v>
      </c>
      <c r="B40" s="307"/>
      <c r="C40" s="328">
        <f>C39+C21</f>
        <v>0</v>
      </c>
      <c r="D40" s="328">
        <f t="shared" ref="D40:L40" si="3">D39+D21</f>
        <v>0</v>
      </c>
      <c r="E40" s="329">
        <f t="shared" si="3"/>
        <v>176033492</v>
      </c>
      <c r="F40" s="330">
        <f t="shared" si="3"/>
        <v>295937266</v>
      </c>
      <c r="G40" s="331">
        <f t="shared" si="3"/>
        <v>394548007</v>
      </c>
      <c r="H40" s="329">
        <f t="shared" si="3"/>
        <v>394548007</v>
      </c>
      <c r="I40" s="332">
        <f t="shared" si="3"/>
        <v>394548007</v>
      </c>
      <c r="J40" s="330">
        <f t="shared" si="3"/>
        <v>411313300</v>
      </c>
      <c r="K40" s="331">
        <f t="shared" si="3"/>
        <v>310819300</v>
      </c>
      <c r="L40" s="329">
        <f t="shared" si="3"/>
        <v>214215000</v>
      </c>
      <c r="M40" s="373"/>
    </row>
    <row r="41" spans="1:18" ht="5.0999999999999996" customHeight="1">
      <c r="A41" s="202"/>
      <c r="B41" s="294"/>
      <c r="C41" s="325"/>
      <c r="D41" s="325"/>
      <c r="E41" s="194"/>
      <c r="F41" s="195"/>
      <c r="G41" s="193"/>
      <c r="H41" s="194"/>
      <c r="I41" s="192"/>
      <c r="J41" s="195"/>
      <c r="K41" s="193"/>
      <c r="L41" s="194"/>
      <c r="M41" s="373"/>
    </row>
    <row r="42" spans="1:18" ht="11.25" customHeight="1">
      <c r="A42" s="182" t="s">
        <v>1343</v>
      </c>
      <c r="B42" s="294"/>
      <c r="C42" s="325"/>
      <c r="D42" s="325"/>
      <c r="E42" s="194"/>
      <c r="F42" s="195"/>
      <c r="G42" s="193"/>
      <c r="H42" s="194"/>
      <c r="I42" s="192"/>
      <c r="J42" s="1316"/>
      <c r="K42" s="193"/>
      <c r="L42" s="1317"/>
      <c r="M42" s="373"/>
    </row>
    <row r="43" spans="1:18" ht="11.25" customHeight="1">
      <c r="A43" s="1314" t="s">
        <v>1223</v>
      </c>
      <c r="B43" s="1231"/>
      <c r="C43" s="1168">
        <f>SUM(C44:C46)</f>
        <v>8701000</v>
      </c>
      <c r="D43" s="1168">
        <f t="shared" ref="D43:L43" si="4">SUM(D44:D46)</f>
        <v>6900000</v>
      </c>
      <c r="E43" s="1454">
        <f t="shared" si="4"/>
        <v>15400636</v>
      </c>
      <c r="F43" s="1172">
        <f t="shared" si="4"/>
        <v>31056263</v>
      </c>
      <c r="G43" s="1168">
        <f t="shared" si="4"/>
        <v>60693263</v>
      </c>
      <c r="H43" s="1455">
        <f t="shared" si="4"/>
        <v>60693263</v>
      </c>
      <c r="I43" s="1171">
        <f t="shared" si="4"/>
        <v>60693263</v>
      </c>
      <c r="J43" s="1172">
        <f t="shared" si="4"/>
        <v>19500000</v>
      </c>
      <c r="K43" s="1168">
        <f t="shared" si="4"/>
        <v>4500000</v>
      </c>
      <c r="L43" s="1455">
        <f t="shared" si="4"/>
        <v>0</v>
      </c>
      <c r="M43" s="373"/>
      <c r="Q43" s="253"/>
      <c r="R43" s="254"/>
    </row>
    <row r="44" spans="1:18" ht="11.25" customHeight="1">
      <c r="A44" s="1315" t="s">
        <v>144</v>
      </c>
      <c r="B44" s="1231"/>
      <c r="C44" s="1077">
        <v>850000</v>
      </c>
      <c r="D44" s="1078"/>
      <c r="E44" s="1078">
        <v>40696</v>
      </c>
      <c r="F44" s="1731"/>
      <c r="G44" s="1708">
        <v>0</v>
      </c>
      <c r="H44" s="1732">
        <v>0</v>
      </c>
      <c r="I44" s="1731"/>
      <c r="J44" s="1077"/>
      <c r="K44" s="1708"/>
      <c r="L44" s="1711"/>
      <c r="M44" s="373"/>
      <c r="Q44" s="253"/>
      <c r="R44" s="254"/>
    </row>
    <row r="45" spans="1:18" ht="11.25" customHeight="1">
      <c r="A45" s="1315" t="s">
        <v>145</v>
      </c>
      <c r="B45" s="1231"/>
      <c r="C45" s="1077">
        <v>7851000</v>
      </c>
      <c r="D45" s="1078">
        <v>6900000</v>
      </c>
      <c r="E45" s="1078">
        <v>15359940</v>
      </c>
      <c r="F45" s="1735">
        <v>31056263</v>
      </c>
      <c r="G45" s="1733">
        <v>60693263</v>
      </c>
      <c r="H45" s="1736">
        <v>60693263</v>
      </c>
      <c r="I45" s="1736">
        <v>60693263</v>
      </c>
      <c r="J45" s="1077">
        <f>15000000</f>
        <v>15000000</v>
      </c>
      <c r="K45" s="1733"/>
      <c r="L45" s="1742"/>
      <c r="M45" s="373"/>
      <c r="Q45" s="253"/>
      <c r="R45" s="254"/>
    </row>
    <row r="46" spans="1:18" ht="11.25" customHeight="1">
      <c r="A46" s="1315" t="s">
        <v>146</v>
      </c>
      <c r="B46" s="1231"/>
      <c r="C46" s="2247"/>
      <c r="D46" s="2248"/>
      <c r="E46" s="2248"/>
      <c r="F46" s="1731"/>
      <c r="G46" s="1708">
        <v>0</v>
      </c>
      <c r="H46" s="1732">
        <v>0</v>
      </c>
      <c r="I46" s="1732">
        <v>0</v>
      </c>
      <c r="J46" s="2247">
        <v>4500000</v>
      </c>
      <c r="K46" s="1708">
        <v>4500000</v>
      </c>
      <c r="L46" s="1711"/>
      <c r="M46" s="373"/>
      <c r="Q46" s="253"/>
      <c r="R46" s="254"/>
    </row>
    <row r="47" spans="1:18" ht="11.25" customHeight="1">
      <c r="A47" s="1314" t="s">
        <v>147</v>
      </c>
      <c r="B47" s="1231"/>
      <c r="C47" s="1168">
        <f>SUM(C48:C52)</f>
        <v>18824000</v>
      </c>
      <c r="D47" s="1168">
        <f t="shared" ref="D47:L47" si="5">SUM(D48:D52)</f>
        <v>18381000</v>
      </c>
      <c r="E47" s="1169">
        <f t="shared" si="5"/>
        <v>26300927</v>
      </c>
      <c r="F47" s="1170">
        <f t="shared" si="5"/>
        <v>25917000</v>
      </c>
      <c r="G47" s="1168">
        <f t="shared" si="5"/>
        <v>27217000</v>
      </c>
      <c r="H47" s="1171">
        <f t="shared" si="5"/>
        <v>27217000</v>
      </c>
      <c r="I47" s="1170">
        <f t="shared" si="5"/>
        <v>27217000</v>
      </c>
      <c r="J47" s="1172">
        <f t="shared" si="5"/>
        <v>76297000</v>
      </c>
      <c r="K47" s="1168">
        <f t="shared" si="5"/>
        <v>57349000</v>
      </c>
      <c r="L47" s="1455">
        <f t="shared" si="5"/>
        <v>27000000</v>
      </c>
      <c r="M47" s="373"/>
      <c r="Q47" s="253"/>
      <c r="R47" s="254"/>
    </row>
    <row r="48" spans="1:18" ht="11.25" customHeight="1">
      <c r="A48" s="1315" t="s">
        <v>148</v>
      </c>
      <c r="B48" s="1231"/>
      <c r="C48" s="1081">
        <v>4999000</v>
      </c>
      <c r="D48" s="1082">
        <v>3381000</v>
      </c>
      <c r="E48" s="1084">
        <v>4090355</v>
      </c>
      <c r="F48" s="1080">
        <v>7195000</v>
      </c>
      <c r="G48" s="1708">
        <v>8495000</v>
      </c>
      <c r="H48" s="1732">
        <v>8495000</v>
      </c>
      <c r="I48" s="1732">
        <v>8495000</v>
      </c>
      <c r="J48" s="1711">
        <f>16000000+47160000+2000000</f>
        <v>65160000</v>
      </c>
      <c r="K48" s="1708">
        <f>25869000+4500000</f>
        <v>30369000</v>
      </c>
      <c r="L48" s="1711">
        <f>7000000+20000000</f>
        <v>27000000</v>
      </c>
      <c r="M48" s="373"/>
      <c r="Q48" s="253"/>
      <c r="R48" s="254"/>
    </row>
    <row r="49" spans="1:18" ht="11.25" customHeight="1">
      <c r="A49" s="1315" t="s">
        <v>149</v>
      </c>
      <c r="B49" s="1231"/>
      <c r="C49" s="1081">
        <v>4182000</v>
      </c>
      <c r="D49" s="1082">
        <v>5000000</v>
      </c>
      <c r="E49" s="1084">
        <v>942636</v>
      </c>
      <c r="F49" s="1080">
        <v>9920000</v>
      </c>
      <c r="G49" s="1708">
        <v>9920000</v>
      </c>
      <c r="H49" s="1732">
        <v>9920000</v>
      </c>
      <c r="I49" s="1732">
        <v>9920000</v>
      </c>
      <c r="J49" s="1711"/>
      <c r="K49" s="1708">
        <v>3800000</v>
      </c>
      <c r="L49" s="1711"/>
      <c r="M49" s="373"/>
      <c r="Q49" s="253"/>
      <c r="R49" s="254"/>
    </row>
    <row r="50" spans="1:18" ht="11.25" customHeight="1">
      <c r="A50" s="1315" t="s">
        <v>150</v>
      </c>
      <c r="B50" s="1231"/>
      <c r="C50" s="1081">
        <v>7446000</v>
      </c>
      <c r="D50" s="1082"/>
      <c r="E50" s="1084">
        <v>18103300</v>
      </c>
      <c r="F50" s="1080">
        <v>5770000</v>
      </c>
      <c r="G50" s="1708">
        <v>5770000</v>
      </c>
      <c r="H50" s="1732">
        <v>5770000</v>
      </c>
      <c r="I50" s="1732">
        <v>5770000</v>
      </c>
      <c r="J50" s="1711"/>
      <c r="K50" s="1708"/>
      <c r="L50" s="1711"/>
      <c r="M50" s="373"/>
      <c r="Q50" s="253"/>
      <c r="R50" s="254"/>
    </row>
    <row r="51" spans="1:18" ht="11.25" customHeight="1">
      <c r="A51" s="1315" t="s">
        <v>1873</v>
      </c>
      <c r="B51" s="1231"/>
      <c r="C51" s="1081">
        <v>40000</v>
      </c>
      <c r="D51" s="1082">
        <v>10000000</v>
      </c>
      <c r="E51" s="1084">
        <v>2370172</v>
      </c>
      <c r="F51" s="1080"/>
      <c r="G51" s="1708">
        <v>0</v>
      </c>
      <c r="H51" s="1732">
        <v>0</v>
      </c>
      <c r="I51" s="1732">
        <v>0</v>
      </c>
      <c r="J51" s="1711"/>
      <c r="K51" s="1708">
        <v>10000000</v>
      </c>
      <c r="L51" s="1711"/>
      <c r="M51" s="373"/>
      <c r="Q51" s="253"/>
      <c r="R51" s="254"/>
    </row>
    <row r="52" spans="1:18" ht="11.25" customHeight="1">
      <c r="A52" s="1315" t="s">
        <v>1957</v>
      </c>
      <c r="B52" s="1231"/>
      <c r="C52" s="2242">
        <v>2157000</v>
      </c>
      <c r="D52" s="2243"/>
      <c r="E52" s="2246">
        <v>794464</v>
      </c>
      <c r="F52" s="2214">
        <v>3032000</v>
      </c>
      <c r="G52" s="1733">
        <v>3032000</v>
      </c>
      <c r="H52" s="1736">
        <v>3032000</v>
      </c>
      <c r="I52" s="1736">
        <v>3032000</v>
      </c>
      <c r="J52" s="2337">
        <v>11137000</v>
      </c>
      <c r="K52" s="1733">
        <v>13180000</v>
      </c>
      <c r="L52" s="1742"/>
      <c r="M52" s="373"/>
      <c r="Q52" s="253"/>
      <c r="R52" s="254"/>
    </row>
    <row r="53" spans="1:18" ht="11.25" customHeight="1">
      <c r="A53" s="1314" t="s">
        <v>151</v>
      </c>
      <c r="B53" s="1167"/>
      <c r="C53" s="1168">
        <f>SUM(C54:C56)</f>
        <v>79148000</v>
      </c>
      <c r="D53" s="1168">
        <f t="shared" ref="D53:L53" si="6">SUM(D54:D56)</f>
        <v>138242000</v>
      </c>
      <c r="E53" s="1169">
        <f t="shared" si="6"/>
        <v>34815824</v>
      </c>
      <c r="F53" s="1170">
        <f t="shared" si="6"/>
        <v>87034375</v>
      </c>
      <c r="G53" s="1168">
        <f t="shared" si="6"/>
        <v>97034375</v>
      </c>
      <c r="H53" s="1171">
        <f t="shared" si="6"/>
        <v>97034375</v>
      </c>
      <c r="I53" s="1170">
        <f t="shared" si="6"/>
        <v>97034375</v>
      </c>
      <c r="J53" s="1172">
        <f t="shared" si="6"/>
        <v>126175000</v>
      </c>
      <c r="K53" s="1168">
        <f t="shared" si="6"/>
        <v>206470300</v>
      </c>
      <c r="L53" s="1455">
        <f t="shared" si="6"/>
        <v>187215000</v>
      </c>
      <c r="M53" s="373"/>
      <c r="Q53" s="253"/>
      <c r="R53" s="254"/>
    </row>
    <row r="54" spans="1:18" ht="11.25" customHeight="1">
      <c r="A54" s="1315" t="s">
        <v>152</v>
      </c>
      <c r="B54" s="1231"/>
      <c r="C54" s="1077">
        <v>9257000</v>
      </c>
      <c r="D54" s="1078">
        <v>3650000</v>
      </c>
      <c r="E54" s="1078">
        <v>2234530</v>
      </c>
      <c r="F54" s="1080">
        <v>15719000</v>
      </c>
      <c r="G54" s="1708">
        <v>5719000</v>
      </c>
      <c r="H54" s="1732">
        <v>5719000</v>
      </c>
      <c r="I54" s="1732">
        <v>5719000</v>
      </c>
      <c r="J54" s="1077"/>
      <c r="K54" s="1708"/>
      <c r="L54" s="1711"/>
      <c r="M54" s="373"/>
      <c r="Q54" s="253"/>
      <c r="R54" s="254"/>
    </row>
    <row r="55" spans="1:18" ht="11.25" customHeight="1">
      <c r="A55" s="1315" t="s">
        <v>153</v>
      </c>
      <c r="B55" s="1231"/>
      <c r="C55" s="1077">
        <v>69891000</v>
      </c>
      <c r="D55" s="1078">
        <v>134592000</v>
      </c>
      <c r="E55" s="1078">
        <v>32581294</v>
      </c>
      <c r="F55" s="1080">
        <v>71315375</v>
      </c>
      <c r="G55" s="1708">
        <v>91315375</v>
      </c>
      <c r="H55" s="1732">
        <v>91315375</v>
      </c>
      <c r="I55" s="1732">
        <v>91315375</v>
      </c>
      <c r="J55" s="1077">
        <v>126175000</v>
      </c>
      <c r="K55" s="1708">
        <v>206470300</v>
      </c>
      <c r="L55" s="1711">
        <v>187215000</v>
      </c>
      <c r="M55" s="373"/>
      <c r="Q55" s="253"/>
      <c r="R55" s="254"/>
    </row>
    <row r="56" spans="1:18" ht="11.25" customHeight="1">
      <c r="A56" s="1315" t="s">
        <v>154</v>
      </c>
      <c r="B56" s="1231"/>
      <c r="C56" s="1081"/>
      <c r="D56" s="1082"/>
      <c r="E56" s="1084"/>
      <c r="F56" s="1080"/>
      <c r="G56" s="1708">
        <v>0</v>
      </c>
      <c r="H56" s="1732">
        <v>0</v>
      </c>
      <c r="I56" s="1731"/>
      <c r="J56" s="1711"/>
      <c r="K56" s="1708"/>
      <c r="L56" s="1711"/>
      <c r="M56" s="373"/>
      <c r="Q56" s="253"/>
      <c r="R56" s="254"/>
    </row>
    <row r="57" spans="1:18" ht="11.25" customHeight="1">
      <c r="A57" s="1314" t="s">
        <v>155</v>
      </c>
      <c r="B57" s="1167"/>
      <c r="C57" s="1168">
        <f>SUM(C58:C61)</f>
        <v>88544000</v>
      </c>
      <c r="D57" s="1168">
        <f t="shared" ref="D57:L57" si="7">SUM(D58:D61)</f>
        <v>69494000</v>
      </c>
      <c r="E57" s="1169">
        <f t="shared" si="7"/>
        <v>95411842</v>
      </c>
      <c r="F57" s="1170">
        <f t="shared" si="7"/>
        <v>128421628</v>
      </c>
      <c r="G57" s="1168">
        <f t="shared" si="7"/>
        <v>186095369</v>
      </c>
      <c r="H57" s="1171">
        <f t="shared" si="7"/>
        <v>186095369</v>
      </c>
      <c r="I57" s="1170">
        <f t="shared" si="7"/>
        <v>186095369</v>
      </c>
      <c r="J57" s="1172">
        <f t="shared" si="7"/>
        <v>173341300</v>
      </c>
      <c r="K57" s="1168">
        <f t="shared" si="7"/>
        <v>42500000</v>
      </c>
      <c r="L57" s="1455">
        <f t="shared" si="7"/>
        <v>0</v>
      </c>
      <c r="M57" s="373"/>
      <c r="Q57" s="253"/>
      <c r="R57" s="254"/>
    </row>
    <row r="58" spans="1:18" ht="11.25" customHeight="1">
      <c r="A58" s="1315" t="s">
        <v>690</v>
      </c>
      <c r="B58" s="1231"/>
      <c r="C58" s="1077">
        <v>38461000</v>
      </c>
      <c r="D58" s="1078">
        <v>6000000</v>
      </c>
      <c r="E58" s="1078">
        <v>21458565</v>
      </c>
      <c r="F58" s="1080">
        <v>64000000</v>
      </c>
      <c r="G58" s="1708">
        <v>121373741</v>
      </c>
      <c r="H58" s="1732">
        <v>121373741</v>
      </c>
      <c r="I58" s="1732">
        <v>121373741</v>
      </c>
      <c r="J58" s="1759">
        <v>60361300</v>
      </c>
      <c r="K58" s="1708"/>
      <c r="L58" s="1711"/>
      <c r="M58" s="373"/>
      <c r="Q58" s="253"/>
      <c r="R58" s="254"/>
    </row>
    <row r="59" spans="1:18" ht="11.25" customHeight="1">
      <c r="A59" s="1315" t="s">
        <v>1037</v>
      </c>
      <c r="B59" s="1231"/>
      <c r="C59" s="1077">
        <v>14567000</v>
      </c>
      <c r="D59" s="1078">
        <v>9273000</v>
      </c>
      <c r="E59" s="1078">
        <v>16849925</v>
      </c>
      <c r="F59" s="1080">
        <v>33169628</v>
      </c>
      <c r="G59" s="1708">
        <v>33169628</v>
      </c>
      <c r="H59" s="1732">
        <v>33169628</v>
      </c>
      <c r="I59" s="1732">
        <v>33169628</v>
      </c>
      <c r="J59" s="1077">
        <v>106503000</v>
      </c>
      <c r="K59" s="1708">
        <v>42500000</v>
      </c>
      <c r="L59" s="1711"/>
      <c r="M59" s="373"/>
      <c r="Q59" s="253"/>
      <c r="R59" s="254"/>
    </row>
    <row r="60" spans="1:18" ht="11.25" customHeight="1">
      <c r="A60" s="1315" t="s">
        <v>1225</v>
      </c>
      <c r="B60" s="1231"/>
      <c r="C60" s="2242">
        <v>34583000</v>
      </c>
      <c r="D60" s="2243">
        <v>54221000</v>
      </c>
      <c r="E60" s="2246">
        <v>53476958</v>
      </c>
      <c r="F60" s="2214">
        <v>21000000</v>
      </c>
      <c r="G60" s="1733">
        <v>21300000</v>
      </c>
      <c r="H60" s="1736">
        <v>21300000</v>
      </c>
      <c r="I60" s="1736">
        <v>21300000</v>
      </c>
      <c r="J60" s="2337"/>
      <c r="K60" s="1733"/>
      <c r="L60" s="1742"/>
      <c r="M60" s="373"/>
      <c r="Q60" s="253"/>
      <c r="R60" s="254"/>
    </row>
    <row r="61" spans="1:18" ht="11.25" customHeight="1">
      <c r="A61" s="1315" t="s">
        <v>1226</v>
      </c>
      <c r="B61" s="1231"/>
      <c r="C61" s="1081">
        <v>933000</v>
      </c>
      <c r="D61" s="1082"/>
      <c r="E61" s="1084">
        <v>3626394</v>
      </c>
      <c r="F61" s="1080">
        <v>10252000</v>
      </c>
      <c r="G61" s="1708">
        <v>10252000</v>
      </c>
      <c r="H61" s="1732">
        <v>10252000</v>
      </c>
      <c r="I61" s="1732">
        <v>10252000</v>
      </c>
      <c r="J61" s="1711">
        <v>6477000</v>
      </c>
      <c r="K61" s="1708"/>
      <c r="L61" s="1711"/>
      <c r="M61" s="373"/>
      <c r="Q61" s="253"/>
      <c r="R61" s="254"/>
    </row>
    <row r="62" spans="1:18" ht="11.25" customHeight="1">
      <c r="A62" s="1314" t="s">
        <v>301</v>
      </c>
      <c r="B62" s="1167"/>
      <c r="C62" s="1081">
        <v>1857000</v>
      </c>
      <c r="D62" s="1082">
        <v>3800000</v>
      </c>
      <c r="E62" s="1758">
        <v>4104264</v>
      </c>
      <c r="F62" s="1080">
        <v>23508000</v>
      </c>
      <c r="G62" s="1743">
        <v>23508000</v>
      </c>
      <c r="H62" s="1746">
        <v>23508000</v>
      </c>
      <c r="I62" s="1746">
        <v>23508000</v>
      </c>
      <c r="J62" s="1759">
        <f>16000000</f>
        <v>16000000</v>
      </c>
      <c r="K62" s="1747"/>
      <c r="L62" s="1748"/>
      <c r="M62" s="373"/>
      <c r="Q62" s="253"/>
      <c r="R62" s="254"/>
    </row>
    <row r="63" spans="1:18">
      <c r="A63" s="333" t="s">
        <v>1344</v>
      </c>
      <c r="B63" s="307">
        <v>3</v>
      </c>
      <c r="C63" s="228">
        <f>C43+C47+C53+C57+C62</f>
        <v>197074000</v>
      </c>
      <c r="D63" s="228">
        <f t="shared" ref="D63:K63" si="8">D43+D47+D53+D57+D62</f>
        <v>236817000</v>
      </c>
      <c r="E63" s="354">
        <f t="shared" si="8"/>
        <v>176033493</v>
      </c>
      <c r="F63" s="355">
        <f t="shared" si="8"/>
        <v>295937266</v>
      </c>
      <c r="G63" s="228">
        <f t="shared" si="8"/>
        <v>394548007</v>
      </c>
      <c r="H63" s="354">
        <f t="shared" si="8"/>
        <v>394548007</v>
      </c>
      <c r="I63" s="227">
        <f t="shared" si="8"/>
        <v>394548007</v>
      </c>
      <c r="J63" s="355">
        <f t="shared" si="8"/>
        <v>411313300</v>
      </c>
      <c r="K63" s="228">
        <f t="shared" si="8"/>
        <v>310819300</v>
      </c>
      <c r="L63" s="354">
        <f>L43+L47+L53+L57+L62</f>
        <v>214215000</v>
      </c>
      <c r="M63" s="373"/>
    </row>
    <row r="64" spans="1:18" ht="5.0999999999999996" customHeight="1">
      <c r="A64" s="198"/>
      <c r="B64" s="294"/>
      <c r="C64" s="219"/>
      <c r="D64" s="219"/>
      <c r="E64" s="218"/>
      <c r="F64" s="221"/>
      <c r="G64" s="219"/>
      <c r="H64" s="220"/>
      <c r="I64" s="218"/>
      <c r="J64" s="221"/>
      <c r="K64" s="219"/>
      <c r="L64" s="220"/>
      <c r="M64" s="373"/>
    </row>
    <row r="65" spans="1:13" ht="11.25" customHeight="1">
      <c r="A65" s="182" t="s">
        <v>521</v>
      </c>
      <c r="B65" s="294"/>
      <c r="C65" s="204"/>
      <c r="D65" s="204"/>
      <c r="E65" s="203"/>
      <c r="F65" s="206"/>
      <c r="G65" s="204"/>
      <c r="H65" s="205"/>
      <c r="I65" s="203"/>
      <c r="J65" s="206"/>
      <c r="K65" s="204"/>
      <c r="L65" s="205"/>
      <c r="M65" s="373"/>
    </row>
    <row r="66" spans="1:13" ht="11.25" customHeight="1">
      <c r="A66" s="421" t="s">
        <v>1698</v>
      </c>
      <c r="B66" s="294"/>
      <c r="C66" s="1083">
        <f>71092068+24859209</f>
        <v>95951277</v>
      </c>
      <c r="D66" s="1082">
        <v>74217000</v>
      </c>
      <c r="E66" s="1082">
        <v>77036695</v>
      </c>
      <c r="F66" s="1712">
        <v>136513266</v>
      </c>
      <c r="G66" s="1708">
        <v>126513266</v>
      </c>
      <c r="H66" s="1730">
        <v>126513266</v>
      </c>
      <c r="I66" s="1730">
        <v>126513266</v>
      </c>
      <c r="J66" s="1081">
        <v>303122000</v>
      </c>
      <c r="K66" s="1708">
        <v>262258000</v>
      </c>
      <c r="L66" s="1730">
        <v>214215000</v>
      </c>
      <c r="M66" s="373"/>
    </row>
    <row r="67" spans="1:13" ht="11.25" customHeight="1">
      <c r="A67" s="421" t="s">
        <v>574</v>
      </c>
      <c r="B67" s="294"/>
      <c r="C67" s="1083">
        <v>2827856</v>
      </c>
      <c r="D67" s="1082">
        <v>12600000</v>
      </c>
      <c r="E67" s="1082">
        <v>1370542</v>
      </c>
      <c r="F67" s="1712"/>
      <c r="G67" s="1708"/>
      <c r="H67" s="1730"/>
      <c r="I67" s="1732"/>
      <c r="J67" s="1081"/>
      <c r="K67" s="1708"/>
      <c r="L67" s="1730"/>
      <c r="M67" s="373"/>
    </row>
    <row r="68" spans="1:13" ht="11.25" customHeight="1">
      <c r="A68" s="421" t="s">
        <v>575</v>
      </c>
      <c r="B68" s="294"/>
      <c r="C68" s="2244">
        <v>0</v>
      </c>
      <c r="D68" s="2243"/>
      <c r="E68" s="2243"/>
      <c r="F68" s="1712"/>
      <c r="G68" s="1733"/>
      <c r="H68" s="1734"/>
      <c r="I68" s="1732"/>
      <c r="J68" s="2242"/>
      <c r="K68" s="1733"/>
      <c r="L68" s="1734"/>
      <c r="M68" s="373"/>
    </row>
    <row r="69" spans="1:13" ht="11.25" customHeight="1">
      <c r="A69" s="1324" t="s">
        <v>1123</v>
      </c>
      <c r="B69" s="294"/>
      <c r="C69" s="2249"/>
      <c r="D69" s="2243"/>
      <c r="E69" s="2243"/>
      <c r="F69" s="1712"/>
      <c r="G69" s="1733"/>
      <c r="H69" s="1734"/>
      <c r="I69" s="1731"/>
      <c r="J69" s="2242"/>
      <c r="K69" s="1733"/>
      <c r="L69" s="1734"/>
      <c r="M69" s="373"/>
    </row>
    <row r="70" spans="1:13" ht="11.25" customHeight="1">
      <c r="A70" s="1638" t="s">
        <v>1475</v>
      </c>
      <c r="B70" s="294">
        <v>4</v>
      </c>
      <c r="C70" s="214">
        <f t="shared" ref="C70:L70" si="9">SUM(C66:C69)</f>
        <v>98779133</v>
      </c>
      <c r="D70" s="214">
        <f t="shared" si="9"/>
        <v>86817000</v>
      </c>
      <c r="E70" s="213">
        <f t="shared" si="9"/>
        <v>78407237</v>
      </c>
      <c r="F70" s="216">
        <f t="shared" si="9"/>
        <v>136513266</v>
      </c>
      <c r="G70" s="214">
        <f t="shared" si="9"/>
        <v>126513266</v>
      </c>
      <c r="H70" s="215">
        <f t="shared" si="9"/>
        <v>126513266</v>
      </c>
      <c r="I70" s="213">
        <f t="shared" si="9"/>
        <v>126513266</v>
      </c>
      <c r="J70" s="216">
        <f t="shared" si="9"/>
        <v>303122000</v>
      </c>
      <c r="K70" s="214">
        <f t="shared" si="9"/>
        <v>262258000</v>
      </c>
      <c r="L70" s="215">
        <f t="shared" si="9"/>
        <v>214215000</v>
      </c>
      <c r="M70" s="1643"/>
    </row>
    <row r="71" spans="1:13" ht="11.25" customHeight="1">
      <c r="A71" s="420" t="s">
        <v>483</v>
      </c>
      <c r="B71" s="294">
        <v>5</v>
      </c>
      <c r="C71" s="1083"/>
      <c r="D71" s="1082"/>
      <c r="E71" s="1082"/>
      <c r="F71" s="1712"/>
      <c r="G71" s="1708"/>
      <c r="H71" s="1730"/>
      <c r="I71" s="1732"/>
      <c r="J71" s="1081"/>
      <c r="K71" s="1708"/>
      <c r="L71" s="1730"/>
      <c r="M71" s="373"/>
    </row>
    <row r="72" spans="1:13" ht="11.25" customHeight="1">
      <c r="A72" s="420" t="s">
        <v>1392</v>
      </c>
      <c r="B72" s="294">
        <v>6</v>
      </c>
      <c r="C72" s="1083">
        <v>98295000</v>
      </c>
      <c r="D72" s="1082">
        <v>150000000</v>
      </c>
      <c r="E72" s="1082">
        <v>97626257</v>
      </c>
      <c r="F72" s="1712">
        <v>159424000</v>
      </c>
      <c r="G72" s="1708">
        <v>268034741</v>
      </c>
      <c r="H72" s="1730">
        <v>268034741</v>
      </c>
      <c r="I72" s="1730">
        <v>268034741</v>
      </c>
      <c r="J72" s="1081">
        <v>108191000</v>
      </c>
      <c r="K72" s="1708">
        <v>48561000</v>
      </c>
      <c r="L72" s="1730"/>
      <c r="M72" s="373"/>
    </row>
    <row r="73" spans="1:13" ht="11.25" customHeight="1">
      <c r="A73" s="420" t="s">
        <v>522</v>
      </c>
      <c r="B73" s="294"/>
      <c r="C73" s="1083"/>
      <c r="D73" s="1082"/>
      <c r="E73" s="1082"/>
      <c r="F73" s="1712"/>
      <c r="G73" s="1708"/>
      <c r="H73" s="1730"/>
      <c r="I73" s="1732"/>
      <c r="J73" s="1081"/>
      <c r="K73" s="1708"/>
      <c r="L73" s="1730"/>
      <c r="M73" s="373"/>
    </row>
    <row r="74" spans="1:13">
      <c r="A74" s="225" t="s">
        <v>829</v>
      </c>
      <c r="B74" s="307">
        <v>7</v>
      </c>
      <c r="C74" s="231">
        <f t="shared" ref="C74:L74" si="10">SUM(C70:C73)</f>
        <v>197074133</v>
      </c>
      <c r="D74" s="231">
        <f t="shared" si="10"/>
        <v>236817000</v>
      </c>
      <c r="E74" s="232">
        <f t="shared" si="10"/>
        <v>176033494</v>
      </c>
      <c r="F74" s="230">
        <f t="shared" si="10"/>
        <v>295937266</v>
      </c>
      <c r="G74" s="231">
        <f t="shared" si="10"/>
        <v>394548007</v>
      </c>
      <c r="H74" s="229">
        <f t="shared" si="10"/>
        <v>394548007</v>
      </c>
      <c r="I74" s="232">
        <f t="shared" si="10"/>
        <v>394548007</v>
      </c>
      <c r="J74" s="230">
        <f t="shared" si="10"/>
        <v>411313000</v>
      </c>
      <c r="K74" s="231">
        <f t="shared" si="10"/>
        <v>310819000</v>
      </c>
      <c r="L74" s="229">
        <f t="shared" si="10"/>
        <v>214215000</v>
      </c>
      <c r="M74" s="373"/>
    </row>
    <row r="75" spans="1:13" s="722" customFormat="1">
      <c r="A75" s="1276" t="str">
        <f>head27a</f>
        <v>References</v>
      </c>
      <c r="B75" s="1237"/>
      <c r="C75" s="1240"/>
      <c r="D75" s="1240"/>
      <c r="E75" s="1240"/>
      <c r="F75" s="1240"/>
      <c r="G75" s="1240"/>
      <c r="H75" s="1240"/>
      <c r="I75" s="1240"/>
      <c r="J75" s="1240"/>
      <c r="K75" s="1240"/>
      <c r="L75" s="1240"/>
      <c r="M75" s="1114"/>
    </row>
    <row r="76" spans="1:13" s="722" customFormat="1" ht="12" customHeight="1">
      <c r="A76" s="1238" t="s">
        <v>200</v>
      </c>
      <c r="B76" s="1237"/>
      <c r="C76" s="1239"/>
      <c r="D76" s="1239"/>
      <c r="E76" s="1240"/>
      <c r="F76" s="1240"/>
      <c r="G76" s="1240"/>
      <c r="H76" s="1240"/>
      <c r="I76" s="1240"/>
      <c r="J76" s="1240"/>
      <c r="K76" s="1240"/>
      <c r="L76" s="1240"/>
      <c r="M76" s="1114"/>
    </row>
    <row r="77" spans="1:13" s="722" customFormat="1" ht="12" customHeight="1">
      <c r="A77" s="2432" t="s">
        <v>1124</v>
      </c>
      <c r="B77" s="2432"/>
      <c r="C77" s="2432"/>
      <c r="D77" s="2432"/>
      <c r="E77" s="2432"/>
      <c r="F77" s="2432"/>
      <c r="G77" s="2432"/>
      <c r="H77" s="2432"/>
      <c r="I77" s="2432"/>
      <c r="J77" s="2432"/>
      <c r="K77" s="2432"/>
      <c r="L77" s="2432"/>
      <c r="M77" s="1114"/>
    </row>
    <row r="78" spans="1:13" s="722" customFormat="1" ht="12" customHeight="1">
      <c r="A78" s="2432" t="s">
        <v>1125</v>
      </c>
      <c r="B78" s="2432"/>
      <c r="C78" s="2432"/>
      <c r="D78" s="2432"/>
      <c r="E78" s="2432"/>
      <c r="F78" s="2432"/>
      <c r="G78" s="2432"/>
      <c r="H78" s="2432"/>
      <c r="I78" s="2432"/>
      <c r="J78" s="2432"/>
      <c r="K78" s="2432"/>
      <c r="L78" s="2432"/>
      <c r="M78" s="1114"/>
    </row>
    <row r="79" spans="1:13" s="722" customFormat="1" ht="12" customHeight="1">
      <c r="A79" s="2433" t="s">
        <v>1126</v>
      </c>
      <c r="B79" s="2433"/>
      <c r="C79" s="2433"/>
      <c r="D79" s="2433"/>
      <c r="E79" s="2433"/>
      <c r="F79" s="2433"/>
      <c r="G79" s="2433"/>
      <c r="H79" s="2433"/>
      <c r="I79" s="2433"/>
      <c r="J79" s="2433"/>
      <c r="K79" s="2433"/>
      <c r="L79" s="2433"/>
      <c r="M79" s="1114"/>
    </row>
    <row r="80" spans="1:13" s="722" customFormat="1" ht="12" customHeight="1">
      <c r="A80" s="1238" t="s">
        <v>201</v>
      </c>
      <c r="B80" s="1310"/>
      <c r="C80" s="1310"/>
      <c r="D80" s="1310"/>
      <c r="E80" s="1310"/>
      <c r="F80" s="1310"/>
      <c r="G80" s="1310"/>
      <c r="H80" s="1310"/>
      <c r="I80" s="1310"/>
      <c r="J80" s="1310"/>
      <c r="K80" s="1310"/>
      <c r="L80" s="1310"/>
      <c r="M80" s="1114"/>
    </row>
    <row r="81" spans="1:13" s="722" customFormat="1" ht="12" customHeight="1">
      <c r="A81" s="1238" t="s">
        <v>1127</v>
      </c>
      <c r="B81" s="1310"/>
      <c r="C81" s="1310"/>
      <c r="D81" s="1310"/>
      <c r="E81" s="1310"/>
      <c r="F81" s="1310"/>
      <c r="G81" s="1310"/>
      <c r="H81" s="1310"/>
      <c r="I81" s="1310"/>
      <c r="J81" s="1310"/>
      <c r="K81" s="1310"/>
      <c r="L81" s="1310"/>
      <c r="M81" s="1114"/>
    </row>
    <row r="82" spans="1:13" s="722" customFormat="1" ht="12" customHeight="1">
      <c r="A82" s="1238" t="s">
        <v>202</v>
      </c>
      <c r="B82" s="1237"/>
      <c r="C82" s="1239"/>
      <c r="D82" s="1239"/>
      <c r="E82" s="1240"/>
      <c r="F82" s="1240"/>
      <c r="G82" s="1240"/>
      <c r="H82" s="1240"/>
      <c r="I82" s="1240"/>
      <c r="J82" s="1240"/>
      <c r="K82" s="1240"/>
      <c r="L82" s="1240"/>
      <c r="M82" s="1114"/>
    </row>
    <row r="83" spans="1:13" s="1088" customFormat="1" ht="12" customHeight="1">
      <c r="A83" s="2431" t="s">
        <v>1585</v>
      </c>
      <c r="B83" s="2431"/>
      <c r="C83" s="2431"/>
      <c r="D83" s="2431"/>
      <c r="E83" s="2431"/>
      <c r="F83" s="2431"/>
      <c r="G83" s="2431"/>
      <c r="H83" s="2431"/>
      <c r="I83" s="2431"/>
      <c r="J83" s="2431"/>
      <c r="K83" s="2431"/>
      <c r="L83" s="2431"/>
      <c r="M83" s="1644"/>
    </row>
    <row r="84" spans="1:13" s="1088" customFormat="1" ht="11.25" customHeight="1">
      <c r="M84" s="1644"/>
    </row>
    <row r="85" spans="1:13" ht="11.25" customHeight="1">
      <c r="A85" s="289" t="s">
        <v>304</v>
      </c>
      <c r="B85" s="244"/>
      <c r="C85" s="339">
        <f t="shared" ref="C85:I85" si="11">C21-C74</f>
        <v>-197074133</v>
      </c>
      <c r="D85" s="339">
        <f t="shared" si="11"/>
        <v>-236817000</v>
      </c>
      <c r="E85" s="340">
        <f t="shared" si="11"/>
        <v>-2</v>
      </c>
      <c r="F85" s="341">
        <f t="shared" si="11"/>
        <v>0</v>
      </c>
      <c r="G85" s="340">
        <f t="shared" si="11"/>
        <v>0</v>
      </c>
      <c r="H85" s="340">
        <f t="shared" si="11"/>
        <v>0</v>
      </c>
      <c r="I85" s="340">
        <f t="shared" si="11"/>
        <v>0</v>
      </c>
      <c r="J85" s="340">
        <f>J21-J74</f>
        <v>300</v>
      </c>
      <c r="K85" s="340">
        <f>K21-K74</f>
        <v>300</v>
      </c>
      <c r="L85" s="340">
        <f>L21-L74</f>
        <v>0</v>
      </c>
    </row>
    <row r="86" spans="1:13" ht="11.25" customHeight="1">
      <c r="A86" s="289"/>
      <c r="C86" s="339"/>
      <c r="D86" s="339"/>
      <c r="E86" s="340"/>
      <c r="F86" s="341"/>
      <c r="G86" s="340"/>
      <c r="H86" s="340"/>
      <c r="I86" s="340"/>
      <c r="J86" s="340"/>
      <c r="K86" s="340"/>
      <c r="L86" s="340"/>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A35B"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O342"/>
  <sheetViews>
    <sheetView showGridLines="0" topLeftCell="A163" workbookViewId="0">
      <selection activeCell="J171" sqref="J171:L171"/>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11.7109375" style="150" bestFit="1"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3" s="180" customFormat="1">
      <c r="A1" s="148" t="str">
        <f>muni&amp;" - "&amp;Approve5</f>
        <v>KZN225 Msunduzi - Table A5 Budgeted Capital Expenditure by vote, standard classification and funding</v>
      </c>
      <c r="B1" s="148"/>
      <c r="C1" s="148"/>
      <c r="D1" s="148"/>
      <c r="E1" s="148"/>
      <c r="F1" s="148"/>
      <c r="G1" s="148"/>
      <c r="H1" s="148"/>
      <c r="I1" s="148"/>
      <c r="J1" s="148"/>
      <c r="K1" s="148"/>
      <c r="L1" s="148"/>
    </row>
    <row r="2" spans="1:13" ht="28.5" customHeight="1">
      <c r="A2" s="1001" t="str">
        <f>Vdesc</f>
        <v>Vote 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3" ht="25.5">
      <c r="A3" s="181" t="s">
        <v>703</v>
      </c>
      <c r="B3" s="291">
        <v>1</v>
      </c>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row>
    <row r="4" spans="1:13">
      <c r="A4" s="182" t="s">
        <v>1977</v>
      </c>
      <c r="B4" s="292"/>
      <c r="C4" s="312"/>
      <c r="D4" s="312"/>
      <c r="E4" s="313"/>
      <c r="F4" s="314"/>
      <c r="G4" s="312"/>
      <c r="H4" s="315"/>
      <c r="I4" s="313"/>
      <c r="J4" s="314"/>
      <c r="K4" s="312"/>
      <c r="L4" s="315"/>
    </row>
    <row r="5" spans="1:13" ht="11.25" customHeight="1">
      <c r="A5" s="182" t="s">
        <v>406</v>
      </c>
      <c r="B5" s="294">
        <v>2</v>
      </c>
      <c r="C5" s="316"/>
      <c r="D5" s="316"/>
      <c r="E5" s="317"/>
      <c r="F5" s="318"/>
      <c r="G5" s="316"/>
      <c r="H5" s="319"/>
      <c r="I5" s="317"/>
      <c r="J5" s="318"/>
      <c r="K5" s="316"/>
      <c r="L5" s="319"/>
    </row>
    <row r="6" spans="1:13" ht="11.25" customHeight="1">
      <c r="A6" s="1209" t="str">
        <f>A3A!A5</f>
        <v>Vote 1 - Corporate Services and Planning</v>
      </c>
      <c r="B6" s="1007"/>
      <c r="C6" s="1002">
        <f>SUM(C7:C16)</f>
        <v>0</v>
      </c>
      <c r="D6" s="1002">
        <f t="shared" ref="D6:L6" si="0">SUM(D7:D16)</f>
        <v>0</v>
      </c>
      <c r="E6" s="1003">
        <f t="shared" si="0"/>
        <v>7373340</v>
      </c>
      <c r="F6" s="1004">
        <f>SUM(F7:F16)</f>
        <v>40128000</v>
      </c>
      <c r="G6" s="1002">
        <f t="shared" si="0"/>
        <v>41575000</v>
      </c>
      <c r="H6" s="1003">
        <f t="shared" si="0"/>
        <v>41575000</v>
      </c>
      <c r="I6" s="957">
        <f>SUM(I7:I16)</f>
        <v>41575000</v>
      </c>
      <c r="J6" s="1004">
        <f t="shared" si="0"/>
        <v>36560000</v>
      </c>
      <c r="K6" s="1002">
        <f t="shared" si="0"/>
        <v>29600000</v>
      </c>
      <c r="L6" s="1003">
        <f t="shared" si="0"/>
        <v>20000000</v>
      </c>
      <c r="M6" s="1212"/>
    </row>
    <row r="7" spans="1:13" ht="11.25" customHeight="1">
      <c r="A7" s="1210" t="str">
        <f>A3A!A6</f>
        <v>Council and Committee Support</v>
      </c>
      <c r="B7" s="294"/>
      <c r="C7" s="1721"/>
      <c r="D7" s="1721"/>
      <c r="E7" s="1730">
        <f>5664+35032</f>
        <v>40696</v>
      </c>
      <c r="F7" s="1723"/>
      <c r="G7" s="1721">
        <v>47000</v>
      </c>
      <c r="H7" s="1722">
        <v>47000</v>
      </c>
      <c r="I7" s="1722">
        <v>47000</v>
      </c>
      <c r="J7" s="1723">
        <v>32060000</v>
      </c>
      <c r="K7" s="1721">
        <v>19000000</v>
      </c>
      <c r="L7" s="1722">
        <v>20000000</v>
      </c>
      <c r="M7" s="1211"/>
    </row>
    <row r="8" spans="1:13" ht="11.25" customHeight="1">
      <c r="A8" s="1210" t="str">
        <f>A3A!A7</f>
        <v>Enterprise  Wide Risk Management &amp; Audit and Compliance</v>
      </c>
      <c r="B8" s="294"/>
      <c r="C8" s="1721"/>
      <c r="D8" s="1721"/>
      <c r="E8" s="1722"/>
      <c r="F8" s="1723"/>
      <c r="G8" s="1721">
        <v>0</v>
      </c>
      <c r="H8" s="1722">
        <v>0</v>
      </c>
      <c r="I8" s="1722">
        <v>0</v>
      </c>
      <c r="J8" s="1723"/>
      <c r="K8" s="1721"/>
      <c r="L8" s="1722"/>
      <c r="M8" s="1211"/>
    </row>
    <row r="9" spans="1:13" ht="11.25" customHeight="1">
      <c r="A9" s="1210" t="str">
        <f>A3A!A8</f>
        <v>Human Resources Management</v>
      </c>
      <c r="B9" s="294"/>
      <c r="C9" s="1721"/>
      <c r="D9" s="1721"/>
      <c r="E9" s="1722">
        <v>8999</v>
      </c>
      <c r="F9" s="1723"/>
      <c r="G9" s="1721">
        <v>0</v>
      </c>
      <c r="H9" s="1722">
        <v>0</v>
      </c>
      <c r="I9" s="1722">
        <v>0</v>
      </c>
      <c r="J9" s="1723"/>
      <c r="K9" s="1721"/>
      <c r="L9" s="1722"/>
      <c r="M9" s="1211"/>
    </row>
    <row r="10" spans="1:13" ht="11.25" customHeight="1">
      <c r="A10" s="1210" t="str">
        <f>A3A!A9</f>
        <v>Legislative Compliance</v>
      </c>
      <c r="B10" s="294"/>
      <c r="C10" s="1721"/>
      <c r="D10" s="1721"/>
      <c r="E10" s="1722"/>
      <c r="F10" s="1723"/>
      <c r="G10" s="1721">
        <v>0</v>
      </c>
      <c r="H10" s="1722">
        <v>0</v>
      </c>
      <c r="I10" s="1722">
        <v>0</v>
      </c>
      <c r="J10" s="1723"/>
      <c r="K10" s="1721"/>
      <c r="L10" s="1722"/>
      <c r="M10" s="1211"/>
    </row>
    <row r="11" spans="1:13" ht="11.25" customHeight="1">
      <c r="A11" s="1210" t="str">
        <f>A3A!A10</f>
        <v>Local Economic Development Management</v>
      </c>
      <c r="B11" s="294"/>
      <c r="C11" s="1721"/>
      <c r="D11" s="1721"/>
      <c r="E11" s="1722">
        <v>980381</v>
      </c>
      <c r="F11" s="1725">
        <v>21558000</v>
      </c>
      <c r="G11" s="1721">
        <v>0</v>
      </c>
      <c r="H11" s="1722">
        <v>0</v>
      </c>
      <c r="I11" s="1722">
        <v>0</v>
      </c>
      <c r="J11" s="1723"/>
      <c r="K11" s="1721"/>
      <c r="L11" s="1722"/>
      <c r="M11" s="1211"/>
    </row>
    <row r="12" spans="1:13" ht="11.25" customHeight="1">
      <c r="A12" s="1210" t="str">
        <f>A3A!A11</f>
        <v>Management Information Services</v>
      </c>
      <c r="B12" s="294"/>
      <c r="C12" s="1721"/>
      <c r="D12" s="1721"/>
      <c r="E12" s="1722">
        <v>632597</v>
      </c>
      <c r="F12" s="1725">
        <v>10020000</v>
      </c>
      <c r="G12" s="1721">
        <v>11558000</v>
      </c>
      <c r="H12" s="1722">
        <v>11558000</v>
      </c>
      <c r="I12" s="1722">
        <v>11558000</v>
      </c>
      <c r="J12" s="1723"/>
      <c r="K12" s="1721"/>
      <c r="L12" s="1722"/>
      <c r="M12" s="1211"/>
    </row>
    <row r="13" spans="1:13" ht="11.25" customHeight="1">
      <c r="A13" s="1210" t="str">
        <f>A3A!A12</f>
        <v>Marketing and Public Relations Management</v>
      </c>
      <c r="B13" s="294"/>
      <c r="C13" s="1721"/>
      <c r="D13" s="1721"/>
      <c r="E13" s="1722">
        <v>5710667</v>
      </c>
      <c r="F13" s="1725">
        <v>8550000</v>
      </c>
      <c r="G13" s="1721">
        <v>21420000</v>
      </c>
      <c r="H13" s="1722">
        <v>21420000</v>
      </c>
      <c r="I13" s="1722">
        <v>21420000</v>
      </c>
      <c r="J13" s="1723">
        <v>4500000</v>
      </c>
      <c r="K13" s="1721">
        <v>4500000</v>
      </c>
      <c r="L13" s="1722"/>
      <c r="M13" s="1211"/>
    </row>
    <row r="14" spans="1:13" ht="11.25" customHeight="1">
      <c r="A14" s="1210" t="str">
        <f>A3A!A13</f>
        <v xml:space="preserve"> </v>
      </c>
      <c r="B14" s="294"/>
      <c r="C14" s="1721"/>
      <c r="D14" s="1721"/>
      <c r="E14" s="1722"/>
      <c r="F14" s="1723"/>
      <c r="G14" s="1721">
        <v>8550000</v>
      </c>
      <c r="H14" s="1722">
        <v>8550000</v>
      </c>
      <c r="I14" s="1722">
        <v>8550000</v>
      </c>
      <c r="J14" s="1723"/>
      <c r="K14" s="1721">
        <v>6100000</v>
      </c>
      <c r="L14" s="1722"/>
      <c r="M14" s="1211"/>
    </row>
    <row r="15" spans="1:13" ht="11.25" customHeight="1">
      <c r="A15" s="1210" t="str">
        <f>A3A!A14</f>
        <v xml:space="preserve"> </v>
      </c>
      <c r="B15" s="294"/>
      <c r="C15" s="1721"/>
      <c r="D15" s="1721"/>
      <c r="E15" s="1722"/>
      <c r="F15" s="1723"/>
      <c r="G15" s="1721"/>
      <c r="H15" s="1722"/>
      <c r="I15" s="1722"/>
      <c r="J15" s="1723"/>
      <c r="K15" s="1721"/>
      <c r="L15" s="1722"/>
      <c r="M15" s="1211"/>
    </row>
    <row r="16" spans="1:13" ht="11.25" customHeight="1">
      <c r="A16" s="1210" t="str">
        <f>A3A!A15</f>
        <v xml:space="preserve"> </v>
      </c>
      <c r="B16" s="294"/>
      <c r="C16" s="1721"/>
      <c r="D16" s="1721"/>
      <c r="E16" s="1722"/>
      <c r="F16" s="1723"/>
      <c r="G16" s="1721"/>
      <c r="H16" s="1722"/>
      <c r="I16" s="1724"/>
      <c r="J16" s="1723"/>
      <c r="K16" s="1721"/>
      <c r="L16" s="1722"/>
      <c r="M16" s="321"/>
    </row>
    <row r="17" spans="1:13" ht="11.25" customHeight="1">
      <c r="A17" s="1209" t="str">
        <f>A3A!A16</f>
        <v>Vote 2 - Financial Management Area</v>
      </c>
      <c r="B17" s="1007"/>
      <c r="C17" s="1002">
        <f>SUM(C18:C27)</f>
        <v>0</v>
      </c>
      <c r="D17" s="1002">
        <f t="shared" ref="D17:L17" si="1">SUM(D18:D27)</f>
        <v>0</v>
      </c>
      <c r="E17" s="1003">
        <f t="shared" si="1"/>
        <v>4975082</v>
      </c>
      <c r="F17" s="1004">
        <f t="shared" si="1"/>
        <v>0</v>
      </c>
      <c r="G17" s="1002">
        <f t="shared" si="1"/>
        <v>3190000</v>
      </c>
      <c r="H17" s="1003">
        <f t="shared" si="1"/>
        <v>3190000</v>
      </c>
      <c r="I17" s="1005">
        <f>SUM(I18:I27)</f>
        <v>3190000</v>
      </c>
      <c r="J17" s="1004">
        <f t="shared" si="1"/>
        <v>0</v>
      </c>
      <c r="K17" s="1002">
        <f t="shared" si="1"/>
        <v>0</v>
      </c>
      <c r="L17" s="1003">
        <f t="shared" si="1"/>
        <v>0</v>
      </c>
      <c r="M17" s="1213"/>
    </row>
    <row r="18" spans="1:13" ht="11.25" customHeight="1">
      <c r="A18" s="1210" t="str">
        <f>A3A!A17</f>
        <v>Budget &amp; Treasury Management</v>
      </c>
      <c r="B18" s="294"/>
      <c r="C18" s="1721"/>
      <c r="D18" s="1721"/>
      <c r="E18" s="1722">
        <v>4600270</v>
      </c>
      <c r="F18" s="1723"/>
      <c r="G18" s="1721">
        <v>0</v>
      </c>
      <c r="H18" s="1722">
        <v>0</v>
      </c>
      <c r="I18" s="1724"/>
      <c r="J18" s="1723"/>
      <c r="K18" s="1721"/>
      <c r="L18" s="1722"/>
      <c r="M18" s="1211"/>
    </row>
    <row r="19" spans="1:13" ht="11.25" customHeight="1">
      <c r="A19" s="1210" t="str">
        <f>A3A!A18</f>
        <v>Expenditure Management</v>
      </c>
      <c r="B19" s="294"/>
      <c r="C19" s="1721"/>
      <c r="D19" s="1721"/>
      <c r="E19" s="1722">
        <v>350132</v>
      </c>
      <c r="F19" s="1723"/>
      <c r="G19" s="1721">
        <v>3190000</v>
      </c>
      <c r="H19" s="1722">
        <v>3190000</v>
      </c>
      <c r="I19" s="1722">
        <v>3190000</v>
      </c>
      <c r="J19" s="1723"/>
      <c r="K19" s="1721"/>
      <c r="L19" s="1722"/>
      <c r="M19" s="1211"/>
    </row>
    <row r="20" spans="1:13" ht="11.25" customHeight="1">
      <c r="A20" s="1210" t="str">
        <f>A3A!A19</f>
        <v>Financial Control and Cash Management</v>
      </c>
      <c r="B20" s="294"/>
      <c r="C20" s="1721"/>
      <c r="D20" s="1721"/>
      <c r="E20" s="1722"/>
      <c r="F20" s="1723"/>
      <c r="G20" s="1721"/>
      <c r="H20" s="1722"/>
      <c r="I20" s="1724"/>
      <c r="J20" s="1723"/>
      <c r="K20" s="1721"/>
      <c r="L20" s="1722"/>
      <c r="M20" s="1211"/>
    </row>
    <row r="21" spans="1:13" ht="11.25" customHeight="1">
      <c r="A21" s="1210" t="str">
        <f>A3A!A20</f>
        <v>Revenue Management</v>
      </c>
      <c r="B21" s="294"/>
      <c r="C21" s="1721"/>
      <c r="D21" s="1721"/>
      <c r="E21" s="1722"/>
      <c r="F21" s="1723"/>
      <c r="G21" s="1721"/>
      <c r="H21" s="1722"/>
      <c r="I21" s="1724"/>
      <c r="J21" s="1723"/>
      <c r="K21" s="1721"/>
      <c r="L21" s="1722"/>
      <c r="M21" s="1211"/>
    </row>
    <row r="22" spans="1:13" ht="11.25" customHeight="1">
      <c r="A22" s="1210" t="str">
        <f>A3A!A21</f>
        <v>Supply Chain Management</v>
      </c>
      <c r="B22" s="294"/>
      <c r="C22" s="1721"/>
      <c r="D22" s="1721"/>
      <c r="E22" s="1722">
        <v>24680</v>
      </c>
      <c r="F22" s="1723"/>
      <c r="G22" s="1721"/>
      <c r="H22" s="1722"/>
      <c r="I22" s="1724"/>
      <c r="J22" s="1723"/>
      <c r="K22" s="1721"/>
      <c r="L22" s="1722"/>
      <c r="M22" s="1211"/>
    </row>
    <row r="23" spans="1:13" ht="11.25" customHeight="1">
      <c r="A23" s="1210" t="str">
        <f>A3A!A22</f>
        <v>Subvote example 6</v>
      </c>
      <c r="B23" s="294"/>
      <c r="C23" s="1721"/>
      <c r="D23" s="1721"/>
      <c r="E23" s="1722"/>
      <c r="F23" s="1723"/>
      <c r="G23" s="1721"/>
      <c r="H23" s="1722"/>
      <c r="I23" s="1724"/>
      <c r="J23" s="1723"/>
      <c r="K23" s="1721"/>
      <c r="L23" s="1722"/>
      <c r="M23" s="1211"/>
    </row>
    <row r="24" spans="1:13" ht="11.25" customHeight="1">
      <c r="A24" s="1210" t="str">
        <f>A3A!A23</f>
        <v>Subvote example 7</v>
      </c>
      <c r="B24" s="294"/>
      <c r="C24" s="1721"/>
      <c r="D24" s="1721"/>
      <c r="E24" s="1722"/>
      <c r="F24" s="1723"/>
      <c r="G24" s="1721"/>
      <c r="H24" s="1722"/>
      <c r="I24" s="1724"/>
      <c r="J24" s="1723"/>
      <c r="K24" s="1721"/>
      <c r="L24" s="1722"/>
      <c r="M24" s="1211"/>
    </row>
    <row r="25" spans="1:13" ht="11.25" customHeight="1">
      <c r="A25" s="1210" t="str">
        <f>A3A!A24</f>
        <v>Subvote example 8</v>
      </c>
      <c r="B25" s="294"/>
      <c r="C25" s="1721"/>
      <c r="D25" s="1721"/>
      <c r="E25" s="1722"/>
      <c r="F25" s="1723"/>
      <c r="G25" s="1721"/>
      <c r="H25" s="1722"/>
      <c r="I25" s="1724"/>
      <c r="J25" s="1723"/>
      <c r="K25" s="1721"/>
      <c r="L25" s="1722"/>
      <c r="M25" s="1211"/>
    </row>
    <row r="26" spans="1:13" ht="11.25" customHeight="1">
      <c r="A26" s="1210" t="str">
        <f>A3A!A25</f>
        <v>Subvote example 9</v>
      </c>
      <c r="B26" s="294"/>
      <c r="C26" s="1721"/>
      <c r="D26" s="1721"/>
      <c r="E26" s="1722"/>
      <c r="F26" s="1723"/>
      <c r="G26" s="1721"/>
      <c r="H26" s="1722"/>
      <c r="I26" s="1724"/>
      <c r="J26" s="1723"/>
      <c r="K26" s="1721"/>
      <c r="L26" s="1722"/>
      <c r="M26" s="1211"/>
    </row>
    <row r="27" spans="1:13" ht="11.25" customHeight="1">
      <c r="A27" s="1210" t="str">
        <f>A3A!A26</f>
        <v>Subvote example 9</v>
      </c>
      <c r="B27" s="294"/>
      <c r="C27" s="1721"/>
      <c r="D27" s="1721"/>
      <c r="E27" s="1722"/>
      <c r="F27" s="1723"/>
      <c r="G27" s="1721"/>
      <c r="H27" s="1722"/>
      <c r="I27" s="1724"/>
      <c r="J27" s="1723"/>
      <c r="K27" s="1721"/>
      <c r="L27" s="1722"/>
      <c r="M27" s="1211"/>
    </row>
    <row r="28" spans="1:13" ht="11.25" customHeight="1">
      <c r="A28" s="1209" t="str">
        <f>A3A!A27</f>
        <v>Vote 3 - Infrastructure Development, Service Delivery and Maintenance Management</v>
      </c>
      <c r="B28" s="1007"/>
      <c r="C28" s="1002">
        <f>SUM(C29:C38)</f>
        <v>0</v>
      </c>
      <c r="D28" s="1002">
        <f t="shared" ref="D28:L28" si="2">SUM(D29:D38)</f>
        <v>0</v>
      </c>
      <c r="E28" s="1003">
        <f t="shared" si="2"/>
        <v>130571819</v>
      </c>
      <c r="F28" s="1004">
        <f>SUM(F29:F38)</f>
        <v>200006003</v>
      </c>
      <c r="G28" s="1002">
        <f t="shared" si="2"/>
        <v>292679744</v>
      </c>
      <c r="H28" s="1003">
        <f t="shared" si="2"/>
        <v>292679744</v>
      </c>
      <c r="I28" s="1005">
        <f>SUM(I29:I38)</f>
        <v>292679744</v>
      </c>
      <c r="J28" s="1004">
        <f t="shared" si="2"/>
        <v>316516300</v>
      </c>
      <c r="K28" s="1002">
        <f t="shared" si="2"/>
        <v>263470300</v>
      </c>
      <c r="L28" s="1003">
        <f t="shared" si="2"/>
        <v>194215000</v>
      </c>
      <c r="M28" s="1211"/>
    </row>
    <row r="29" spans="1:13" ht="11.25" customHeight="1">
      <c r="A29" s="1210" t="str">
        <f>A3A!A28</f>
        <v>Electricity distribution Management</v>
      </c>
      <c r="B29" s="294"/>
      <c r="C29" s="1721"/>
      <c r="D29" s="1721"/>
      <c r="E29" s="1722">
        <v>21458565</v>
      </c>
      <c r="F29" s="1725">
        <v>64000000</v>
      </c>
      <c r="G29" s="1721">
        <v>121373741</v>
      </c>
      <c r="H29" s="1722">
        <v>121373741</v>
      </c>
      <c r="I29" s="1722">
        <v>121373741</v>
      </c>
      <c r="J29" s="1723">
        <v>60361300</v>
      </c>
      <c r="K29" s="1721"/>
      <c r="L29" s="1722"/>
      <c r="M29" s="1211"/>
    </row>
    <row r="30" spans="1:13" ht="11.25" customHeight="1">
      <c r="A30" s="1210" t="str">
        <f>A3A!A29</f>
        <v>Human Settlement Development Management</v>
      </c>
      <c r="B30" s="294"/>
      <c r="C30" s="1721"/>
      <c r="D30" s="1721"/>
      <c r="E30" s="1722">
        <v>2502892</v>
      </c>
      <c r="F30" s="1725"/>
      <c r="G30" s="1721">
        <v>0</v>
      </c>
      <c r="H30" s="1722">
        <v>0</v>
      </c>
      <c r="I30" s="1722">
        <v>0</v>
      </c>
      <c r="J30" s="1723">
        <v>2000000</v>
      </c>
      <c r="K30" s="1721">
        <v>14500000</v>
      </c>
      <c r="L30" s="1722">
        <v>7000000</v>
      </c>
      <c r="M30" s="1211"/>
    </row>
    <row r="31" spans="1:13" ht="11.25" customHeight="1">
      <c r="A31" s="1210" t="str">
        <f>A3A!A30</f>
        <v>Municipal Infrastructure Planning, Funding, Maintenance and Development Management</v>
      </c>
      <c r="B31" s="294"/>
      <c r="C31" s="1721"/>
      <c r="D31" s="1721"/>
      <c r="E31" s="1722">
        <v>75791</v>
      </c>
      <c r="F31" s="1725"/>
      <c r="G31" s="1721">
        <v>0</v>
      </c>
      <c r="H31" s="1722">
        <v>0</v>
      </c>
      <c r="I31" s="1722">
        <v>0</v>
      </c>
      <c r="J31" s="1723">
        <v>15000000</v>
      </c>
      <c r="K31" s="1721"/>
      <c r="L31" s="1722"/>
      <c r="M31" s="1211"/>
    </row>
    <row r="32" spans="1:13" ht="11.25" customHeight="1">
      <c r="A32" s="1210" t="str">
        <f>A3A!A31</f>
        <v>Roads and Stormwater</v>
      </c>
      <c r="B32" s="294"/>
      <c r="C32" s="1721"/>
      <c r="D32" s="1721"/>
      <c r="E32" s="1722">
        <v>32581294</v>
      </c>
      <c r="F32" s="1725">
        <v>71584375</v>
      </c>
      <c r="G32" s="1721">
        <v>106584375</v>
      </c>
      <c r="H32" s="1722">
        <v>106584375</v>
      </c>
      <c r="I32" s="1722">
        <v>106584375</v>
      </c>
      <c r="J32" s="1723">
        <v>126175000</v>
      </c>
      <c r="K32" s="1721">
        <v>206470300</v>
      </c>
      <c r="L32" s="1722">
        <v>187215000</v>
      </c>
      <c r="M32" s="1211"/>
    </row>
    <row r="33" spans="1:15" ht="11.25" customHeight="1">
      <c r="A33" s="1210" t="str">
        <f>A3A!A32</f>
        <v>Waste Management</v>
      </c>
      <c r="B33" s="294"/>
      <c r="C33" s="1721"/>
      <c r="D33" s="1721"/>
      <c r="E33" s="1722">
        <v>3945164</v>
      </c>
      <c r="F33" s="1725">
        <f>2302000+7950000</f>
        <v>10252000</v>
      </c>
      <c r="G33" s="1721">
        <v>10552000</v>
      </c>
      <c r="H33" s="1722">
        <v>10552000</v>
      </c>
      <c r="I33" s="1722">
        <v>10552000</v>
      </c>
      <c r="J33" s="1723">
        <v>6477000</v>
      </c>
      <c r="K33" s="1721"/>
      <c r="L33" s="1722"/>
      <c r="M33" s="1211"/>
    </row>
    <row r="34" spans="1:15" ht="11.25" customHeight="1">
      <c r="A34" s="1210" t="str">
        <f>A3A!A33</f>
        <v>Water Distribution and Sanitation Management</v>
      </c>
      <c r="B34" s="294"/>
      <c r="C34" s="1721"/>
      <c r="D34" s="1721"/>
      <c r="E34" s="1722">
        <v>70008113</v>
      </c>
      <c r="F34" s="1725">
        <v>54169628</v>
      </c>
      <c r="G34" s="1721">
        <v>54169628</v>
      </c>
      <c r="H34" s="1722">
        <v>54169628</v>
      </c>
      <c r="I34" s="1722">
        <v>54169628</v>
      </c>
      <c r="J34" s="1723">
        <v>106503000</v>
      </c>
      <c r="K34" s="1721">
        <v>42500000</v>
      </c>
      <c r="L34" s="1722"/>
      <c r="M34" s="1211"/>
    </row>
    <row r="35" spans="1:15" ht="11.25" customHeight="1">
      <c r="A35" s="1210" t="str">
        <f>A3A!A34</f>
        <v>Subvote example 7</v>
      </c>
      <c r="B35" s="294"/>
      <c r="C35" s="1721"/>
      <c r="D35" s="1721"/>
      <c r="E35" s="1722"/>
      <c r="F35" s="1723"/>
      <c r="G35" s="1721"/>
      <c r="H35" s="1722"/>
      <c r="I35" s="1724"/>
      <c r="J35" s="1723"/>
      <c r="K35" s="1721"/>
      <c r="L35" s="1722"/>
      <c r="M35" s="1211"/>
      <c r="O35" s="373"/>
    </row>
    <row r="36" spans="1:15" ht="11.25" customHeight="1">
      <c r="A36" s="1210" t="str">
        <f>A3A!A35</f>
        <v xml:space="preserve"> </v>
      </c>
      <c r="B36" s="294"/>
      <c r="C36" s="1721"/>
      <c r="D36" s="1721"/>
      <c r="E36" s="1722"/>
      <c r="F36" s="1723"/>
      <c r="G36" s="1721"/>
      <c r="H36" s="1722"/>
      <c r="I36" s="1724"/>
      <c r="J36" s="1723"/>
      <c r="K36" s="1721"/>
      <c r="L36" s="1722"/>
      <c r="M36" s="1211"/>
      <c r="O36" s="373"/>
    </row>
    <row r="37" spans="1:15" ht="11.25" customHeight="1">
      <c r="A37" s="1210" t="str">
        <f>A3A!A36</f>
        <v xml:space="preserve"> </v>
      </c>
      <c r="B37" s="294"/>
      <c r="C37" s="1721"/>
      <c r="D37" s="1721"/>
      <c r="E37" s="1722"/>
      <c r="F37" s="1723"/>
      <c r="G37" s="1721"/>
      <c r="H37" s="1722"/>
      <c r="I37" s="1724"/>
      <c r="J37" s="1723"/>
      <c r="K37" s="1721"/>
      <c r="L37" s="1722"/>
      <c r="M37" s="1211"/>
      <c r="O37" s="373"/>
    </row>
    <row r="38" spans="1:15" ht="11.25" customHeight="1">
      <c r="A38" s="1210" t="str">
        <f>A3A!A37</f>
        <v xml:space="preserve"> </v>
      </c>
      <c r="B38" s="294"/>
      <c r="C38" s="1721"/>
      <c r="D38" s="1721"/>
      <c r="E38" s="1722"/>
      <c r="F38" s="1723"/>
      <c r="G38" s="1721"/>
      <c r="H38" s="1722"/>
      <c r="I38" s="1724"/>
      <c r="J38" s="1723"/>
      <c r="K38" s="1721"/>
      <c r="L38" s="1722"/>
      <c r="M38" s="1211"/>
      <c r="O38" s="373"/>
    </row>
    <row r="39" spans="1:15" ht="11.25" customHeight="1">
      <c r="A39" s="1209" t="str">
        <f>A3A!A38</f>
        <v>Vote 4 - Sustainable Community Service Delivery Provision Management</v>
      </c>
      <c r="B39" s="1007"/>
      <c r="C39" s="1002">
        <f>SUM(C40:C49)</f>
        <v>0</v>
      </c>
      <c r="D39" s="1002">
        <f t="shared" ref="D39:L39" si="3">SUM(D40:D49)</f>
        <v>0</v>
      </c>
      <c r="E39" s="1003">
        <f t="shared" si="3"/>
        <v>33113251</v>
      </c>
      <c r="F39" s="1008">
        <f>SUM(F40:F49)</f>
        <v>55803263</v>
      </c>
      <c r="G39" s="1002">
        <f t="shared" si="3"/>
        <v>57103263</v>
      </c>
      <c r="H39" s="1003">
        <f t="shared" si="3"/>
        <v>57103263</v>
      </c>
      <c r="I39" s="1005">
        <f>SUM(I40:I49)</f>
        <v>57103263</v>
      </c>
      <c r="J39" s="1004">
        <f t="shared" si="3"/>
        <v>58237000</v>
      </c>
      <c r="K39" s="1002">
        <f t="shared" si="3"/>
        <v>17749000</v>
      </c>
      <c r="L39" s="1009">
        <f t="shared" si="3"/>
        <v>0</v>
      </c>
      <c r="M39" s="1211"/>
      <c r="O39" s="373"/>
    </row>
    <row r="40" spans="1:15" ht="11.25" customHeight="1">
      <c r="A40" s="1210" t="str">
        <f>A3A!A39</f>
        <v>Community Services Provision Management</v>
      </c>
      <c r="B40" s="294"/>
      <c r="C40" s="1721"/>
      <c r="D40" s="1721"/>
      <c r="E40" s="1722">
        <v>7625009</v>
      </c>
      <c r="F40" s="1725">
        <v>16606263</v>
      </c>
      <c r="G40" s="1721">
        <v>17906263</v>
      </c>
      <c r="H40" s="1722">
        <v>17906263</v>
      </c>
      <c r="I40" s="1722">
        <v>17906263</v>
      </c>
      <c r="J40" s="1723">
        <v>15100000</v>
      </c>
      <c r="K40" s="1721">
        <v>4569000</v>
      </c>
      <c r="L40" s="1722"/>
      <c r="M40" s="1211"/>
      <c r="O40" s="373"/>
    </row>
    <row r="41" spans="1:15" ht="11.25" customHeight="1">
      <c r="A41" s="1210" t="str">
        <f>A3A!A40</f>
        <v>Public Safety, Enforcement and Disaster Management</v>
      </c>
      <c r="B41" s="294"/>
      <c r="C41" s="1721"/>
      <c r="D41" s="1721"/>
      <c r="E41" s="1722">
        <v>18103300</v>
      </c>
      <c r="F41" s="1725">
        <v>5770000</v>
      </c>
      <c r="G41" s="1721">
        <v>5770000</v>
      </c>
      <c r="H41" s="1722">
        <v>5770000</v>
      </c>
      <c r="I41" s="1722">
        <v>5770000</v>
      </c>
      <c r="J41" s="1723"/>
      <c r="K41" s="1721"/>
      <c r="L41" s="1722"/>
      <c r="M41" s="1211"/>
      <c r="O41" s="373"/>
    </row>
    <row r="42" spans="1:15" ht="11.25" customHeight="1">
      <c r="A42" s="1210" t="str">
        <f>A3A!A41</f>
        <v>Regional Community Services Provision Management</v>
      </c>
      <c r="B42" s="294"/>
      <c r="C42" s="1721"/>
      <c r="D42" s="1721"/>
      <c r="E42" s="1722">
        <v>7384942</v>
      </c>
      <c r="F42" s="1725">
        <v>33427000</v>
      </c>
      <c r="G42" s="1721">
        <v>33427000</v>
      </c>
      <c r="H42" s="1722">
        <v>33427000</v>
      </c>
      <c r="I42" s="1722">
        <v>33427000</v>
      </c>
      <c r="J42" s="1723">
        <v>43137000</v>
      </c>
      <c r="K42" s="1721">
        <v>13180000</v>
      </c>
      <c r="L42" s="1722"/>
      <c r="M42" s="1211"/>
      <c r="O42" s="373"/>
    </row>
    <row r="43" spans="1:15" ht="11.25" customHeight="1">
      <c r="A43" s="1210" t="str">
        <f>A3A!A42</f>
        <v>Subvote example 4</v>
      </c>
      <c r="B43" s="294"/>
      <c r="C43" s="1721"/>
      <c r="D43" s="1721"/>
      <c r="E43" s="1722"/>
      <c r="F43" s="1723"/>
      <c r="G43" s="1721"/>
      <c r="H43" s="1722"/>
      <c r="I43" s="1722"/>
      <c r="J43" s="1723"/>
      <c r="K43" s="1721"/>
      <c r="L43" s="1722"/>
      <c r="M43" s="1211"/>
      <c r="O43" s="373"/>
    </row>
    <row r="44" spans="1:15" ht="11.25" customHeight="1">
      <c r="A44" s="1210" t="str">
        <f>A3A!A43</f>
        <v xml:space="preserve"> </v>
      </c>
      <c r="B44" s="294"/>
      <c r="C44" s="1721"/>
      <c r="D44" s="1721"/>
      <c r="E44" s="1722"/>
      <c r="F44" s="1723"/>
      <c r="G44" s="1721"/>
      <c r="H44" s="1722"/>
      <c r="I44" s="1724"/>
      <c r="J44" s="1723"/>
      <c r="K44" s="1721"/>
      <c r="L44" s="1722"/>
      <c r="M44" s="1211"/>
    </row>
    <row r="45" spans="1:15" ht="11.25" customHeight="1">
      <c r="A45" s="1210" t="str">
        <f>A3A!A44</f>
        <v xml:space="preserve"> </v>
      </c>
      <c r="B45" s="294"/>
      <c r="C45" s="1721"/>
      <c r="D45" s="1721"/>
      <c r="E45" s="1722"/>
      <c r="F45" s="1723"/>
      <c r="G45" s="1721"/>
      <c r="H45" s="1722"/>
      <c r="I45" s="1724"/>
      <c r="J45" s="1723"/>
      <c r="K45" s="1721"/>
      <c r="L45" s="1722"/>
      <c r="M45" s="1211"/>
    </row>
    <row r="46" spans="1:15" ht="11.25" customHeight="1">
      <c r="A46" s="1210" t="str">
        <f>A3A!A45</f>
        <v xml:space="preserve"> </v>
      </c>
      <c r="B46" s="294"/>
      <c r="C46" s="1721"/>
      <c r="D46" s="1721"/>
      <c r="E46" s="1722"/>
      <c r="F46" s="1723"/>
      <c r="G46" s="1721"/>
      <c r="H46" s="1722"/>
      <c r="I46" s="1724"/>
      <c r="J46" s="1723"/>
      <c r="K46" s="1721"/>
      <c r="L46" s="1722"/>
      <c r="M46" s="1211"/>
    </row>
    <row r="47" spans="1:15" ht="11.25" customHeight="1">
      <c r="A47" s="1210" t="str">
        <f>A3A!A46</f>
        <v xml:space="preserve"> </v>
      </c>
      <c r="B47" s="294"/>
      <c r="C47" s="1721"/>
      <c r="D47" s="1721"/>
      <c r="E47" s="1722"/>
      <c r="F47" s="1723"/>
      <c r="G47" s="1721"/>
      <c r="H47" s="1722"/>
      <c r="I47" s="1724"/>
      <c r="J47" s="1723"/>
      <c r="K47" s="1721"/>
      <c r="L47" s="1722"/>
      <c r="M47" s="1211"/>
    </row>
    <row r="48" spans="1:15" ht="11.25" customHeight="1">
      <c r="A48" s="1210" t="str">
        <f>A3A!A47</f>
        <v xml:space="preserve"> </v>
      </c>
      <c r="B48" s="294"/>
      <c r="C48" s="1721"/>
      <c r="D48" s="1721"/>
      <c r="E48" s="1722"/>
      <c r="F48" s="1723"/>
      <c r="G48" s="1721"/>
      <c r="H48" s="1722"/>
      <c r="I48" s="1724"/>
      <c r="J48" s="1723"/>
      <c r="K48" s="1721"/>
      <c r="L48" s="1722"/>
      <c r="M48" s="1211"/>
    </row>
    <row r="49" spans="1:13" ht="11.25" customHeight="1">
      <c r="A49" s="1210" t="str">
        <f>A3A!A48</f>
        <v xml:space="preserve"> </v>
      </c>
      <c r="B49" s="294"/>
      <c r="C49" s="1721"/>
      <c r="D49" s="1721"/>
      <c r="E49" s="1722"/>
      <c r="F49" s="1723"/>
      <c r="G49" s="1721"/>
      <c r="H49" s="1722"/>
      <c r="I49" s="1724"/>
      <c r="J49" s="1723"/>
      <c r="K49" s="1721"/>
      <c r="L49" s="1722"/>
      <c r="M49" s="1211"/>
    </row>
    <row r="50" spans="1:13" ht="11.25" customHeight="1">
      <c r="A50" s="1209" t="str">
        <f>A3A!A49</f>
        <v>Example 5 - Vote5</v>
      </c>
      <c r="B50" s="1007"/>
      <c r="C50" s="1002">
        <f>SUM(C51:C60)</f>
        <v>0</v>
      </c>
      <c r="D50" s="1002">
        <f t="shared" ref="D50:L50" si="4">SUM(D51:D60)</f>
        <v>0</v>
      </c>
      <c r="E50" s="1003">
        <f t="shared" si="4"/>
        <v>0</v>
      </c>
      <c r="F50" s="1004">
        <f t="shared" si="4"/>
        <v>0</v>
      </c>
      <c r="G50" s="1002">
        <f t="shared" si="4"/>
        <v>0</v>
      </c>
      <c r="H50" s="1003">
        <f t="shared" si="4"/>
        <v>0</v>
      </c>
      <c r="I50" s="1005">
        <f>SUM(I51:I60)</f>
        <v>0</v>
      </c>
      <c r="J50" s="1004">
        <f t="shared" si="4"/>
        <v>0</v>
      </c>
      <c r="K50" s="1002">
        <f t="shared" si="4"/>
        <v>0</v>
      </c>
      <c r="L50" s="1003">
        <f t="shared" si="4"/>
        <v>0</v>
      </c>
      <c r="M50" s="1211"/>
    </row>
    <row r="51" spans="1:13" ht="11.25" customHeight="1">
      <c r="A51" s="1210" t="str">
        <f>A3A!A50</f>
        <v>Subvote example 5</v>
      </c>
      <c r="B51" s="294"/>
      <c r="C51" s="1721"/>
      <c r="D51" s="1721"/>
      <c r="E51" s="1722"/>
      <c r="F51" s="1723"/>
      <c r="G51" s="1721"/>
      <c r="H51" s="1722"/>
      <c r="I51" s="1724"/>
      <c r="J51" s="1723"/>
      <c r="K51" s="1721"/>
      <c r="L51" s="1722"/>
      <c r="M51" s="1211"/>
    </row>
    <row r="52" spans="1:13" ht="11.25" customHeight="1">
      <c r="A52" s="1210" t="str">
        <f>A3A!A51</f>
        <v xml:space="preserve"> </v>
      </c>
      <c r="B52" s="294"/>
      <c r="C52" s="1721"/>
      <c r="D52" s="1721"/>
      <c r="E52" s="1722"/>
      <c r="F52" s="1723"/>
      <c r="G52" s="1721"/>
      <c r="H52" s="1722"/>
      <c r="I52" s="1724"/>
      <c r="J52" s="1723"/>
      <c r="K52" s="1721"/>
      <c r="L52" s="1722"/>
      <c r="M52" s="1211"/>
    </row>
    <row r="53" spans="1:13" ht="11.25" customHeight="1">
      <c r="A53" s="1210" t="str">
        <f>A3A!A52</f>
        <v xml:space="preserve"> </v>
      </c>
      <c r="B53" s="294"/>
      <c r="C53" s="1721"/>
      <c r="D53" s="1721"/>
      <c r="E53" s="1722"/>
      <c r="F53" s="1723"/>
      <c r="G53" s="1721"/>
      <c r="H53" s="1722"/>
      <c r="I53" s="1724"/>
      <c r="J53" s="1723"/>
      <c r="K53" s="1721"/>
      <c r="L53" s="1722"/>
      <c r="M53" s="1211"/>
    </row>
    <row r="54" spans="1:13" ht="11.25" customHeight="1">
      <c r="A54" s="1210" t="str">
        <f>A3A!A53</f>
        <v xml:space="preserve"> </v>
      </c>
      <c r="B54" s="294"/>
      <c r="C54" s="1721"/>
      <c r="D54" s="1721"/>
      <c r="E54" s="1722"/>
      <c r="F54" s="1723"/>
      <c r="G54" s="1721"/>
      <c r="H54" s="1722"/>
      <c r="I54" s="1724"/>
      <c r="J54" s="1723"/>
      <c r="K54" s="1721"/>
      <c r="L54" s="1722"/>
      <c r="M54" s="1211"/>
    </row>
    <row r="55" spans="1:13" ht="11.25" customHeight="1">
      <c r="A55" s="1210" t="str">
        <f>A3A!A54</f>
        <v xml:space="preserve"> </v>
      </c>
      <c r="B55" s="294"/>
      <c r="C55" s="1721"/>
      <c r="D55" s="1721"/>
      <c r="E55" s="1722"/>
      <c r="F55" s="1723"/>
      <c r="G55" s="1721"/>
      <c r="H55" s="1722"/>
      <c r="I55" s="1724"/>
      <c r="J55" s="1723"/>
      <c r="K55" s="1721"/>
      <c r="L55" s="1722"/>
      <c r="M55" s="1211"/>
    </row>
    <row r="56" spans="1:13" ht="11.25" customHeight="1">
      <c r="A56" s="1210" t="str">
        <f>A3A!A55</f>
        <v xml:space="preserve"> </v>
      </c>
      <c r="B56" s="294"/>
      <c r="C56" s="1721"/>
      <c r="D56" s="1721"/>
      <c r="E56" s="1722"/>
      <c r="F56" s="1723"/>
      <c r="G56" s="1721"/>
      <c r="H56" s="1722"/>
      <c r="I56" s="1724"/>
      <c r="J56" s="1723"/>
      <c r="K56" s="1721"/>
      <c r="L56" s="1722"/>
      <c r="M56" s="1211"/>
    </row>
    <row r="57" spans="1:13" ht="11.25" customHeight="1">
      <c r="A57" s="1210" t="str">
        <f>A3A!A56</f>
        <v xml:space="preserve"> </v>
      </c>
      <c r="B57" s="294"/>
      <c r="C57" s="1721"/>
      <c r="D57" s="1721"/>
      <c r="E57" s="1722"/>
      <c r="F57" s="1723"/>
      <c r="G57" s="1721"/>
      <c r="H57" s="1722"/>
      <c r="I57" s="1724"/>
      <c r="J57" s="1723"/>
      <c r="K57" s="1721"/>
      <c r="L57" s="1722"/>
      <c r="M57" s="1211"/>
    </row>
    <row r="58" spans="1:13" ht="11.25" customHeight="1">
      <c r="A58" s="1210" t="str">
        <f>A3A!A57</f>
        <v xml:space="preserve"> </v>
      </c>
      <c r="B58" s="294"/>
      <c r="C58" s="1721"/>
      <c r="D58" s="1721"/>
      <c r="E58" s="1722"/>
      <c r="F58" s="1723"/>
      <c r="G58" s="1721"/>
      <c r="H58" s="1722"/>
      <c r="I58" s="1724"/>
      <c r="J58" s="1723"/>
      <c r="K58" s="1721"/>
      <c r="L58" s="1722"/>
      <c r="M58" s="1211"/>
    </row>
    <row r="59" spans="1:13" ht="11.25" customHeight="1">
      <c r="A59" s="1210" t="str">
        <f>A3A!A58</f>
        <v xml:space="preserve"> </v>
      </c>
      <c r="B59" s="294"/>
      <c r="C59" s="1721"/>
      <c r="D59" s="1721"/>
      <c r="E59" s="1722"/>
      <c r="F59" s="1723"/>
      <c r="G59" s="1721"/>
      <c r="H59" s="1722"/>
      <c r="I59" s="1724"/>
      <c r="J59" s="1723"/>
      <c r="K59" s="1721"/>
      <c r="L59" s="1722"/>
      <c r="M59" s="1211"/>
    </row>
    <row r="60" spans="1:13" ht="11.25" customHeight="1">
      <c r="A60" s="1210" t="str">
        <f>A3A!A59</f>
        <v xml:space="preserve"> </v>
      </c>
      <c r="B60" s="294"/>
      <c r="C60" s="1721"/>
      <c r="D60" s="1721"/>
      <c r="E60" s="1722"/>
      <c r="F60" s="1723"/>
      <c r="G60" s="1721"/>
      <c r="H60" s="1722"/>
      <c r="I60" s="1724"/>
      <c r="J60" s="1723"/>
      <c r="K60" s="1721"/>
      <c r="L60" s="1722"/>
      <c r="M60" s="1211"/>
    </row>
    <row r="61" spans="1:13" ht="11.25" customHeight="1">
      <c r="A61" s="1209" t="str">
        <f>A3A!A60</f>
        <v>Example 6 - Vote6</v>
      </c>
      <c r="B61" s="1007"/>
      <c r="C61" s="1002">
        <f>SUM(C62:C71)</f>
        <v>0</v>
      </c>
      <c r="D61" s="1002">
        <f t="shared" ref="D61:L61" si="5">SUM(D62:D71)</f>
        <v>0</v>
      </c>
      <c r="E61" s="1003">
        <f t="shared" si="5"/>
        <v>0</v>
      </c>
      <c r="F61" s="1004">
        <f t="shared" si="5"/>
        <v>0</v>
      </c>
      <c r="G61" s="1002">
        <f t="shared" si="5"/>
        <v>0</v>
      </c>
      <c r="H61" s="1003">
        <f t="shared" si="5"/>
        <v>0</v>
      </c>
      <c r="I61" s="1005">
        <f>SUM(I62:I71)</f>
        <v>0</v>
      </c>
      <c r="J61" s="1004">
        <f t="shared" si="5"/>
        <v>0</v>
      </c>
      <c r="K61" s="1002">
        <f t="shared" si="5"/>
        <v>0</v>
      </c>
      <c r="L61" s="1003">
        <f t="shared" si="5"/>
        <v>0</v>
      </c>
      <c r="M61" s="1211"/>
    </row>
    <row r="62" spans="1:13" ht="11.25" customHeight="1">
      <c r="A62" s="1210" t="str">
        <f>A3A!A61</f>
        <v>Subvote example 6</v>
      </c>
      <c r="B62" s="294"/>
      <c r="C62" s="1721"/>
      <c r="D62" s="1721"/>
      <c r="E62" s="1722"/>
      <c r="F62" s="1723"/>
      <c r="G62" s="1721"/>
      <c r="H62" s="1722"/>
      <c r="I62" s="1724"/>
      <c r="J62" s="1723"/>
      <c r="K62" s="1721"/>
      <c r="L62" s="1722"/>
      <c r="M62" s="1211"/>
    </row>
    <row r="63" spans="1:13" ht="11.25" customHeight="1">
      <c r="A63" s="1210" t="str">
        <f>A3A!A62</f>
        <v xml:space="preserve"> </v>
      </c>
      <c r="B63" s="294"/>
      <c r="C63" s="1721"/>
      <c r="D63" s="1721"/>
      <c r="E63" s="1722"/>
      <c r="F63" s="1723"/>
      <c r="G63" s="1721"/>
      <c r="H63" s="1722"/>
      <c r="I63" s="1724"/>
      <c r="J63" s="1723"/>
      <c r="K63" s="1721"/>
      <c r="L63" s="1722"/>
      <c r="M63" s="1211"/>
    </row>
    <row r="64" spans="1:13" ht="11.25" customHeight="1">
      <c r="A64" s="1210" t="str">
        <f>A3A!A63</f>
        <v xml:space="preserve"> </v>
      </c>
      <c r="B64" s="294"/>
      <c r="C64" s="1721"/>
      <c r="D64" s="1721"/>
      <c r="E64" s="1722"/>
      <c r="F64" s="1723"/>
      <c r="G64" s="1721"/>
      <c r="H64" s="1722"/>
      <c r="I64" s="1724"/>
      <c r="J64" s="1723"/>
      <c r="K64" s="1721"/>
      <c r="L64" s="1722"/>
      <c r="M64" s="1211"/>
    </row>
    <row r="65" spans="1:13" ht="11.25" customHeight="1">
      <c r="A65" s="1210" t="str">
        <f>A3A!A64</f>
        <v xml:space="preserve"> </v>
      </c>
      <c r="B65" s="294"/>
      <c r="C65" s="1721"/>
      <c r="D65" s="1721"/>
      <c r="E65" s="1722"/>
      <c r="F65" s="1723"/>
      <c r="G65" s="1721"/>
      <c r="H65" s="1722"/>
      <c r="I65" s="1724"/>
      <c r="J65" s="1723"/>
      <c r="K65" s="1721"/>
      <c r="L65" s="1722"/>
      <c r="M65" s="1211"/>
    </row>
    <row r="66" spans="1:13" ht="11.25" customHeight="1">
      <c r="A66" s="1210" t="str">
        <f>A3A!A65</f>
        <v xml:space="preserve"> </v>
      </c>
      <c r="B66" s="294"/>
      <c r="C66" s="1721"/>
      <c r="D66" s="1721"/>
      <c r="E66" s="1722"/>
      <c r="F66" s="1723"/>
      <c r="G66" s="1721"/>
      <c r="H66" s="1722"/>
      <c r="I66" s="1724"/>
      <c r="J66" s="1723"/>
      <c r="K66" s="1721"/>
      <c r="L66" s="1722"/>
      <c r="M66" s="1211"/>
    </row>
    <row r="67" spans="1:13" ht="11.25" customHeight="1">
      <c r="A67" s="1210" t="str">
        <f>A3A!A66</f>
        <v xml:space="preserve"> </v>
      </c>
      <c r="B67" s="294"/>
      <c r="C67" s="1721"/>
      <c r="D67" s="1721"/>
      <c r="E67" s="1722"/>
      <c r="F67" s="1723"/>
      <c r="G67" s="1721"/>
      <c r="H67" s="1722"/>
      <c r="I67" s="1724"/>
      <c r="J67" s="1723"/>
      <c r="K67" s="1721"/>
      <c r="L67" s="1722"/>
      <c r="M67" s="1211"/>
    </row>
    <row r="68" spans="1:13" ht="11.25" customHeight="1">
      <c r="A68" s="1210" t="str">
        <f>A3A!A67</f>
        <v xml:space="preserve"> </v>
      </c>
      <c r="B68" s="294"/>
      <c r="C68" s="1721"/>
      <c r="D68" s="1721"/>
      <c r="E68" s="1722"/>
      <c r="F68" s="1723"/>
      <c r="G68" s="1721"/>
      <c r="H68" s="1722"/>
      <c r="I68" s="1724"/>
      <c r="J68" s="1723"/>
      <c r="K68" s="1721"/>
      <c r="L68" s="1722"/>
      <c r="M68" s="1211"/>
    </row>
    <row r="69" spans="1:13" ht="11.25" customHeight="1">
      <c r="A69" s="1210" t="str">
        <f>A3A!A68</f>
        <v xml:space="preserve"> </v>
      </c>
      <c r="B69" s="294"/>
      <c r="C69" s="1721"/>
      <c r="D69" s="1721"/>
      <c r="E69" s="1722"/>
      <c r="F69" s="1723"/>
      <c r="G69" s="1721"/>
      <c r="H69" s="1722"/>
      <c r="I69" s="1724"/>
      <c r="J69" s="1723"/>
      <c r="K69" s="1721"/>
      <c r="L69" s="1722"/>
      <c r="M69" s="1211"/>
    </row>
    <row r="70" spans="1:13" ht="11.25" customHeight="1">
      <c r="A70" s="1210" t="str">
        <f>A3A!A69</f>
        <v xml:space="preserve"> </v>
      </c>
      <c r="B70" s="294"/>
      <c r="C70" s="1721"/>
      <c r="D70" s="1721"/>
      <c r="E70" s="1722"/>
      <c r="F70" s="1723"/>
      <c r="G70" s="1721"/>
      <c r="H70" s="1722"/>
      <c r="I70" s="1724"/>
      <c r="J70" s="1723"/>
      <c r="K70" s="1721"/>
      <c r="L70" s="1722"/>
      <c r="M70" s="1211"/>
    </row>
    <row r="71" spans="1:13" ht="11.25" customHeight="1">
      <c r="A71" s="1210" t="str">
        <f>A3A!A70</f>
        <v xml:space="preserve"> </v>
      </c>
      <c r="B71" s="294"/>
      <c r="C71" s="1721"/>
      <c r="D71" s="1721"/>
      <c r="E71" s="1722"/>
      <c r="F71" s="1723"/>
      <c r="G71" s="1721"/>
      <c r="H71" s="1722"/>
      <c r="I71" s="1724"/>
      <c r="J71" s="1723"/>
      <c r="K71" s="1721"/>
      <c r="L71" s="1722"/>
      <c r="M71" s="1211"/>
    </row>
    <row r="72" spans="1:13" ht="11.25" customHeight="1">
      <c r="A72" s="1209" t="str">
        <f>A3A!A71</f>
        <v>Example 7 - Vote7</v>
      </c>
      <c r="B72" s="1007"/>
      <c r="C72" s="1002">
        <f t="shared" ref="C72:L72" si="6">SUM(C73:C82)</f>
        <v>0</v>
      </c>
      <c r="D72" s="1002">
        <f t="shared" si="6"/>
        <v>0</v>
      </c>
      <c r="E72" s="1003">
        <f t="shared" si="6"/>
        <v>0</v>
      </c>
      <c r="F72" s="1004">
        <f t="shared" si="6"/>
        <v>0</v>
      </c>
      <c r="G72" s="1002">
        <f t="shared" si="6"/>
        <v>0</v>
      </c>
      <c r="H72" s="1003">
        <f t="shared" si="6"/>
        <v>0</v>
      </c>
      <c r="I72" s="1005">
        <f t="shared" si="6"/>
        <v>0</v>
      </c>
      <c r="J72" s="1004">
        <f t="shared" si="6"/>
        <v>0</v>
      </c>
      <c r="K72" s="1002">
        <f t="shared" si="6"/>
        <v>0</v>
      </c>
      <c r="L72" s="1003">
        <f t="shared" si="6"/>
        <v>0</v>
      </c>
      <c r="M72" s="1211"/>
    </row>
    <row r="73" spans="1:13" ht="11.25" customHeight="1">
      <c r="A73" s="1210" t="str">
        <f>A3A!A72</f>
        <v>Subvote example 7</v>
      </c>
      <c r="B73" s="294"/>
      <c r="C73" s="1721"/>
      <c r="D73" s="1721"/>
      <c r="E73" s="1722"/>
      <c r="F73" s="1723"/>
      <c r="G73" s="1721"/>
      <c r="H73" s="1722"/>
      <c r="I73" s="1724"/>
      <c r="J73" s="1723"/>
      <c r="K73" s="1721"/>
      <c r="L73" s="1722"/>
      <c r="M73" s="1211"/>
    </row>
    <row r="74" spans="1:13" ht="11.25" customHeight="1">
      <c r="A74" s="1210" t="str">
        <f>A3A!A73</f>
        <v xml:space="preserve"> </v>
      </c>
      <c r="B74" s="294"/>
      <c r="C74" s="1721"/>
      <c r="D74" s="1721"/>
      <c r="E74" s="1722"/>
      <c r="F74" s="1723"/>
      <c r="G74" s="1721"/>
      <c r="H74" s="1722"/>
      <c r="I74" s="1724"/>
      <c r="J74" s="1723"/>
      <c r="K74" s="1721"/>
      <c r="L74" s="1722"/>
      <c r="M74" s="1211"/>
    </row>
    <row r="75" spans="1:13" ht="11.25" customHeight="1">
      <c r="A75" s="1210" t="str">
        <f>A3A!A74</f>
        <v xml:space="preserve"> </v>
      </c>
      <c r="B75" s="294"/>
      <c r="C75" s="1721"/>
      <c r="D75" s="1721"/>
      <c r="E75" s="1722"/>
      <c r="F75" s="1723"/>
      <c r="G75" s="1721"/>
      <c r="H75" s="1722"/>
      <c r="I75" s="1724"/>
      <c r="J75" s="1723"/>
      <c r="K75" s="1721"/>
      <c r="L75" s="1722"/>
      <c r="M75" s="1211"/>
    </row>
    <row r="76" spans="1:13" ht="11.25" customHeight="1">
      <c r="A76" s="1210" t="str">
        <f>A3A!A75</f>
        <v xml:space="preserve"> </v>
      </c>
      <c r="B76" s="294"/>
      <c r="C76" s="1721"/>
      <c r="D76" s="1721"/>
      <c r="E76" s="1722"/>
      <c r="F76" s="1723"/>
      <c r="G76" s="1721"/>
      <c r="H76" s="1722"/>
      <c r="I76" s="1724"/>
      <c r="J76" s="1723"/>
      <c r="K76" s="1721"/>
      <c r="L76" s="1722"/>
      <c r="M76" s="1211"/>
    </row>
    <row r="77" spans="1:13" ht="11.25" customHeight="1">
      <c r="A77" s="1210" t="str">
        <f>A3A!A76</f>
        <v xml:space="preserve"> </v>
      </c>
      <c r="B77" s="294"/>
      <c r="C77" s="1721"/>
      <c r="D77" s="1721"/>
      <c r="E77" s="1722"/>
      <c r="F77" s="1723"/>
      <c r="G77" s="1721"/>
      <c r="H77" s="1722"/>
      <c r="I77" s="1724"/>
      <c r="J77" s="1723"/>
      <c r="K77" s="1721"/>
      <c r="L77" s="1722"/>
      <c r="M77" s="1211"/>
    </row>
    <row r="78" spans="1:13" ht="11.25" customHeight="1">
      <c r="A78" s="1210" t="str">
        <f>A3A!A77</f>
        <v xml:space="preserve"> </v>
      </c>
      <c r="B78" s="294"/>
      <c r="C78" s="1721"/>
      <c r="D78" s="1721"/>
      <c r="E78" s="1722"/>
      <c r="F78" s="1723"/>
      <c r="G78" s="1721"/>
      <c r="H78" s="1722"/>
      <c r="I78" s="1724"/>
      <c r="J78" s="1723"/>
      <c r="K78" s="1721"/>
      <c r="L78" s="1722"/>
      <c r="M78" s="1211"/>
    </row>
    <row r="79" spans="1:13" ht="11.25" customHeight="1">
      <c r="A79" s="1210" t="str">
        <f>A3A!A78</f>
        <v xml:space="preserve"> </v>
      </c>
      <c r="B79" s="294"/>
      <c r="C79" s="1721"/>
      <c r="D79" s="1721"/>
      <c r="E79" s="1722"/>
      <c r="F79" s="1723"/>
      <c r="G79" s="1721"/>
      <c r="H79" s="1722"/>
      <c r="I79" s="1724"/>
      <c r="J79" s="1723"/>
      <c r="K79" s="1721"/>
      <c r="L79" s="1722"/>
      <c r="M79" s="1211"/>
    </row>
    <row r="80" spans="1:13" ht="11.25" customHeight="1">
      <c r="A80" s="1210" t="str">
        <f>A3A!A79</f>
        <v xml:space="preserve"> </v>
      </c>
      <c r="B80" s="294"/>
      <c r="C80" s="1721"/>
      <c r="D80" s="1721"/>
      <c r="E80" s="1722"/>
      <c r="F80" s="1723"/>
      <c r="G80" s="1721"/>
      <c r="H80" s="1722"/>
      <c r="I80" s="1724"/>
      <c r="J80" s="1723"/>
      <c r="K80" s="1721"/>
      <c r="L80" s="1722"/>
      <c r="M80" s="1211"/>
    </row>
    <row r="81" spans="1:13" ht="11.25" customHeight="1">
      <c r="A81" s="1210" t="str">
        <f>A3A!A80</f>
        <v xml:space="preserve"> </v>
      </c>
      <c r="B81" s="294"/>
      <c r="C81" s="1721"/>
      <c r="D81" s="1721"/>
      <c r="E81" s="1722"/>
      <c r="F81" s="1723"/>
      <c r="G81" s="1721"/>
      <c r="H81" s="1722"/>
      <c r="I81" s="1724"/>
      <c r="J81" s="1723"/>
      <c r="K81" s="1721"/>
      <c r="L81" s="1722"/>
      <c r="M81" s="1211"/>
    </row>
    <row r="82" spans="1:13" ht="11.25" customHeight="1">
      <c r="A82" s="1210" t="str">
        <f>A3A!A81</f>
        <v xml:space="preserve"> </v>
      </c>
      <c r="B82" s="294"/>
      <c r="C82" s="1721"/>
      <c r="D82" s="1721"/>
      <c r="E82" s="1722"/>
      <c r="F82" s="1723"/>
      <c r="G82" s="1721"/>
      <c r="H82" s="1722"/>
      <c r="I82" s="1724"/>
      <c r="J82" s="1723"/>
      <c r="K82" s="1721"/>
      <c r="L82" s="1722"/>
      <c r="M82" s="1211"/>
    </row>
    <row r="83" spans="1:13" ht="11.25" customHeight="1">
      <c r="A83" s="1209" t="str">
        <f>A3A!A82</f>
        <v>Example 8 - Vote8</v>
      </c>
      <c r="B83" s="294"/>
      <c r="C83" s="1002">
        <f t="shared" ref="C83:L83" si="7">SUM(C84:C93)</f>
        <v>0</v>
      </c>
      <c r="D83" s="1002">
        <f t="shared" si="7"/>
        <v>0</v>
      </c>
      <c r="E83" s="1003">
        <f t="shared" si="7"/>
        <v>0</v>
      </c>
      <c r="F83" s="1004">
        <f t="shared" si="7"/>
        <v>0</v>
      </c>
      <c r="G83" s="1002">
        <f t="shared" si="7"/>
        <v>0</v>
      </c>
      <c r="H83" s="1003">
        <f t="shared" si="7"/>
        <v>0</v>
      </c>
      <c r="I83" s="1005">
        <f t="shared" si="7"/>
        <v>0</v>
      </c>
      <c r="J83" s="1004">
        <f t="shared" si="7"/>
        <v>0</v>
      </c>
      <c r="K83" s="1002">
        <f t="shared" si="7"/>
        <v>0</v>
      </c>
      <c r="L83" s="1003">
        <f t="shared" si="7"/>
        <v>0</v>
      </c>
      <c r="M83" s="321"/>
    </row>
    <row r="84" spans="1:13" ht="11.25" customHeight="1">
      <c r="A84" s="1210" t="str">
        <f>A3A!A83</f>
        <v>Subvote example 8</v>
      </c>
      <c r="B84" s="294"/>
      <c r="C84" s="1721"/>
      <c r="D84" s="1721"/>
      <c r="E84" s="1724"/>
      <c r="F84" s="1723"/>
      <c r="G84" s="1721"/>
      <c r="H84" s="1722"/>
      <c r="I84" s="1724"/>
      <c r="J84" s="1723"/>
      <c r="K84" s="1721"/>
      <c r="L84" s="1722"/>
      <c r="M84" s="321"/>
    </row>
    <row r="85" spans="1:13" ht="11.25" customHeight="1">
      <c r="A85" s="1210" t="str">
        <f>A3A!A84</f>
        <v xml:space="preserve"> </v>
      </c>
      <c r="B85" s="294"/>
      <c r="C85" s="1721"/>
      <c r="D85" s="1721"/>
      <c r="E85" s="1724"/>
      <c r="F85" s="1723"/>
      <c r="G85" s="1721"/>
      <c r="H85" s="1722"/>
      <c r="I85" s="1724"/>
      <c r="J85" s="1723"/>
      <c r="K85" s="1721"/>
      <c r="L85" s="1722"/>
      <c r="M85" s="321"/>
    </row>
    <row r="86" spans="1:13" ht="11.25" customHeight="1">
      <c r="A86" s="1210" t="str">
        <f>A3A!A85</f>
        <v xml:space="preserve"> </v>
      </c>
      <c r="B86" s="294"/>
      <c r="C86" s="1721"/>
      <c r="D86" s="1721"/>
      <c r="E86" s="1724"/>
      <c r="F86" s="1723"/>
      <c r="G86" s="1721"/>
      <c r="H86" s="1722"/>
      <c r="I86" s="1724"/>
      <c r="J86" s="1723"/>
      <c r="K86" s="1721"/>
      <c r="L86" s="1722"/>
      <c r="M86" s="321"/>
    </row>
    <row r="87" spans="1:13" ht="11.25" customHeight="1">
      <c r="A87" s="1210" t="str">
        <f>A3A!A86</f>
        <v xml:space="preserve"> </v>
      </c>
      <c r="B87" s="294"/>
      <c r="C87" s="1721"/>
      <c r="D87" s="1721"/>
      <c r="E87" s="1724"/>
      <c r="F87" s="1723"/>
      <c r="G87" s="1721"/>
      <c r="H87" s="1722"/>
      <c r="I87" s="1724"/>
      <c r="J87" s="1723"/>
      <c r="K87" s="1721"/>
      <c r="L87" s="1722"/>
      <c r="M87" s="321"/>
    </row>
    <row r="88" spans="1:13" ht="11.25" customHeight="1">
      <c r="A88" s="1210" t="str">
        <f>A3A!A87</f>
        <v xml:space="preserve"> </v>
      </c>
      <c r="B88" s="294"/>
      <c r="C88" s="1721"/>
      <c r="D88" s="1721"/>
      <c r="E88" s="1724"/>
      <c r="F88" s="1723"/>
      <c r="G88" s="1721"/>
      <c r="H88" s="1722"/>
      <c r="I88" s="1724"/>
      <c r="J88" s="1723"/>
      <c r="K88" s="1721"/>
      <c r="L88" s="1722"/>
      <c r="M88" s="321"/>
    </row>
    <row r="89" spans="1:13" ht="11.25" customHeight="1">
      <c r="A89" s="1210" t="str">
        <f>A3A!A88</f>
        <v xml:space="preserve"> </v>
      </c>
      <c r="B89" s="294"/>
      <c r="C89" s="1721"/>
      <c r="D89" s="1721"/>
      <c r="E89" s="1724"/>
      <c r="F89" s="1723"/>
      <c r="G89" s="1721"/>
      <c r="H89" s="1722"/>
      <c r="I89" s="1724"/>
      <c r="J89" s="1723"/>
      <c r="K89" s="1721"/>
      <c r="L89" s="1722"/>
      <c r="M89" s="321"/>
    </row>
    <row r="90" spans="1:13" ht="11.25" customHeight="1">
      <c r="A90" s="1210" t="str">
        <f>A3A!A89</f>
        <v xml:space="preserve"> </v>
      </c>
      <c r="B90" s="294"/>
      <c r="C90" s="1721"/>
      <c r="D90" s="1721"/>
      <c r="E90" s="1724"/>
      <c r="F90" s="1723"/>
      <c r="G90" s="1721"/>
      <c r="H90" s="1722"/>
      <c r="I90" s="1724"/>
      <c r="J90" s="1723"/>
      <c r="K90" s="1721"/>
      <c r="L90" s="1722"/>
      <c r="M90" s="321"/>
    </row>
    <row r="91" spans="1:13" ht="11.25" customHeight="1">
      <c r="A91" s="1210" t="str">
        <f>A3A!A90</f>
        <v xml:space="preserve"> </v>
      </c>
      <c r="B91" s="294"/>
      <c r="C91" s="1721"/>
      <c r="D91" s="1721"/>
      <c r="E91" s="1724"/>
      <c r="F91" s="1723"/>
      <c r="G91" s="1721"/>
      <c r="H91" s="1722"/>
      <c r="I91" s="1724"/>
      <c r="J91" s="1723"/>
      <c r="K91" s="1721"/>
      <c r="L91" s="1722"/>
      <c r="M91" s="321"/>
    </row>
    <row r="92" spans="1:13" ht="11.25" customHeight="1">
      <c r="A92" s="1210" t="str">
        <f>A3A!A91</f>
        <v xml:space="preserve"> </v>
      </c>
      <c r="B92" s="294"/>
      <c r="C92" s="1721"/>
      <c r="D92" s="1721"/>
      <c r="E92" s="1724"/>
      <c r="F92" s="1723"/>
      <c r="G92" s="1721"/>
      <c r="H92" s="1722"/>
      <c r="I92" s="1724"/>
      <c r="J92" s="1723"/>
      <c r="K92" s="1721"/>
      <c r="L92" s="1722"/>
      <c r="M92" s="321"/>
    </row>
    <row r="93" spans="1:13" ht="11.25" customHeight="1">
      <c r="A93" s="1210" t="str">
        <f>A3A!A92</f>
        <v xml:space="preserve"> </v>
      </c>
      <c r="B93" s="294"/>
      <c r="C93" s="1721"/>
      <c r="D93" s="1721"/>
      <c r="E93" s="1724"/>
      <c r="F93" s="1723"/>
      <c r="G93" s="1721"/>
      <c r="H93" s="1722"/>
      <c r="I93" s="1724"/>
      <c r="J93" s="1723"/>
      <c r="K93" s="1721"/>
      <c r="L93" s="1722"/>
      <c r="M93" s="321"/>
    </row>
    <row r="94" spans="1:13" ht="11.25" customHeight="1">
      <c r="A94" s="1209" t="str">
        <f>A3A!A93</f>
        <v>Example 9 - Vote9</v>
      </c>
      <c r="B94" s="294"/>
      <c r="C94" s="1002">
        <f>SUM(C95:C104)</f>
        <v>0</v>
      </c>
      <c r="D94" s="1002">
        <f t="shared" ref="D94:L94" si="8">SUM(D95:D104)</f>
        <v>0</v>
      </c>
      <c r="E94" s="1003">
        <f t="shared" si="8"/>
        <v>0</v>
      </c>
      <c r="F94" s="1004">
        <f t="shared" si="8"/>
        <v>0</v>
      </c>
      <c r="G94" s="1002">
        <f t="shared" si="8"/>
        <v>0</v>
      </c>
      <c r="H94" s="1003">
        <f t="shared" si="8"/>
        <v>0</v>
      </c>
      <c r="I94" s="1005">
        <f t="shared" si="8"/>
        <v>0</v>
      </c>
      <c r="J94" s="1004">
        <f t="shared" si="8"/>
        <v>0</v>
      </c>
      <c r="K94" s="1002">
        <f t="shared" si="8"/>
        <v>0</v>
      </c>
      <c r="L94" s="1003">
        <f t="shared" si="8"/>
        <v>0</v>
      </c>
      <c r="M94" s="321"/>
    </row>
    <row r="95" spans="1:13" ht="11.25" customHeight="1">
      <c r="A95" s="1210" t="str">
        <f>A3A!A94</f>
        <v>Subvote example 9</v>
      </c>
      <c r="B95" s="294"/>
      <c r="C95" s="1721"/>
      <c r="D95" s="1721"/>
      <c r="E95" s="1724"/>
      <c r="F95" s="1723"/>
      <c r="G95" s="1721"/>
      <c r="H95" s="1722"/>
      <c r="I95" s="1724"/>
      <c r="J95" s="1723"/>
      <c r="K95" s="1721"/>
      <c r="L95" s="1722"/>
      <c r="M95" s="321"/>
    </row>
    <row r="96" spans="1:13" ht="11.25" customHeight="1">
      <c r="A96" s="1210" t="str">
        <f>A3A!A95</f>
        <v xml:space="preserve"> </v>
      </c>
      <c r="B96" s="294"/>
      <c r="C96" s="1721"/>
      <c r="D96" s="1721"/>
      <c r="E96" s="1724"/>
      <c r="F96" s="1723"/>
      <c r="G96" s="1721"/>
      <c r="H96" s="1722"/>
      <c r="I96" s="1724"/>
      <c r="J96" s="1723"/>
      <c r="K96" s="1721"/>
      <c r="L96" s="1722"/>
      <c r="M96" s="321"/>
    </row>
    <row r="97" spans="1:13" ht="11.25" customHeight="1">
      <c r="A97" s="1210" t="str">
        <f>A3A!A96</f>
        <v xml:space="preserve"> </v>
      </c>
      <c r="B97" s="294"/>
      <c r="C97" s="1721"/>
      <c r="D97" s="1721"/>
      <c r="E97" s="1724"/>
      <c r="F97" s="1723"/>
      <c r="G97" s="1721"/>
      <c r="H97" s="1722"/>
      <c r="I97" s="1724"/>
      <c r="J97" s="1723"/>
      <c r="K97" s="1721"/>
      <c r="L97" s="1722"/>
      <c r="M97" s="321"/>
    </row>
    <row r="98" spans="1:13" ht="11.25" customHeight="1">
      <c r="A98" s="1210" t="str">
        <f>A3A!A97</f>
        <v xml:space="preserve"> </v>
      </c>
      <c r="B98" s="294"/>
      <c r="C98" s="1721"/>
      <c r="D98" s="1721"/>
      <c r="E98" s="1724"/>
      <c r="F98" s="1723"/>
      <c r="G98" s="1721"/>
      <c r="H98" s="1722"/>
      <c r="I98" s="1724"/>
      <c r="J98" s="1723"/>
      <c r="K98" s="1721"/>
      <c r="L98" s="1722"/>
      <c r="M98" s="321"/>
    </row>
    <row r="99" spans="1:13" ht="11.25" customHeight="1">
      <c r="A99" s="1210" t="str">
        <f>A3A!A98</f>
        <v xml:space="preserve"> </v>
      </c>
      <c r="B99" s="294"/>
      <c r="C99" s="1721"/>
      <c r="D99" s="1721"/>
      <c r="E99" s="1724"/>
      <c r="F99" s="1723"/>
      <c r="G99" s="1721"/>
      <c r="H99" s="1722"/>
      <c r="I99" s="1724"/>
      <c r="J99" s="1723"/>
      <c r="K99" s="1721"/>
      <c r="L99" s="1722"/>
      <c r="M99" s="321"/>
    </row>
    <row r="100" spans="1:13" ht="11.25" customHeight="1">
      <c r="A100" s="1210" t="str">
        <f>A3A!A99</f>
        <v xml:space="preserve"> </v>
      </c>
      <c r="B100" s="294"/>
      <c r="C100" s="1721"/>
      <c r="D100" s="1721"/>
      <c r="E100" s="1724"/>
      <c r="F100" s="1723"/>
      <c r="G100" s="1721"/>
      <c r="H100" s="1722"/>
      <c r="I100" s="1724"/>
      <c r="J100" s="1723"/>
      <c r="K100" s="1721"/>
      <c r="L100" s="1722"/>
      <c r="M100" s="321"/>
    </row>
    <row r="101" spans="1:13" ht="11.25" customHeight="1">
      <c r="A101" s="1210" t="str">
        <f>A3A!A100</f>
        <v xml:space="preserve"> </v>
      </c>
      <c r="B101" s="294"/>
      <c r="C101" s="1721"/>
      <c r="D101" s="1721"/>
      <c r="E101" s="1724"/>
      <c r="F101" s="1723"/>
      <c r="G101" s="1721"/>
      <c r="H101" s="1722"/>
      <c r="I101" s="1724"/>
      <c r="J101" s="1723"/>
      <c r="K101" s="1721"/>
      <c r="L101" s="1722"/>
      <c r="M101" s="321"/>
    </row>
    <row r="102" spans="1:13" ht="11.25" customHeight="1">
      <c r="A102" s="1210" t="str">
        <f>A3A!A101</f>
        <v xml:space="preserve"> </v>
      </c>
      <c r="B102" s="294"/>
      <c r="C102" s="1721"/>
      <c r="D102" s="1721"/>
      <c r="E102" s="1724"/>
      <c r="F102" s="1723"/>
      <c r="G102" s="1721"/>
      <c r="H102" s="1722"/>
      <c r="I102" s="1724"/>
      <c r="J102" s="1723"/>
      <c r="K102" s="1721"/>
      <c r="L102" s="1722"/>
      <c r="M102" s="321"/>
    </row>
    <row r="103" spans="1:13" ht="11.25" customHeight="1">
      <c r="A103" s="1210" t="str">
        <f>A3A!A102</f>
        <v xml:space="preserve"> </v>
      </c>
      <c r="B103" s="294"/>
      <c r="C103" s="1721"/>
      <c r="D103" s="1721"/>
      <c r="E103" s="1724"/>
      <c r="F103" s="1723"/>
      <c r="G103" s="1721"/>
      <c r="H103" s="1722"/>
      <c r="I103" s="1724"/>
      <c r="J103" s="1723"/>
      <c r="K103" s="1721"/>
      <c r="L103" s="1722"/>
      <c r="M103" s="321"/>
    </row>
    <row r="104" spans="1:13" ht="11.25" customHeight="1">
      <c r="A104" s="1210" t="str">
        <f>A3A!A103</f>
        <v xml:space="preserve"> </v>
      </c>
      <c r="B104" s="294"/>
      <c r="C104" s="1721"/>
      <c r="D104" s="1721"/>
      <c r="E104" s="1724"/>
      <c r="F104" s="1723"/>
      <c r="G104" s="1721"/>
      <c r="H104" s="1722"/>
      <c r="I104" s="1724"/>
      <c r="J104" s="1723"/>
      <c r="K104" s="1721"/>
      <c r="L104" s="1722"/>
      <c r="M104" s="321"/>
    </row>
    <row r="105" spans="1:13" ht="11.25" customHeight="1">
      <c r="A105" s="1209" t="str">
        <f>A3A!A104</f>
        <v>Example 10 - Vote10</v>
      </c>
      <c r="B105" s="294"/>
      <c r="C105" s="1002">
        <f>SUM(C106:C115)</f>
        <v>0</v>
      </c>
      <c r="D105" s="1002">
        <f t="shared" ref="D105:L105" si="9">SUM(D106:D115)</f>
        <v>0</v>
      </c>
      <c r="E105" s="1003">
        <f t="shared" si="9"/>
        <v>0</v>
      </c>
      <c r="F105" s="1004">
        <f t="shared" si="9"/>
        <v>0</v>
      </c>
      <c r="G105" s="1002">
        <f t="shared" si="9"/>
        <v>0</v>
      </c>
      <c r="H105" s="1003">
        <f t="shared" si="9"/>
        <v>0</v>
      </c>
      <c r="I105" s="1005">
        <f t="shared" si="9"/>
        <v>0</v>
      </c>
      <c r="J105" s="1004">
        <f t="shared" si="9"/>
        <v>0</v>
      </c>
      <c r="K105" s="1002">
        <f t="shared" si="9"/>
        <v>0</v>
      </c>
      <c r="L105" s="1003">
        <f t="shared" si="9"/>
        <v>0</v>
      </c>
      <c r="M105" s="321"/>
    </row>
    <row r="106" spans="1:13" ht="11.25" customHeight="1">
      <c r="A106" s="1210" t="str">
        <f>A3A!A105</f>
        <v>Subvote example 10</v>
      </c>
      <c r="B106" s="294"/>
      <c r="C106" s="1721"/>
      <c r="D106" s="1721"/>
      <c r="E106" s="1724"/>
      <c r="F106" s="1723"/>
      <c r="G106" s="1721"/>
      <c r="H106" s="1722"/>
      <c r="I106" s="1724"/>
      <c r="J106" s="1723"/>
      <c r="K106" s="1721"/>
      <c r="L106" s="1722"/>
      <c r="M106" s="321"/>
    </row>
    <row r="107" spans="1:13" ht="11.25" customHeight="1">
      <c r="A107" s="1210" t="str">
        <f>A3A!A106</f>
        <v xml:space="preserve"> </v>
      </c>
      <c r="B107" s="294"/>
      <c r="C107" s="1721"/>
      <c r="D107" s="1721"/>
      <c r="E107" s="1724"/>
      <c r="F107" s="1723"/>
      <c r="G107" s="1721"/>
      <c r="H107" s="1722"/>
      <c r="I107" s="1724"/>
      <c r="J107" s="1723"/>
      <c r="K107" s="1721"/>
      <c r="L107" s="1722"/>
      <c r="M107" s="321"/>
    </row>
    <row r="108" spans="1:13" ht="11.25" customHeight="1">
      <c r="A108" s="1210" t="str">
        <f>A3A!A107</f>
        <v xml:space="preserve"> </v>
      </c>
      <c r="B108" s="294"/>
      <c r="C108" s="1721"/>
      <c r="D108" s="1721"/>
      <c r="E108" s="1724"/>
      <c r="F108" s="1723"/>
      <c r="G108" s="1721"/>
      <c r="H108" s="1722"/>
      <c r="I108" s="1724"/>
      <c r="J108" s="1723"/>
      <c r="K108" s="1721"/>
      <c r="L108" s="1722"/>
      <c r="M108" s="321"/>
    </row>
    <row r="109" spans="1:13" ht="11.25" customHeight="1">
      <c r="A109" s="1210" t="str">
        <f>A3A!A108</f>
        <v xml:space="preserve"> </v>
      </c>
      <c r="B109" s="294"/>
      <c r="C109" s="1721"/>
      <c r="D109" s="1721"/>
      <c r="E109" s="1724"/>
      <c r="F109" s="1723"/>
      <c r="G109" s="1721"/>
      <c r="H109" s="1722"/>
      <c r="I109" s="1724"/>
      <c r="J109" s="1723"/>
      <c r="K109" s="1721"/>
      <c r="L109" s="1722"/>
      <c r="M109" s="321"/>
    </row>
    <row r="110" spans="1:13" ht="11.25" customHeight="1">
      <c r="A110" s="1210" t="str">
        <f>A3A!A109</f>
        <v xml:space="preserve"> </v>
      </c>
      <c r="B110" s="294"/>
      <c r="C110" s="1721"/>
      <c r="D110" s="1721"/>
      <c r="E110" s="1724"/>
      <c r="F110" s="1723"/>
      <c r="G110" s="1721"/>
      <c r="H110" s="1722"/>
      <c r="I110" s="1724"/>
      <c r="J110" s="1723"/>
      <c r="K110" s="1721"/>
      <c r="L110" s="1722"/>
      <c r="M110" s="321"/>
    </row>
    <row r="111" spans="1:13" ht="11.25" customHeight="1">
      <c r="A111" s="1210" t="str">
        <f>A3A!A110</f>
        <v xml:space="preserve"> </v>
      </c>
      <c r="B111" s="294"/>
      <c r="C111" s="1721"/>
      <c r="D111" s="1721"/>
      <c r="E111" s="1724"/>
      <c r="F111" s="1723"/>
      <c r="G111" s="1721"/>
      <c r="H111" s="1722"/>
      <c r="I111" s="1724"/>
      <c r="J111" s="1723"/>
      <c r="K111" s="1721"/>
      <c r="L111" s="1722"/>
      <c r="M111" s="321"/>
    </row>
    <row r="112" spans="1:13" ht="11.25" customHeight="1">
      <c r="A112" s="1210" t="str">
        <f>A3A!A111</f>
        <v xml:space="preserve"> </v>
      </c>
      <c r="B112" s="294"/>
      <c r="C112" s="1721"/>
      <c r="D112" s="1721"/>
      <c r="E112" s="1724"/>
      <c r="F112" s="1723"/>
      <c r="G112" s="1721"/>
      <c r="H112" s="1722"/>
      <c r="I112" s="1724"/>
      <c r="J112" s="1723"/>
      <c r="K112" s="1721"/>
      <c r="L112" s="1722"/>
      <c r="M112" s="321"/>
    </row>
    <row r="113" spans="1:13" ht="11.25" customHeight="1">
      <c r="A113" s="1210" t="str">
        <f>A3A!A112</f>
        <v xml:space="preserve"> </v>
      </c>
      <c r="B113" s="294"/>
      <c r="C113" s="1721"/>
      <c r="D113" s="1721"/>
      <c r="E113" s="1724"/>
      <c r="F113" s="1723"/>
      <c r="G113" s="1721"/>
      <c r="H113" s="1722"/>
      <c r="I113" s="1724"/>
      <c r="J113" s="1723"/>
      <c r="K113" s="1721"/>
      <c r="L113" s="1722"/>
      <c r="M113" s="321"/>
    </row>
    <row r="114" spans="1:13" ht="11.25" customHeight="1">
      <c r="A114" s="1210" t="str">
        <f>A3A!A113</f>
        <v xml:space="preserve"> </v>
      </c>
      <c r="B114" s="294"/>
      <c r="C114" s="1721"/>
      <c r="D114" s="1721"/>
      <c r="E114" s="1724"/>
      <c r="F114" s="1723"/>
      <c r="G114" s="1721"/>
      <c r="H114" s="1722"/>
      <c r="I114" s="1724"/>
      <c r="J114" s="1723"/>
      <c r="K114" s="1721"/>
      <c r="L114" s="1722"/>
      <c r="M114" s="321"/>
    </row>
    <row r="115" spans="1:13" ht="11.25" customHeight="1">
      <c r="A115" s="1210" t="str">
        <f>A3A!A114</f>
        <v xml:space="preserve"> </v>
      </c>
      <c r="B115" s="294"/>
      <c r="C115" s="1721"/>
      <c r="D115" s="1721"/>
      <c r="E115" s="1724"/>
      <c r="F115" s="1723"/>
      <c r="G115" s="1721"/>
      <c r="H115" s="1722"/>
      <c r="I115" s="1724"/>
      <c r="J115" s="1723"/>
      <c r="K115" s="1721"/>
      <c r="L115" s="1722"/>
      <c r="M115" s="321"/>
    </row>
    <row r="116" spans="1:13" ht="11.25" customHeight="1">
      <c r="A116" s="1209" t="str">
        <f>A3A!A115</f>
        <v>Example 11 - Vote11</v>
      </c>
      <c r="B116" s="294"/>
      <c r="C116" s="1002">
        <f t="shared" ref="C116:L116" si="10">SUM(C117:C126)</f>
        <v>0</v>
      </c>
      <c r="D116" s="1002">
        <f t="shared" si="10"/>
        <v>0</v>
      </c>
      <c r="E116" s="1003">
        <f t="shared" si="10"/>
        <v>0</v>
      </c>
      <c r="F116" s="1004">
        <f t="shared" si="10"/>
        <v>0</v>
      </c>
      <c r="G116" s="1002">
        <f t="shared" si="10"/>
        <v>0</v>
      </c>
      <c r="H116" s="1003">
        <f t="shared" si="10"/>
        <v>0</v>
      </c>
      <c r="I116" s="1005">
        <f t="shared" si="10"/>
        <v>0</v>
      </c>
      <c r="J116" s="1004">
        <f t="shared" si="10"/>
        <v>0</v>
      </c>
      <c r="K116" s="1002">
        <f t="shared" si="10"/>
        <v>0</v>
      </c>
      <c r="L116" s="1003">
        <f t="shared" si="10"/>
        <v>0</v>
      </c>
      <c r="M116" s="321"/>
    </row>
    <row r="117" spans="1:13" ht="11.25" customHeight="1">
      <c r="A117" s="1210" t="str">
        <f>A3A!A116</f>
        <v>Subvote example 11</v>
      </c>
      <c r="B117" s="294"/>
      <c r="C117" s="1721"/>
      <c r="D117" s="1721"/>
      <c r="E117" s="1724"/>
      <c r="F117" s="1723"/>
      <c r="G117" s="1721"/>
      <c r="H117" s="1722"/>
      <c r="I117" s="1724"/>
      <c r="J117" s="1723"/>
      <c r="K117" s="1721"/>
      <c r="L117" s="1722"/>
      <c r="M117" s="321"/>
    </row>
    <row r="118" spans="1:13" ht="11.25" customHeight="1">
      <c r="A118" s="1210">
        <f>A3A!A117</f>
        <v>0</v>
      </c>
      <c r="B118" s="294"/>
      <c r="C118" s="1721"/>
      <c r="D118" s="1721"/>
      <c r="E118" s="1724"/>
      <c r="F118" s="1723"/>
      <c r="G118" s="1721"/>
      <c r="H118" s="1722"/>
      <c r="I118" s="1724"/>
      <c r="J118" s="1723"/>
      <c r="K118" s="1721"/>
      <c r="L118" s="1722"/>
      <c r="M118" s="321"/>
    </row>
    <row r="119" spans="1:13" ht="11.25" customHeight="1">
      <c r="A119" s="1210">
        <f>A3A!A118</f>
        <v>0</v>
      </c>
      <c r="B119" s="294"/>
      <c r="C119" s="1721"/>
      <c r="D119" s="1721"/>
      <c r="E119" s="1724"/>
      <c r="F119" s="1723"/>
      <c r="G119" s="1721"/>
      <c r="H119" s="1722"/>
      <c r="I119" s="1724"/>
      <c r="J119" s="1723"/>
      <c r="K119" s="1721"/>
      <c r="L119" s="1722"/>
      <c r="M119" s="321"/>
    </row>
    <row r="120" spans="1:13" ht="11.25" customHeight="1">
      <c r="A120" s="1210">
        <f>A3A!A119</f>
        <v>0</v>
      </c>
      <c r="B120" s="294"/>
      <c r="C120" s="1721"/>
      <c r="D120" s="1721"/>
      <c r="E120" s="1724"/>
      <c r="F120" s="1723"/>
      <c r="G120" s="1721"/>
      <c r="H120" s="1722"/>
      <c r="I120" s="1724"/>
      <c r="J120" s="1723"/>
      <c r="K120" s="1721"/>
      <c r="L120" s="1722"/>
      <c r="M120" s="321"/>
    </row>
    <row r="121" spans="1:13" ht="11.25" customHeight="1">
      <c r="A121" s="1210">
        <f>A3A!A120</f>
        <v>0</v>
      </c>
      <c r="B121" s="294"/>
      <c r="C121" s="1721"/>
      <c r="D121" s="1721"/>
      <c r="E121" s="1724"/>
      <c r="F121" s="1723"/>
      <c r="G121" s="1721"/>
      <c r="H121" s="1722"/>
      <c r="I121" s="1724"/>
      <c r="J121" s="1723"/>
      <c r="K121" s="1721"/>
      <c r="L121" s="1722"/>
      <c r="M121" s="321"/>
    </row>
    <row r="122" spans="1:13" ht="11.25" customHeight="1">
      <c r="A122" s="1210">
        <f>A3A!A121</f>
        <v>0</v>
      </c>
      <c r="B122" s="294"/>
      <c r="C122" s="1721"/>
      <c r="D122" s="1721"/>
      <c r="E122" s="1724"/>
      <c r="F122" s="1723"/>
      <c r="G122" s="1721"/>
      <c r="H122" s="1722"/>
      <c r="I122" s="1724"/>
      <c r="J122" s="1723"/>
      <c r="K122" s="1721"/>
      <c r="L122" s="1722"/>
      <c r="M122" s="321"/>
    </row>
    <row r="123" spans="1:13" ht="11.25" customHeight="1">
      <c r="A123" s="1210">
        <f>A3A!A122</f>
        <v>0</v>
      </c>
      <c r="B123" s="294"/>
      <c r="C123" s="1721"/>
      <c r="D123" s="1721"/>
      <c r="E123" s="1724"/>
      <c r="F123" s="1723"/>
      <c r="G123" s="1721"/>
      <c r="H123" s="1722"/>
      <c r="I123" s="1724"/>
      <c r="J123" s="1723"/>
      <c r="K123" s="1721"/>
      <c r="L123" s="1722"/>
      <c r="M123" s="321"/>
    </row>
    <row r="124" spans="1:13" ht="11.25" customHeight="1">
      <c r="A124" s="1210">
        <f>A3A!A123</f>
        <v>0</v>
      </c>
      <c r="B124" s="294"/>
      <c r="C124" s="1721"/>
      <c r="D124" s="1721"/>
      <c r="E124" s="1724"/>
      <c r="F124" s="1723"/>
      <c r="G124" s="1721"/>
      <c r="H124" s="1722"/>
      <c r="I124" s="1724"/>
      <c r="J124" s="1723"/>
      <c r="K124" s="1721"/>
      <c r="L124" s="1722"/>
      <c r="M124" s="321"/>
    </row>
    <row r="125" spans="1:13" ht="11.25" customHeight="1">
      <c r="A125" s="1210">
        <f>A3A!A124</f>
        <v>0</v>
      </c>
      <c r="B125" s="294"/>
      <c r="C125" s="1721"/>
      <c r="D125" s="1721"/>
      <c r="E125" s="1724"/>
      <c r="F125" s="1723"/>
      <c r="G125" s="1721"/>
      <c r="H125" s="1722"/>
      <c r="I125" s="1724"/>
      <c r="J125" s="1723"/>
      <c r="K125" s="1721"/>
      <c r="L125" s="1722"/>
      <c r="M125" s="321"/>
    </row>
    <row r="126" spans="1:13" ht="11.25" customHeight="1">
      <c r="A126" s="1210">
        <f>A3A!A125</f>
        <v>0</v>
      </c>
      <c r="B126" s="294"/>
      <c r="C126" s="1721"/>
      <c r="D126" s="1721"/>
      <c r="E126" s="1724"/>
      <c r="F126" s="1723"/>
      <c r="G126" s="1721"/>
      <c r="H126" s="1722"/>
      <c r="I126" s="1724"/>
      <c r="J126" s="1723"/>
      <c r="K126" s="1721"/>
      <c r="L126" s="1722"/>
      <c r="M126" s="321"/>
    </row>
    <row r="127" spans="1:13" ht="11.25" customHeight="1">
      <c r="A127" s="1209" t="str">
        <f>A3A!A126</f>
        <v>Example 12 - Vote12</v>
      </c>
      <c r="B127" s="294"/>
      <c r="C127" s="1002">
        <f t="shared" ref="C127:L127" si="11">SUM(C128:C137)</f>
        <v>0</v>
      </c>
      <c r="D127" s="1002">
        <f t="shared" si="11"/>
        <v>0</v>
      </c>
      <c r="E127" s="1003">
        <f t="shared" si="11"/>
        <v>0</v>
      </c>
      <c r="F127" s="1004">
        <f t="shared" si="11"/>
        <v>0</v>
      </c>
      <c r="G127" s="1002">
        <f t="shared" si="11"/>
        <v>0</v>
      </c>
      <c r="H127" s="1003">
        <f t="shared" si="11"/>
        <v>0</v>
      </c>
      <c r="I127" s="1005">
        <f t="shared" si="11"/>
        <v>0</v>
      </c>
      <c r="J127" s="1004">
        <f t="shared" si="11"/>
        <v>0</v>
      </c>
      <c r="K127" s="1002">
        <f t="shared" si="11"/>
        <v>0</v>
      </c>
      <c r="L127" s="1003">
        <f t="shared" si="11"/>
        <v>0</v>
      </c>
      <c r="M127" s="321"/>
    </row>
    <row r="128" spans="1:13" ht="11.25" customHeight="1">
      <c r="A128" s="1210" t="str">
        <f>A3A!A127</f>
        <v>Subvote example 12</v>
      </c>
      <c r="B128" s="294"/>
      <c r="C128" s="1721"/>
      <c r="D128" s="1721"/>
      <c r="E128" s="1724"/>
      <c r="F128" s="1723"/>
      <c r="G128" s="1721"/>
      <c r="H128" s="1722"/>
      <c r="I128" s="1724"/>
      <c r="J128" s="1723"/>
      <c r="K128" s="1721"/>
      <c r="L128" s="1722"/>
      <c r="M128" s="321"/>
    </row>
    <row r="129" spans="1:13" ht="11.25" customHeight="1">
      <c r="A129" s="1210">
        <f>A3A!A128</f>
        <v>0</v>
      </c>
      <c r="B129" s="294"/>
      <c r="C129" s="1721"/>
      <c r="D129" s="1721"/>
      <c r="E129" s="1724"/>
      <c r="F129" s="1723"/>
      <c r="G129" s="1721"/>
      <c r="H129" s="1722"/>
      <c r="I129" s="1724"/>
      <c r="J129" s="1723"/>
      <c r="K129" s="1721"/>
      <c r="L129" s="1722"/>
      <c r="M129" s="321"/>
    </row>
    <row r="130" spans="1:13" ht="11.25" customHeight="1">
      <c r="A130" s="1210">
        <f>A3A!A129</f>
        <v>0</v>
      </c>
      <c r="B130" s="294"/>
      <c r="C130" s="1721"/>
      <c r="D130" s="1721"/>
      <c r="E130" s="1724"/>
      <c r="F130" s="1723"/>
      <c r="G130" s="1721"/>
      <c r="H130" s="1722"/>
      <c r="I130" s="1724"/>
      <c r="J130" s="1723"/>
      <c r="K130" s="1721"/>
      <c r="L130" s="1722"/>
      <c r="M130" s="321"/>
    </row>
    <row r="131" spans="1:13" ht="11.25" customHeight="1">
      <c r="A131" s="1210">
        <f>A3A!A130</f>
        <v>0</v>
      </c>
      <c r="B131" s="294"/>
      <c r="C131" s="1721"/>
      <c r="D131" s="1721"/>
      <c r="E131" s="1724"/>
      <c r="F131" s="1723"/>
      <c r="G131" s="1721"/>
      <c r="H131" s="1722"/>
      <c r="I131" s="1724"/>
      <c r="J131" s="1723"/>
      <c r="K131" s="1721"/>
      <c r="L131" s="1722"/>
      <c r="M131" s="321"/>
    </row>
    <row r="132" spans="1:13" ht="11.25" customHeight="1">
      <c r="A132" s="1210">
        <f>A3A!A131</f>
        <v>0</v>
      </c>
      <c r="B132" s="294"/>
      <c r="C132" s="1721"/>
      <c r="D132" s="1721"/>
      <c r="E132" s="1724"/>
      <c r="F132" s="1723"/>
      <c r="G132" s="1721"/>
      <c r="H132" s="1722"/>
      <c r="I132" s="1724"/>
      <c r="J132" s="1723"/>
      <c r="K132" s="1721"/>
      <c r="L132" s="1722"/>
      <c r="M132" s="321"/>
    </row>
    <row r="133" spans="1:13" ht="11.25" customHeight="1">
      <c r="A133" s="1210">
        <f>A3A!A132</f>
        <v>0</v>
      </c>
      <c r="B133" s="294"/>
      <c r="C133" s="1721"/>
      <c r="D133" s="1721"/>
      <c r="E133" s="1724"/>
      <c r="F133" s="1723"/>
      <c r="G133" s="1721"/>
      <c r="H133" s="1722"/>
      <c r="I133" s="1724"/>
      <c r="J133" s="1723"/>
      <c r="K133" s="1721"/>
      <c r="L133" s="1722"/>
      <c r="M133" s="321"/>
    </row>
    <row r="134" spans="1:13" ht="11.25" customHeight="1">
      <c r="A134" s="1210">
        <f>A3A!A133</f>
        <v>0</v>
      </c>
      <c r="B134" s="294"/>
      <c r="C134" s="1721"/>
      <c r="D134" s="1721"/>
      <c r="E134" s="1724"/>
      <c r="F134" s="1723"/>
      <c r="G134" s="1721"/>
      <c r="H134" s="1722"/>
      <c r="I134" s="1724"/>
      <c r="J134" s="1723"/>
      <c r="K134" s="1721"/>
      <c r="L134" s="1722"/>
      <c r="M134" s="321"/>
    </row>
    <row r="135" spans="1:13" ht="11.25" customHeight="1">
      <c r="A135" s="1210">
        <f>A3A!A134</f>
        <v>0</v>
      </c>
      <c r="B135" s="294"/>
      <c r="C135" s="1721"/>
      <c r="D135" s="1721"/>
      <c r="E135" s="1724"/>
      <c r="F135" s="1723"/>
      <c r="G135" s="1721"/>
      <c r="H135" s="1722"/>
      <c r="I135" s="1724"/>
      <c r="J135" s="1723"/>
      <c r="K135" s="1721"/>
      <c r="L135" s="1722"/>
      <c r="M135" s="321"/>
    </row>
    <row r="136" spans="1:13" ht="11.25" customHeight="1">
      <c r="A136" s="1210">
        <f>A3A!A135</f>
        <v>0</v>
      </c>
      <c r="B136" s="294"/>
      <c r="C136" s="1721"/>
      <c r="D136" s="1721"/>
      <c r="E136" s="1724"/>
      <c r="F136" s="1723"/>
      <c r="G136" s="1721"/>
      <c r="H136" s="1722"/>
      <c r="I136" s="1724"/>
      <c r="J136" s="1723"/>
      <c r="K136" s="1721"/>
      <c r="L136" s="1722"/>
      <c r="M136" s="321"/>
    </row>
    <row r="137" spans="1:13" ht="11.25" customHeight="1">
      <c r="A137" s="1210">
        <f>A3A!A136</f>
        <v>0</v>
      </c>
      <c r="B137" s="294"/>
      <c r="C137" s="1721"/>
      <c r="D137" s="1721"/>
      <c r="E137" s="1724"/>
      <c r="F137" s="1723"/>
      <c r="G137" s="1721"/>
      <c r="H137" s="1722"/>
      <c r="I137" s="1724"/>
      <c r="J137" s="1723"/>
      <c r="K137" s="1721"/>
      <c r="L137" s="1722"/>
      <c r="M137" s="321"/>
    </row>
    <row r="138" spans="1:13" ht="11.25" customHeight="1">
      <c r="A138" s="1209" t="str">
        <f>A3A!A137</f>
        <v>Example 13 - Vote13</v>
      </c>
      <c r="B138" s="294"/>
      <c r="C138" s="1002">
        <f t="shared" ref="C138:L138" si="12">SUM(C139:C148)</f>
        <v>0</v>
      </c>
      <c r="D138" s="1002">
        <f t="shared" si="12"/>
        <v>0</v>
      </c>
      <c r="E138" s="1003">
        <f t="shared" si="12"/>
        <v>0</v>
      </c>
      <c r="F138" s="1004">
        <f t="shared" si="12"/>
        <v>0</v>
      </c>
      <c r="G138" s="1002">
        <f t="shared" si="12"/>
        <v>0</v>
      </c>
      <c r="H138" s="1003">
        <f t="shared" si="12"/>
        <v>0</v>
      </c>
      <c r="I138" s="1005">
        <f t="shared" si="12"/>
        <v>0</v>
      </c>
      <c r="J138" s="1004">
        <f t="shared" si="12"/>
        <v>0</v>
      </c>
      <c r="K138" s="1002">
        <f t="shared" si="12"/>
        <v>0</v>
      </c>
      <c r="L138" s="1003">
        <f t="shared" si="12"/>
        <v>0</v>
      </c>
      <c r="M138" s="321"/>
    </row>
    <row r="139" spans="1:13" ht="11.25" customHeight="1">
      <c r="A139" s="1210" t="str">
        <f>A3A!A138</f>
        <v>Subvote example 13</v>
      </c>
      <c r="B139" s="294"/>
      <c r="C139" s="1721"/>
      <c r="D139" s="1721"/>
      <c r="E139" s="1724"/>
      <c r="F139" s="1723"/>
      <c r="G139" s="1721"/>
      <c r="H139" s="1722"/>
      <c r="I139" s="1724"/>
      <c r="J139" s="1723"/>
      <c r="K139" s="1721"/>
      <c r="L139" s="1722"/>
      <c r="M139" s="321"/>
    </row>
    <row r="140" spans="1:13" ht="11.25" customHeight="1">
      <c r="A140" s="1210">
        <f>A3A!A139</f>
        <v>0</v>
      </c>
      <c r="B140" s="294"/>
      <c r="C140" s="1721"/>
      <c r="D140" s="1721"/>
      <c r="E140" s="1724"/>
      <c r="F140" s="1723"/>
      <c r="G140" s="1721"/>
      <c r="H140" s="1722"/>
      <c r="I140" s="1724"/>
      <c r="J140" s="1723"/>
      <c r="K140" s="1721"/>
      <c r="L140" s="1722"/>
      <c r="M140" s="321"/>
    </row>
    <row r="141" spans="1:13" ht="11.25" customHeight="1">
      <c r="A141" s="1210">
        <f>A3A!A140</f>
        <v>0</v>
      </c>
      <c r="B141" s="294"/>
      <c r="C141" s="1721"/>
      <c r="D141" s="1721"/>
      <c r="E141" s="1724"/>
      <c r="F141" s="1723"/>
      <c r="G141" s="1721"/>
      <c r="H141" s="1722"/>
      <c r="I141" s="1724"/>
      <c r="J141" s="1723"/>
      <c r="K141" s="1721"/>
      <c r="L141" s="1722"/>
      <c r="M141" s="321"/>
    </row>
    <row r="142" spans="1:13" ht="11.25" customHeight="1">
      <c r="A142" s="1210">
        <f>A3A!A141</f>
        <v>0</v>
      </c>
      <c r="B142" s="294"/>
      <c r="C142" s="1721"/>
      <c r="D142" s="1721"/>
      <c r="E142" s="1724"/>
      <c r="F142" s="1723"/>
      <c r="G142" s="1721"/>
      <c r="H142" s="1722"/>
      <c r="I142" s="1724"/>
      <c r="J142" s="1723"/>
      <c r="K142" s="1721"/>
      <c r="L142" s="1722"/>
      <c r="M142" s="321"/>
    </row>
    <row r="143" spans="1:13" ht="11.25" customHeight="1">
      <c r="A143" s="1210">
        <f>A3A!A142</f>
        <v>0</v>
      </c>
      <c r="B143" s="294"/>
      <c r="C143" s="1721"/>
      <c r="D143" s="1721"/>
      <c r="E143" s="1724"/>
      <c r="F143" s="1723"/>
      <c r="G143" s="1721"/>
      <c r="H143" s="1722"/>
      <c r="I143" s="1724"/>
      <c r="J143" s="1723"/>
      <c r="K143" s="1721"/>
      <c r="L143" s="1722"/>
      <c r="M143" s="321"/>
    </row>
    <row r="144" spans="1:13" ht="11.25" customHeight="1">
      <c r="A144" s="1210">
        <f>A3A!A143</f>
        <v>0</v>
      </c>
      <c r="B144" s="294"/>
      <c r="C144" s="1721"/>
      <c r="D144" s="1721"/>
      <c r="E144" s="1724"/>
      <c r="F144" s="1723"/>
      <c r="G144" s="1721"/>
      <c r="H144" s="1722"/>
      <c r="I144" s="1724"/>
      <c r="J144" s="1723"/>
      <c r="K144" s="1721"/>
      <c r="L144" s="1722"/>
      <c r="M144" s="321"/>
    </row>
    <row r="145" spans="1:13" ht="11.25" customHeight="1">
      <c r="A145" s="1210">
        <f>A3A!A144</f>
        <v>0</v>
      </c>
      <c r="B145" s="294"/>
      <c r="C145" s="1721"/>
      <c r="D145" s="1721"/>
      <c r="E145" s="1724"/>
      <c r="F145" s="1723"/>
      <c r="G145" s="1721"/>
      <c r="H145" s="1722"/>
      <c r="I145" s="1724"/>
      <c r="J145" s="1723"/>
      <c r="K145" s="1721"/>
      <c r="L145" s="1722"/>
      <c r="M145" s="321"/>
    </row>
    <row r="146" spans="1:13" ht="11.25" customHeight="1">
      <c r="A146" s="1210">
        <f>A3A!A145</f>
        <v>0</v>
      </c>
      <c r="B146" s="294"/>
      <c r="C146" s="1721"/>
      <c r="D146" s="1721"/>
      <c r="E146" s="1724"/>
      <c r="F146" s="1723"/>
      <c r="G146" s="1721"/>
      <c r="H146" s="1722"/>
      <c r="I146" s="1724"/>
      <c r="J146" s="1723"/>
      <c r="K146" s="1721"/>
      <c r="L146" s="1722"/>
      <c r="M146" s="321"/>
    </row>
    <row r="147" spans="1:13" ht="11.25" customHeight="1">
      <c r="A147" s="1210">
        <f>A3A!A146</f>
        <v>0</v>
      </c>
      <c r="B147" s="294"/>
      <c r="C147" s="1721"/>
      <c r="D147" s="1721"/>
      <c r="E147" s="1724"/>
      <c r="F147" s="1723"/>
      <c r="G147" s="1721"/>
      <c r="H147" s="1722"/>
      <c r="I147" s="1724"/>
      <c r="J147" s="1723"/>
      <c r="K147" s="1721"/>
      <c r="L147" s="1722"/>
      <c r="M147" s="321"/>
    </row>
    <row r="148" spans="1:13" ht="11.25" customHeight="1">
      <c r="A148" s="1210">
        <f>A3A!A147</f>
        <v>0</v>
      </c>
      <c r="B148" s="294"/>
      <c r="C148" s="1721"/>
      <c r="D148" s="1721"/>
      <c r="E148" s="1724"/>
      <c r="F148" s="1723"/>
      <c r="G148" s="1721"/>
      <c r="H148" s="1722"/>
      <c r="I148" s="1724"/>
      <c r="J148" s="1723"/>
      <c r="K148" s="1721"/>
      <c r="L148" s="1722"/>
      <c r="M148" s="321"/>
    </row>
    <row r="149" spans="1:13" ht="11.25" customHeight="1">
      <c r="A149" s="1209" t="str">
        <f>A3A!A148</f>
        <v>Example 14 - Vote14</v>
      </c>
      <c r="B149" s="294"/>
      <c r="C149" s="1002">
        <f t="shared" ref="C149:L149" si="13">SUM(C150:C159)</f>
        <v>0</v>
      </c>
      <c r="D149" s="1002">
        <f t="shared" si="13"/>
        <v>0</v>
      </c>
      <c r="E149" s="1003">
        <f t="shared" si="13"/>
        <v>0</v>
      </c>
      <c r="F149" s="1004">
        <f t="shared" si="13"/>
        <v>0</v>
      </c>
      <c r="G149" s="1002">
        <f t="shared" si="13"/>
        <v>0</v>
      </c>
      <c r="H149" s="1003">
        <f t="shared" si="13"/>
        <v>0</v>
      </c>
      <c r="I149" s="1005">
        <f t="shared" si="13"/>
        <v>0</v>
      </c>
      <c r="J149" s="1004">
        <f t="shared" si="13"/>
        <v>0</v>
      </c>
      <c r="K149" s="1002">
        <f t="shared" si="13"/>
        <v>0</v>
      </c>
      <c r="L149" s="1003">
        <f t="shared" si="13"/>
        <v>0</v>
      </c>
      <c r="M149" s="321"/>
    </row>
    <row r="150" spans="1:13" ht="11.25" customHeight="1">
      <c r="A150" s="1210" t="str">
        <f>A3A!A149</f>
        <v>Subvote example 14</v>
      </c>
      <c r="B150" s="294"/>
      <c r="C150" s="1721"/>
      <c r="D150" s="1721"/>
      <c r="E150" s="1724"/>
      <c r="F150" s="1723"/>
      <c r="G150" s="1721"/>
      <c r="H150" s="1722"/>
      <c r="I150" s="1724"/>
      <c r="J150" s="1723"/>
      <c r="K150" s="1721"/>
      <c r="L150" s="1722"/>
      <c r="M150" s="321"/>
    </row>
    <row r="151" spans="1:13" ht="11.25" customHeight="1">
      <c r="A151" s="1210">
        <f>A3A!A150</f>
        <v>0</v>
      </c>
      <c r="B151" s="294"/>
      <c r="C151" s="1721"/>
      <c r="D151" s="1721"/>
      <c r="E151" s="1724"/>
      <c r="F151" s="1723"/>
      <c r="G151" s="1721"/>
      <c r="H151" s="1722"/>
      <c r="I151" s="1724"/>
      <c r="J151" s="1723"/>
      <c r="K151" s="1721"/>
      <c r="L151" s="1722"/>
      <c r="M151" s="321"/>
    </row>
    <row r="152" spans="1:13" ht="11.25" customHeight="1">
      <c r="A152" s="1210">
        <f>A3A!A151</f>
        <v>0</v>
      </c>
      <c r="B152" s="294"/>
      <c r="C152" s="1721"/>
      <c r="D152" s="1721"/>
      <c r="E152" s="1724"/>
      <c r="F152" s="1723"/>
      <c r="G152" s="1721"/>
      <c r="H152" s="1722"/>
      <c r="I152" s="1724"/>
      <c r="J152" s="1723"/>
      <c r="K152" s="1721"/>
      <c r="L152" s="1722"/>
      <c r="M152" s="321"/>
    </row>
    <row r="153" spans="1:13" ht="11.25" customHeight="1">
      <c r="A153" s="1210">
        <f>A3A!A152</f>
        <v>0</v>
      </c>
      <c r="B153" s="294"/>
      <c r="C153" s="1721"/>
      <c r="D153" s="1721"/>
      <c r="E153" s="1724"/>
      <c r="F153" s="1723"/>
      <c r="G153" s="1721"/>
      <c r="H153" s="1722"/>
      <c r="I153" s="1724"/>
      <c r="J153" s="1723"/>
      <c r="K153" s="1721"/>
      <c r="L153" s="1722"/>
      <c r="M153" s="321"/>
    </row>
    <row r="154" spans="1:13" ht="11.25" customHeight="1">
      <c r="A154" s="1210">
        <f>A3A!A153</f>
        <v>0</v>
      </c>
      <c r="B154" s="294"/>
      <c r="C154" s="1721"/>
      <c r="D154" s="1721"/>
      <c r="E154" s="1724"/>
      <c r="F154" s="1723"/>
      <c r="G154" s="1721"/>
      <c r="H154" s="1722"/>
      <c r="I154" s="1724"/>
      <c r="J154" s="1723"/>
      <c r="K154" s="1721"/>
      <c r="L154" s="1722"/>
      <c r="M154" s="321"/>
    </row>
    <row r="155" spans="1:13" ht="11.25" customHeight="1">
      <c r="A155" s="1210">
        <f>A3A!A154</f>
        <v>0</v>
      </c>
      <c r="B155" s="294"/>
      <c r="C155" s="1721"/>
      <c r="D155" s="1721"/>
      <c r="E155" s="1724"/>
      <c r="F155" s="1723"/>
      <c r="G155" s="1721"/>
      <c r="H155" s="1722"/>
      <c r="I155" s="1724"/>
      <c r="J155" s="1723"/>
      <c r="K155" s="1721"/>
      <c r="L155" s="1722"/>
      <c r="M155" s="321"/>
    </row>
    <row r="156" spans="1:13" ht="11.25" customHeight="1">
      <c r="A156" s="1210">
        <f>A3A!A155</f>
        <v>0</v>
      </c>
      <c r="B156" s="294"/>
      <c r="C156" s="1721"/>
      <c r="D156" s="1721"/>
      <c r="E156" s="1724"/>
      <c r="F156" s="1723"/>
      <c r="G156" s="1721"/>
      <c r="H156" s="1722"/>
      <c r="I156" s="1724"/>
      <c r="J156" s="1723"/>
      <c r="K156" s="1721"/>
      <c r="L156" s="1722"/>
      <c r="M156" s="321"/>
    </row>
    <row r="157" spans="1:13" ht="11.25" customHeight="1">
      <c r="A157" s="1210">
        <f>A3A!A156</f>
        <v>0</v>
      </c>
      <c r="B157" s="294"/>
      <c r="C157" s="1721"/>
      <c r="D157" s="1721"/>
      <c r="E157" s="1724"/>
      <c r="F157" s="1723"/>
      <c r="G157" s="1721"/>
      <c r="H157" s="1722"/>
      <c r="I157" s="1724"/>
      <c r="J157" s="1723"/>
      <c r="K157" s="1721"/>
      <c r="L157" s="1722"/>
      <c r="M157" s="321"/>
    </row>
    <row r="158" spans="1:13" ht="11.25" customHeight="1">
      <c r="A158" s="1210">
        <f>A3A!A157</f>
        <v>0</v>
      </c>
      <c r="B158" s="294"/>
      <c r="C158" s="1721"/>
      <c r="D158" s="1721"/>
      <c r="E158" s="1724"/>
      <c r="F158" s="1723"/>
      <c r="G158" s="1721"/>
      <c r="H158" s="1722"/>
      <c r="I158" s="1724"/>
      <c r="J158" s="1723"/>
      <c r="K158" s="1721"/>
      <c r="L158" s="1722"/>
      <c r="M158" s="321"/>
    </row>
    <row r="159" spans="1:13" ht="11.25" customHeight="1">
      <c r="A159" s="1210">
        <f>A3A!A158</f>
        <v>0</v>
      </c>
      <c r="B159" s="294"/>
      <c r="C159" s="1721"/>
      <c r="D159" s="1721"/>
      <c r="E159" s="1724"/>
      <c r="F159" s="1723"/>
      <c r="G159" s="1721"/>
      <c r="H159" s="1722"/>
      <c r="I159" s="1724"/>
      <c r="J159" s="1723"/>
      <c r="K159" s="1721"/>
      <c r="L159" s="1722"/>
      <c r="M159" s="321"/>
    </row>
    <row r="160" spans="1:13" ht="11.25" customHeight="1">
      <c r="A160" s="1209" t="str">
        <f>A3A!A159</f>
        <v>Example 15 - Vote15</v>
      </c>
      <c r="B160" s="294"/>
      <c r="C160" s="1002">
        <f t="shared" ref="C160:L160" si="14">SUM(C161:C170)</f>
        <v>0</v>
      </c>
      <c r="D160" s="1002">
        <f t="shared" si="14"/>
        <v>0</v>
      </c>
      <c r="E160" s="1003">
        <f t="shared" si="14"/>
        <v>0</v>
      </c>
      <c r="F160" s="1004">
        <f t="shared" si="14"/>
        <v>0</v>
      </c>
      <c r="G160" s="1002">
        <f t="shared" si="14"/>
        <v>0</v>
      </c>
      <c r="H160" s="1003">
        <f t="shared" si="14"/>
        <v>0</v>
      </c>
      <c r="I160" s="1005">
        <f t="shared" si="14"/>
        <v>0</v>
      </c>
      <c r="J160" s="1004">
        <f t="shared" si="14"/>
        <v>0</v>
      </c>
      <c r="K160" s="1002">
        <f t="shared" si="14"/>
        <v>0</v>
      </c>
      <c r="L160" s="1003">
        <f t="shared" si="14"/>
        <v>0</v>
      </c>
      <c r="M160" s="321"/>
    </row>
    <row r="161" spans="1:13" ht="11.25" customHeight="1">
      <c r="A161" s="1210" t="str">
        <f>A3A!A160</f>
        <v>Subvote example 15</v>
      </c>
      <c r="B161" s="294"/>
      <c r="C161" s="1721"/>
      <c r="D161" s="1721"/>
      <c r="E161" s="1724"/>
      <c r="F161" s="1723"/>
      <c r="G161" s="1721"/>
      <c r="H161" s="1722"/>
      <c r="I161" s="1724"/>
      <c r="J161" s="1723"/>
      <c r="K161" s="1721"/>
      <c r="L161" s="1722"/>
      <c r="M161" s="321"/>
    </row>
    <row r="162" spans="1:13" ht="11.25" customHeight="1">
      <c r="A162" s="1210">
        <f>A3A!A161</f>
        <v>0</v>
      </c>
      <c r="B162" s="294"/>
      <c r="C162" s="1721"/>
      <c r="D162" s="1721"/>
      <c r="E162" s="1724"/>
      <c r="F162" s="1723"/>
      <c r="G162" s="1721"/>
      <c r="H162" s="1722"/>
      <c r="I162" s="1724"/>
      <c r="J162" s="1723"/>
      <c r="K162" s="1721"/>
      <c r="L162" s="1722"/>
      <c r="M162" s="321"/>
    </row>
    <row r="163" spans="1:13" ht="11.25" customHeight="1">
      <c r="A163" s="1210">
        <f>A3A!A162</f>
        <v>0</v>
      </c>
      <c r="B163" s="294"/>
      <c r="C163" s="1721"/>
      <c r="D163" s="1721"/>
      <c r="E163" s="1724"/>
      <c r="F163" s="1723"/>
      <c r="G163" s="1721"/>
      <c r="H163" s="1722"/>
      <c r="I163" s="1724"/>
      <c r="J163" s="1723"/>
      <c r="K163" s="1721"/>
      <c r="L163" s="1722"/>
      <c r="M163" s="321"/>
    </row>
    <row r="164" spans="1:13" ht="11.25" customHeight="1">
      <c r="A164" s="1210">
        <f>A3A!A163</f>
        <v>0</v>
      </c>
      <c r="B164" s="294"/>
      <c r="C164" s="1721"/>
      <c r="D164" s="1721"/>
      <c r="E164" s="1724"/>
      <c r="F164" s="1723"/>
      <c r="G164" s="1721"/>
      <c r="H164" s="1722"/>
      <c r="I164" s="1724"/>
      <c r="J164" s="1723"/>
      <c r="K164" s="1721"/>
      <c r="L164" s="1722"/>
      <c r="M164" s="321"/>
    </row>
    <row r="165" spans="1:13" ht="11.25" customHeight="1">
      <c r="A165" s="1210">
        <f>A3A!A164</f>
        <v>0</v>
      </c>
      <c r="B165" s="294"/>
      <c r="C165" s="1721"/>
      <c r="D165" s="1721"/>
      <c r="E165" s="1724"/>
      <c r="F165" s="1723"/>
      <c r="G165" s="1721"/>
      <c r="H165" s="1722"/>
      <c r="I165" s="1724"/>
      <c r="J165" s="1723"/>
      <c r="K165" s="1721"/>
      <c r="L165" s="1722"/>
      <c r="M165" s="321"/>
    </row>
    <row r="166" spans="1:13" ht="11.25" customHeight="1">
      <c r="A166" s="1210">
        <f>A3A!A165</f>
        <v>0</v>
      </c>
      <c r="B166" s="294"/>
      <c r="C166" s="1721"/>
      <c r="D166" s="1721"/>
      <c r="E166" s="1724"/>
      <c r="F166" s="1723"/>
      <c r="G166" s="1721"/>
      <c r="H166" s="1722"/>
      <c r="I166" s="1724"/>
      <c r="J166" s="1723"/>
      <c r="K166" s="1721"/>
      <c r="L166" s="1722"/>
      <c r="M166" s="321"/>
    </row>
    <row r="167" spans="1:13" ht="11.25" customHeight="1">
      <c r="A167" s="1210">
        <f>A3A!A166</f>
        <v>0</v>
      </c>
      <c r="B167" s="294"/>
      <c r="C167" s="1721"/>
      <c r="D167" s="1721"/>
      <c r="E167" s="1724"/>
      <c r="F167" s="1723"/>
      <c r="G167" s="1721"/>
      <c r="H167" s="1722"/>
      <c r="I167" s="1724"/>
      <c r="J167" s="1723"/>
      <c r="K167" s="1721"/>
      <c r="L167" s="1722"/>
      <c r="M167" s="321"/>
    </row>
    <row r="168" spans="1:13" ht="11.25" customHeight="1">
      <c r="A168" s="1210">
        <f>A3A!A167</f>
        <v>0</v>
      </c>
      <c r="B168" s="294"/>
      <c r="C168" s="1721"/>
      <c r="D168" s="1721"/>
      <c r="E168" s="1724"/>
      <c r="F168" s="1723"/>
      <c r="G168" s="1721"/>
      <c r="H168" s="1722"/>
      <c r="I168" s="1724"/>
      <c r="J168" s="1723"/>
      <c r="K168" s="1721"/>
      <c r="L168" s="1722"/>
      <c r="M168" s="321"/>
    </row>
    <row r="169" spans="1:13" ht="11.25" customHeight="1">
      <c r="A169" s="1210">
        <f>A3A!A168</f>
        <v>0</v>
      </c>
      <c r="B169" s="294"/>
      <c r="C169" s="1721"/>
      <c r="D169" s="1721"/>
      <c r="E169" s="1724"/>
      <c r="F169" s="1723"/>
      <c r="G169" s="1721"/>
      <c r="H169" s="1722"/>
      <c r="I169" s="1724"/>
      <c r="J169" s="1723"/>
      <c r="K169" s="1721"/>
      <c r="L169" s="1722"/>
      <c r="M169" s="321"/>
    </row>
    <row r="170" spans="1:13" ht="11.25" customHeight="1">
      <c r="A170" s="1210">
        <f>A3A!A169</f>
        <v>0</v>
      </c>
      <c r="B170" s="294"/>
      <c r="C170" s="1721"/>
      <c r="D170" s="1721"/>
      <c r="E170" s="1724"/>
      <c r="F170" s="1723"/>
      <c r="G170" s="1721"/>
      <c r="H170" s="1722"/>
      <c r="I170" s="1724"/>
      <c r="J170" s="1723"/>
      <c r="K170" s="1721"/>
      <c r="L170" s="1722"/>
      <c r="M170" s="321"/>
    </row>
    <row r="171" spans="1:13">
      <c r="A171" s="198" t="s">
        <v>203</v>
      </c>
      <c r="B171" s="294"/>
      <c r="C171" s="199">
        <f>C6+C17+C28+C39+C50+C61+C72+C83+C94+C105+C116+C127+C138+C149+C160</f>
        <v>0</v>
      </c>
      <c r="D171" s="199">
        <f t="shared" ref="D171:L171" si="15">D6+D17+D28+D39+D50+D61+D72+D83+D94+D105+D116+D127+D138+D149+D160</f>
        <v>0</v>
      </c>
      <c r="E171" s="1657">
        <f t="shared" si="15"/>
        <v>176033492</v>
      </c>
      <c r="F171" s="1656">
        <f>F6+F17+F28+F39+F50+F61+F72+F83+F94+F105+F116+F127+F138+F149+F160</f>
        <v>295937266</v>
      </c>
      <c r="G171" s="199">
        <f t="shared" si="15"/>
        <v>394548007</v>
      </c>
      <c r="H171" s="1657">
        <f t="shared" si="15"/>
        <v>394548007</v>
      </c>
      <c r="I171" s="1658">
        <f t="shared" si="15"/>
        <v>394548007</v>
      </c>
      <c r="J171" s="1656">
        <f t="shared" si="15"/>
        <v>411313300</v>
      </c>
      <c r="K171" s="199">
        <f t="shared" si="15"/>
        <v>310819300</v>
      </c>
      <c r="L171" s="199">
        <f t="shared" si="15"/>
        <v>214215000</v>
      </c>
      <c r="M171" s="373"/>
    </row>
    <row r="172" spans="1:13" ht="5.0999999999999996" customHeight="1">
      <c r="A172" s="337"/>
      <c r="B172" s="348"/>
      <c r="C172" s="436"/>
      <c r="D172" s="1050"/>
      <c r="E172" s="439"/>
      <c r="F172" s="438"/>
      <c r="G172" s="436"/>
      <c r="H172" s="437"/>
      <c r="I172" s="439"/>
      <c r="J172" s="438"/>
      <c r="K172" s="436"/>
      <c r="L172" s="437"/>
      <c r="M172" s="373"/>
    </row>
    <row r="173" spans="1:13" ht="11.25" customHeight="1">
      <c r="A173" s="182" t="s">
        <v>1977</v>
      </c>
      <c r="B173" s="292"/>
      <c r="C173" s="312"/>
      <c r="D173" s="312"/>
      <c r="E173" s="313"/>
      <c r="F173" s="314"/>
      <c r="G173" s="312"/>
      <c r="H173" s="315"/>
      <c r="I173" s="313"/>
      <c r="J173" s="314"/>
      <c r="K173" s="312"/>
      <c r="L173" s="315"/>
      <c r="M173" s="373"/>
    </row>
    <row r="174" spans="1:13" ht="11.25" customHeight="1">
      <c r="A174" s="182" t="s">
        <v>1119</v>
      </c>
      <c r="B174" s="294">
        <v>2</v>
      </c>
      <c r="C174" s="316"/>
      <c r="D174" s="316"/>
      <c r="E174" s="317"/>
      <c r="F174" s="318"/>
      <c r="G174" s="316"/>
      <c r="H174" s="319"/>
      <c r="I174" s="317"/>
      <c r="J174" s="318"/>
      <c r="K174" s="316"/>
      <c r="L174" s="319"/>
      <c r="M174" s="1645"/>
    </row>
    <row r="175" spans="1:13" ht="11.25" customHeight="1">
      <c r="A175" s="1209" t="str">
        <f>A3A!A5</f>
        <v>Vote 1 - Corporate Services and Planning</v>
      </c>
      <c r="B175" s="1007"/>
      <c r="C175" s="1002">
        <f t="shared" ref="C175:L175" si="16">SUM(C176:C185)</f>
        <v>0</v>
      </c>
      <c r="D175" s="1002">
        <f t="shared" si="16"/>
        <v>0</v>
      </c>
      <c r="E175" s="1003">
        <f t="shared" si="16"/>
        <v>0</v>
      </c>
      <c r="F175" s="1004">
        <f t="shared" si="16"/>
        <v>0</v>
      </c>
      <c r="G175" s="1002">
        <f t="shared" si="16"/>
        <v>0</v>
      </c>
      <c r="H175" s="1003">
        <f t="shared" si="16"/>
        <v>0</v>
      </c>
      <c r="I175" s="957">
        <f t="shared" si="16"/>
        <v>0</v>
      </c>
      <c r="J175" s="1004">
        <f t="shared" si="16"/>
        <v>0</v>
      </c>
      <c r="K175" s="1002">
        <f t="shared" si="16"/>
        <v>0</v>
      </c>
      <c r="L175" s="1003">
        <f t="shared" si="16"/>
        <v>0</v>
      </c>
      <c r="M175" s="1645"/>
    </row>
    <row r="176" spans="1:13" ht="11.25" customHeight="1">
      <c r="A176" s="1210" t="str">
        <f>A3A!A6</f>
        <v>Council and Committee Support</v>
      </c>
      <c r="B176" s="294"/>
      <c r="C176" s="1721"/>
      <c r="D176" s="1721"/>
      <c r="E176" s="1730"/>
      <c r="F176" s="1723"/>
      <c r="G176" s="1721"/>
      <c r="H176" s="1722"/>
      <c r="I176" s="1724"/>
      <c r="J176" s="1723"/>
      <c r="K176" s="1721"/>
      <c r="L176" s="1722"/>
      <c r="M176" s="1645"/>
    </row>
    <row r="177" spans="1:13" ht="11.25" customHeight="1">
      <c r="A177" s="1210" t="str">
        <f>A3A!A7</f>
        <v>Enterprise  Wide Risk Management &amp; Audit and Compliance</v>
      </c>
      <c r="B177" s="294"/>
      <c r="C177" s="1721"/>
      <c r="D177" s="1721"/>
      <c r="E177" s="1722"/>
      <c r="F177" s="1723"/>
      <c r="G177" s="1721"/>
      <c r="H177" s="1722"/>
      <c r="I177" s="1724"/>
      <c r="J177" s="1723"/>
      <c r="K177" s="1721"/>
      <c r="L177" s="1722"/>
      <c r="M177" s="1645"/>
    </row>
    <row r="178" spans="1:13" ht="11.25" customHeight="1">
      <c r="A178" s="1210" t="str">
        <f>A3A!A8</f>
        <v>Human Resources Management</v>
      </c>
      <c r="B178" s="294"/>
      <c r="C178" s="1721"/>
      <c r="D178" s="1721"/>
      <c r="E178" s="1722"/>
      <c r="F178" s="1723"/>
      <c r="G178" s="1721"/>
      <c r="H178" s="1722"/>
      <c r="I178" s="1724"/>
      <c r="J178" s="1723"/>
      <c r="K178" s="1721"/>
      <c r="L178" s="1722"/>
      <c r="M178" s="1645"/>
    </row>
    <row r="179" spans="1:13" ht="11.25" customHeight="1">
      <c r="A179" s="1210" t="str">
        <f>A3A!A9</f>
        <v>Legislative Compliance</v>
      </c>
      <c r="B179" s="294"/>
      <c r="C179" s="1721"/>
      <c r="D179" s="1721"/>
      <c r="E179" s="1722"/>
      <c r="F179" s="1723"/>
      <c r="G179" s="1721"/>
      <c r="H179" s="1722"/>
      <c r="I179" s="1724"/>
      <c r="J179" s="1723"/>
      <c r="K179" s="1721"/>
      <c r="L179" s="1722"/>
      <c r="M179" s="1645"/>
    </row>
    <row r="180" spans="1:13" ht="11.25" customHeight="1">
      <c r="A180" s="1210" t="str">
        <f>A3A!A10</f>
        <v>Local Economic Development Management</v>
      </c>
      <c r="B180" s="294"/>
      <c r="C180" s="1721"/>
      <c r="D180" s="1721"/>
      <c r="E180" s="1722"/>
      <c r="F180" s="1723"/>
      <c r="G180" s="1721"/>
      <c r="H180" s="1722"/>
      <c r="I180" s="1724"/>
      <c r="J180" s="1723"/>
      <c r="K180" s="1721"/>
      <c r="L180" s="1722"/>
      <c r="M180" s="1645"/>
    </row>
    <row r="181" spans="1:13" ht="11.25" customHeight="1">
      <c r="A181" s="1210" t="str">
        <f>A3A!A11</f>
        <v>Management Information Services</v>
      </c>
      <c r="B181" s="294"/>
      <c r="C181" s="1721"/>
      <c r="D181" s="1721"/>
      <c r="E181" s="1722"/>
      <c r="F181" s="1723"/>
      <c r="G181" s="1721"/>
      <c r="H181" s="1722"/>
      <c r="I181" s="1724"/>
      <c r="J181" s="1723"/>
      <c r="K181" s="1721"/>
      <c r="L181" s="1722"/>
      <c r="M181" s="1645"/>
    </row>
    <row r="182" spans="1:13" ht="11.25" customHeight="1">
      <c r="A182" s="1210" t="str">
        <f>A3A!A12</f>
        <v>Marketing and Public Relations Management</v>
      </c>
      <c r="B182" s="294"/>
      <c r="C182" s="1721"/>
      <c r="D182" s="1721"/>
      <c r="E182" s="1722"/>
      <c r="F182" s="1723"/>
      <c r="G182" s="1721"/>
      <c r="H182" s="1722"/>
      <c r="I182" s="1724"/>
      <c r="J182" s="1723"/>
      <c r="K182" s="1721"/>
      <c r="L182" s="1722"/>
      <c r="M182" s="1645"/>
    </row>
    <row r="183" spans="1:13" ht="11.25" customHeight="1">
      <c r="A183" s="1210" t="str">
        <f>A3A!A13</f>
        <v xml:space="preserve"> </v>
      </c>
      <c r="B183" s="294"/>
      <c r="C183" s="1721"/>
      <c r="D183" s="1721"/>
      <c r="E183" s="1722"/>
      <c r="F183" s="1723"/>
      <c r="G183" s="1721"/>
      <c r="H183" s="1722"/>
      <c r="I183" s="1724"/>
      <c r="J183" s="1723"/>
      <c r="K183" s="1721"/>
      <c r="L183" s="1722"/>
      <c r="M183" s="1645"/>
    </row>
    <row r="184" spans="1:13" ht="11.25" customHeight="1">
      <c r="A184" s="1210" t="str">
        <f>A3A!A14</f>
        <v xml:space="preserve"> </v>
      </c>
      <c r="B184" s="294"/>
      <c r="C184" s="1721"/>
      <c r="D184" s="1721"/>
      <c r="E184" s="1722"/>
      <c r="F184" s="1723"/>
      <c r="G184" s="1721"/>
      <c r="H184" s="1722"/>
      <c r="I184" s="1724"/>
      <c r="J184" s="1723"/>
      <c r="K184" s="1721"/>
      <c r="L184" s="1722"/>
      <c r="M184" s="1645"/>
    </row>
    <row r="185" spans="1:13" ht="11.25" customHeight="1">
      <c r="A185" s="1210" t="str">
        <f>A3A!A15</f>
        <v xml:space="preserve"> </v>
      </c>
      <c r="B185" s="294"/>
      <c r="C185" s="1721"/>
      <c r="D185" s="1721"/>
      <c r="E185" s="1722"/>
      <c r="F185" s="1723"/>
      <c r="G185" s="1721"/>
      <c r="H185" s="1722"/>
      <c r="I185" s="1724"/>
      <c r="J185" s="1723"/>
      <c r="K185" s="1721"/>
      <c r="L185" s="1722"/>
      <c r="M185" s="1645"/>
    </row>
    <row r="186" spans="1:13" ht="11.25" customHeight="1">
      <c r="A186" s="1209" t="str">
        <f>A3A!A16</f>
        <v>Vote 2 - Financial Management Area</v>
      </c>
      <c r="B186" s="1007"/>
      <c r="C186" s="1002">
        <f t="shared" ref="C186:L186" si="17">SUM(C187:C196)</f>
        <v>0</v>
      </c>
      <c r="D186" s="1002">
        <f t="shared" si="17"/>
        <v>0</v>
      </c>
      <c r="E186" s="1003">
        <f t="shared" si="17"/>
        <v>0</v>
      </c>
      <c r="F186" s="1004">
        <f t="shared" si="17"/>
        <v>0</v>
      </c>
      <c r="G186" s="1002">
        <f t="shared" si="17"/>
        <v>0</v>
      </c>
      <c r="H186" s="1003">
        <f t="shared" si="17"/>
        <v>0</v>
      </c>
      <c r="I186" s="1005">
        <f t="shared" si="17"/>
        <v>0</v>
      </c>
      <c r="J186" s="1004">
        <f t="shared" si="17"/>
        <v>0</v>
      </c>
      <c r="K186" s="1002">
        <f t="shared" si="17"/>
        <v>0</v>
      </c>
      <c r="L186" s="1003">
        <f t="shared" si="17"/>
        <v>0</v>
      </c>
      <c r="M186" s="1645"/>
    </row>
    <row r="187" spans="1:13" ht="11.25" customHeight="1">
      <c r="A187" s="1210" t="str">
        <f>A3A!A17</f>
        <v>Budget &amp; Treasury Management</v>
      </c>
      <c r="B187" s="294"/>
      <c r="C187" s="1721"/>
      <c r="D187" s="1721"/>
      <c r="E187" s="1722"/>
      <c r="F187" s="1723"/>
      <c r="G187" s="1721"/>
      <c r="H187" s="1722"/>
      <c r="I187" s="1724"/>
      <c r="J187" s="1723"/>
      <c r="K187" s="1721"/>
      <c r="L187" s="1722"/>
      <c r="M187" s="1645"/>
    </row>
    <row r="188" spans="1:13" ht="11.25" customHeight="1">
      <c r="A188" s="1210" t="str">
        <f>A3A!A18</f>
        <v>Expenditure Management</v>
      </c>
      <c r="B188" s="294"/>
      <c r="C188" s="1721"/>
      <c r="D188" s="1721"/>
      <c r="E188" s="1722"/>
      <c r="F188" s="1723"/>
      <c r="G188" s="1721"/>
      <c r="H188" s="1722"/>
      <c r="I188" s="1724"/>
      <c r="J188" s="1723"/>
      <c r="K188" s="1721"/>
      <c r="L188" s="1722"/>
      <c r="M188" s="1645"/>
    </row>
    <row r="189" spans="1:13" ht="11.25" customHeight="1">
      <c r="A189" s="1210" t="str">
        <f>A3A!A19</f>
        <v>Financial Control and Cash Management</v>
      </c>
      <c r="B189" s="294"/>
      <c r="C189" s="1721"/>
      <c r="D189" s="1721"/>
      <c r="E189" s="1722"/>
      <c r="F189" s="1723"/>
      <c r="G189" s="1721"/>
      <c r="H189" s="1722"/>
      <c r="I189" s="1724"/>
      <c r="J189" s="1723"/>
      <c r="K189" s="1721"/>
      <c r="L189" s="1722"/>
      <c r="M189" s="1645"/>
    </row>
    <row r="190" spans="1:13" ht="11.25" customHeight="1">
      <c r="A190" s="1210" t="str">
        <f>A3A!A20</f>
        <v>Revenue Management</v>
      </c>
      <c r="B190" s="294"/>
      <c r="C190" s="1721"/>
      <c r="D190" s="1721"/>
      <c r="E190" s="1722"/>
      <c r="F190" s="1723"/>
      <c r="G190" s="1721"/>
      <c r="H190" s="1722"/>
      <c r="I190" s="1724"/>
      <c r="J190" s="1723"/>
      <c r="K190" s="1721"/>
      <c r="L190" s="1722"/>
      <c r="M190" s="1645"/>
    </row>
    <row r="191" spans="1:13" ht="11.25" customHeight="1">
      <c r="A191" s="1210" t="str">
        <f>A3A!A21</f>
        <v>Supply Chain Management</v>
      </c>
      <c r="B191" s="294"/>
      <c r="C191" s="1721"/>
      <c r="D191" s="1721"/>
      <c r="E191" s="1722"/>
      <c r="F191" s="1723"/>
      <c r="G191" s="1721"/>
      <c r="H191" s="1722"/>
      <c r="I191" s="1724"/>
      <c r="J191" s="1723"/>
      <c r="K191" s="1721"/>
      <c r="L191" s="1722"/>
      <c r="M191" s="1645"/>
    </row>
    <row r="192" spans="1:13" ht="11.25" customHeight="1">
      <c r="A192" s="1210" t="str">
        <f>A3A!A22</f>
        <v>Subvote example 6</v>
      </c>
      <c r="B192" s="294"/>
      <c r="C192" s="1721"/>
      <c r="D192" s="1721"/>
      <c r="E192" s="1722"/>
      <c r="F192" s="1723"/>
      <c r="G192" s="1721"/>
      <c r="H192" s="1722"/>
      <c r="I192" s="1724"/>
      <c r="J192" s="1723"/>
      <c r="K192" s="1721"/>
      <c r="L192" s="1722"/>
      <c r="M192" s="1645"/>
    </row>
    <row r="193" spans="1:13" ht="11.25" customHeight="1">
      <c r="A193" s="1210" t="str">
        <f>A3A!A23</f>
        <v>Subvote example 7</v>
      </c>
      <c r="B193" s="294"/>
      <c r="C193" s="1721"/>
      <c r="D193" s="1721"/>
      <c r="E193" s="1722"/>
      <c r="F193" s="1723"/>
      <c r="G193" s="1721"/>
      <c r="H193" s="1722"/>
      <c r="I193" s="1724"/>
      <c r="J193" s="1723"/>
      <c r="K193" s="1721"/>
      <c r="L193" s="1722"/>
      <c r="M193" s="1645"/>
    </row>
    <row r="194" spans="1:13" ht="13.5">
      <c r="A194" s="1210" t="str">
        <f>A3A!A24</f>
        <v>Subvote example 8</v>
      </c>
      <c r="B194" s="294"/>
      <c r="C194" s="1721"/>
      <c r="D194" s="1721"/>
      <c r="E194" s="1722"/>
      <c r="F194" s="1723"/>
      <c r="G194" s="1721"/>
      <c r="H194" s="1722"/>
      <c r="I194" s="1724"/>
      <c r="J194" s="1723"/>
      <c r="K194" s="1721"/>
      <c r="L194" s="1722"/>
      <c r="M194" s="1645"/>
    </row>
    <row r="195" spans="1:13" ht="11.25" customHeight="1">
      <c r="A195" s="1210" t="str">
        <f>A3A!A25</f>
        <v>Subvote example 9</v>
      </c>
      <c r="B195" s="294"/>
      <c r="C195" s="1721"/>
      <c r="D195" s="1721"/>
      <c r="E195" s="1722"/>
      <c r="F195" s="1723"/>
      <c r="G195" s="1721"/>
      <c r="H195" s="1722"/>
      <c r="I195" s="1724"/>
      <c r="J195" s="1723"/>
      <c r="K195" s="1721"/>
      <c r="L195" s="1722"/>
      <c r="M195" s="1645"/>
    </row>
    <row r="196" spans="1:13" ht="11.25" customHeight="1">
      <c r="A196" s="1210" t="str">
        <f>A3A!A26</f>
        <v>Subvote example 9</v>
      </c>
      <c r="B196" s="294"/>
      <c r="C196" s="1721"/>
      <c r="D196" s="1721"/>
      <c r="E196" s="1722"/>
      <c r="F196" s="1723"/>
      <c r="G196" s="1721"/>
      <c r="H196" s="1722"/>
      <c r="I196" s="1724"/>
      <c r="J196" s="1723"/>
      <c r="K196" s="1721"/>
      <c r="L196" s="1722"/>
      <c r="M196" s="1645"/>
    </row>
    <row r="197" spans="1:13" ht="11.25" customHeight="1">
      <c r="A197" s="1209" t="str">
        <f>A3A!A27</f>
        <v>Vote 3 - Infrastructure Development, Service Delivery and Maintenance Management</v>
      </c>
      <c r="B197" s="1007"/>
      <c r="C197" s="1002">
        <f t="shared" ref="C197:L197" si="18">SUM(C198:C207)</f>
        <v>0</v>
      </c>
      <c r="D197" s="1002">
        <f t="shared" si="18"/>
        <v>0</v>
      </c>
      <c r="E197" s="1003">
        <f t="shared" si="18"/>
        <v>0</v>
      </c>
      <c r="F197" s="1004">
        <f t="shared" si="18"/>
        <v>0</v>
      </c>
      <c r="G197" s="1002">
        <f t="shared" si="18"/>
        <v>0</v>
      </c>
      <c r="H197" s="1003">
        <f t="shared" si="18"/>
        <v>0</v>
      </c>
      <c r="I197" s="1005">
        <f t="shared" si="18"/>
        <v>0</v>
      </c>
      <c r="J197" s="1004">
        <f t="shared" si="18"/>
        <v>0</v>
      </c>
      <c r="K197" s="1002">
        <f t="shared" si="18"/>
        <v>0</v>
      </c>
      <c r="L197" s="1003">
        <f t="shared" si="18"/>
        <v>0</v>
      </c>
      <c r="M197" s="1645"/>
    </row>
    <row r="198" spans="1:13" ht="11.25" customHeight="1">
      <c r="A198" s="1210" t="str">
        <f>A3A!A28</f>
        <v>Electricity distribution Management</v>
      </c>
      <c r="B198" s="294"/>
      <c r="C198" s="1721"/>
      <c r="D198" s="1721"/>
      <c r="E198" s="1722"/>
      <c r="F198" s="1723"/>
      <c r="G198" s="1721"/>
      <c r="H198" s="1722"/>
      <c r="I198" s="1724"/>
      <c r="J198" s="1723"/>
      <c r="K198" s="1721"/>
      <c r="L198" s="1722"/>
      <c r="M198" s="1645"/>
    </row>
    <row r="199" spans="1:13" ht="11.25" customHeight="1">
      <c r="A199" s="1210" t="str">
        <f>A3A!A29</f>
        <v>Human Settlement Development Management</v>
      </c>
      <c r="B199" s="294"/>
      <c r="C199" s="1721"/>
      <c r="D199" s="1721"/>
      <c r="E199" s="1722"/>
      <c r="F199" s="1723"/>
      <c r="G199" s="1721"/>
      <c r="H199" s="1722"/>
      <c r="I199" s="1724"/>
      <c r="J199" s="1723"/>
      <c r="K199" s="1721"/>
      <c r="L199" s="1722"/>
      <c r="M199" s="1645"/>
    </row>
    <row r="200" spans="1:13" ht="11.25" customHeight="1">
      <c r="A200" s="1210" t="str">
        <f>A3A!A30</f>
        <v>Municipal Infrastructure Planning, Funding, Maintenance and Development Management</v>
      </c>
      <c r="B200" s="294"/>
      <c r="C200" s="1721"/>
      <c r="D200" s="1721"/>
      <c r="E200" s="1722"/>
      <c r="F200" s="1723"/>
      <c r="G200" s="1721"/>
      <c r="H200" s="1722"/>
      <c r="I200" s="1724"/>
      <c r="J200" s="1723"/>
      <c r="K200" s="1721"/>
      <c r="L200" s="1722"/>
      <c r="M200" s="1645"/>
    </row>
    <row r="201" spans="1:13" ht="11.25" customHeight="1">
      <c r="A201" s="1210" t="str">
        <f>A3A!A31</f>
        <v>Roads and Stormwater</v>
      </c>
      <c r="B201" s="294"/>
      <c r="C201" s="1076"/>
      <c r="D201" s="1076"/>
      <c r="E201" s="1077"/>
      <c r="F201" s="1078"/>
      <c r="G201" s="1076"/>
      <c r="H201" s="1077"/>
      <c r="I201" s="1079"/>
      <c r="J201" s="1078"/>
      <c r="K201" s="1076"/>
      <c r="L201" s="1077"/>
      <c r="M201" s="1645"/>
    </row>
    <row r="202" spans="1:13" ht="11.25" customHeight="1">
      <c r="A202" s="1210" t="str">
        <f>A3A!A32</f>
        <v>Waste Management</v>
      </c>
      <c r="B202" s="294"/>
      <c r="C202" s="1076"/>
      <c r="D202" s="1076"/>
      <c r="E202" s="1077"/>
      <c r="F202" s="1078"/>
      <c r="G202" s="1076"/>
      <c r="H202" s="1077"/>
      <c r="I202" s="1079"/>
      <c r="J202" s="1078"/>
      <c r="K202" s="1076"/>
      <c r="L202" s="1077"/>
      <c r="M202" s="1645"/>
    </row>
    <row r="203" spans="1:13" ht="11.25" customHeight="1">
      <c r="A203" s="1210" t="str">
        <f>A3A!A33</f>
        <v>Water Distribution and Sanitation Management</v>
      </c>
      <c r="B203" s="294"/>
      <c r="C203" s="1076"/>
      <c r="D203" s="1076"/>
      <c r="E203" s="1077"/>
      <c r="F203" s="1078"/>
      <c r="G203" s="1076"/>
      <c r="H203" s="1077"/>
      <c r="I203" s="1079"/>
      <c r="J203" s="1078"/>
      <c r="K203" s="1076"/>
      <c r="L203" s="1077"/>
      <c r="M203" s="1645"/>
    </row>
    <row r="204" spans="1:13" ht="13.5">
      <c r="A204" s="1210" t="str">
        <f>A3A!A34</f>
        <v>Subvote example 7</v>
      </c>
      <c r="B204" s="294"/>
      <c r="C204" s="1076"/>
      <c r="D204" s="1076"/>
      <c r="E204" s="1077"/>
      <c r="F204" s="1078"/>
      <c r="G204" s="1076"/>
      <c r="H204" s="1077"/>
      <c r="I204" s="1079"/>
      <c r="J204" s="1078"/>
      <c r="K204" s="1076"/>
      <c r="L204" s="1077"/>
      <c r="M204" s="1645"/>
    </row>
    <row r="205" spans="1:13" ht="13.5">
      <c r="A205" s="1210" t="str">
        <f>A3A!A35</f>
        <v xml:space="preserve"> </v>
      </c>
      <c r="B205" s="294"/>
      <c r="C205" s="1076"/>
      <c r="D205" s="1076"/>
      <c r="E205" s="1077"/>
      <c r="F205" s="1078"/>
      <c r="G205" s="1076"/>
      <c r="H205" s="1077"/>
      <c r="I205" s="1079"/>
      <c r="J205" s="1078"/>
      <c r="K205" s="1076"/>
      <c r="L205" s="1077"/>
      <c r="M205" s="1645"/>
    </row>
    <row r="206" spans="1:13" ht="11.25" customHeight="1">
      <c r="A206" s="1210" t="str">
        <f>A3A!A36</f>
        <v xml:space="preserve"> </v>
      </c>
      <c r="B206" s="294"/>
      <c r="C206" s="1076"/>
      <c r="D206" s="1076"/>
      <c r="E206" s="1077"/>
      <c r="F206" s="1078"/>
      <c r="G206" s="1076"/>
      <c r="H206" s="1077"/>
      <c r="I206" s="1079"/>
      <c r="J206" s="1078"/>
      <c r="K206" s="1076"/>
      <c r="L206" s="1077"/>
      <c r="M206" s="1645"/>
    </row>
    <row r="207" spans="1:13" ht="13.5">
      <c r="A207" s="1210" t="str">
        <f>A3A!A37</f>
        <v xml:space="preserve"> </v>
      </c>
      <c r="B207" s="294"/>
      <c r="C207" s="1076"/>
      <c r="D207" s="1076"/>
      <c r="E207" s="1077"/>
      <c r="F207" s="1078"/>
      <c r="G207" s="1076"/>
      <c r="H207" s="1077"/>
      <c r="I207" s="1079"/>
      <c r="J207" s="1078"/>
      <c r="K207" s="1076"/>
      <c r="L207" s="1077"/>
      <c r="M207" s="1645"/>
    </row>
    <row r="208" spans="1:13" ht="13.5">
      <c r="A208" s="1209" t="str">
        <f>A3A!A38</f>
        <v>Vote 4 - Sustainable Community Service Delivery Provision Management</v>
      </c>
      <c r="B208" s="1007"/>
      <c r="C208" s="1002">
        <f t="shared" ref="C208:L208" si="19">SUM(C209:C218)</f>
        <v>0</v>
      </c>
      <c r="D208" s="1002">
        <f t="shared" si="19"/>
        <v>0</v>
      </c>
      <c r="E208" s="1003">
        <f t="shared" si="19"/>
        <v>0</v>
      </c>
      <c r="F208" s="1008">
        <f t="shared" si="19"/>
        <v>0</v>
      </c>
      <c r="G208" s="1002">
        <f t="shared" si="19"/>
        <v>0</v>
      </c>
      <c r="H208" s="1003">
        <f t="shared" si="19"/>
        <v>0</v>
      </c>
      <c r="I208" s="1005">
        <f t="shared" si="19"/>
        <v>0</v>
      </c>
      <c r="J208" s="1004">
        <f t="shared" si="19"/>
        <v>0</v>
      </c>
      <c r="K208" s="1002">
        <f t="shared" si="19"/>
        <v>0</v>
      </c>
      <c r="L208" s="1009">
        <f t="shared" si="19"/>
        <v>0</v>
      </c>
      <c r="M208" s="1645"/>
    </row>
    <row r="209" spans="1:13" ht="13.5">
      <c r="A209" s="1210" t="str">
        <f>A3A!A39</f>
        <v>Community Services Provision Management</v>
      </c>
      <c r="B209" s="294"/>
      <c r="C209" s="1076"/>
      <c r="D209" s="1076"/>
      <c r="E209" s="1077"/>
      <c r="F209" s="1078"/>
      <c r="G209" s="1076"/>
      <c r="H209" s="1077"/>
      <c r="I209" s="1079"/>
      <c r="J209" s="1078"/>
      <c r="K209" s="1076"/>
      <c r="L209" s="1077"/>
      <c r="M209" s="1645"/>
    </row>
    <row r="210" spans="1:13" ht="13.5">
      <c r="A210" s="1210" t="str">
        <f>A3A!A40</f>
        <v>Public Safety, Enforcement and Disaster Management</v>
      </c>
      <c r="B210" s="294"/>
      <c r="C210" s="1076"/>
      <c r="D210" s="1076"/>
      <c r="E210" s="1077"/>
      <c r="F210" s="1078"/>
      <c r="G210" s="1076"/>
      <c r="H210" s="1077"/>
      <c r="I210" s="1079"/>
      <c r="J210" s="1078"/>
      <c r="K210" s="1076"/>
      <c r="L210" s="1077"/>
      <c r="M210" s="1645"/>
    </row>
    <row r="211" spans="1:13" ht="11.25" customHeight="1">
      <c r="A211" s="1210" t="str">
        <f>A3A!A41</f>
        <v>Regional Community Services Provision Management</v>
      </c>
      <c r="B211" s="294"/>
      <c r="C211" s="1076"/>
      <c r="D211" s="1076"/>
      <c r="E211" s="1077"/>
      <c r="F211" s="1078"/>
      <c r="G211" s="1076"/>
      <c r="H211" s="1077"/>
      <c r="I211" s="1079"/>
      <c r="J211" s="1078"/>
      <c r="K211" s="1076"/>
      <c r="L211" s="1077"/>
      <c r="M211" s="1645"/>
    </row>
    <row r="212" spans="1:13" s="336" customFormat="1" ht="11.25" customHeight="1">
      <c r="A212" s="1210" t="str">
        <f>A3A!A42</f>
        <v>Subvote example 4</v>
      </c>
      <c r="B212" s="294"/>
      <c r="C212" s="1076"/>
      <c r="D212" s="1076"/>
      <c r="E212" s="1077"/>
      <c r="F212" s="1078"/>
      <c r="G212" s="1076"/>
      <c r="H212" s="1077"/>
      <c r="I212" s="1079"/>
      <c r="J212" s="1078"/>
      <c r="K212" s="1076"/>
      <c r="L212" s="1077"/>
      <c r="M212" s="1645"/>
    </row>
    <row r="213" spans="1:13" s="336" customFormat="1" ht="11.25" customHeight="1">
      <c r="A213" s="1210" t="str">
        <f>A3A!A43</f>
        <v xml:space="preserve"> </v>
      </c>
      <c r="B213" s="294"/>
      <c r="C213" s="1076"/>
      <c r="D213" s="1076"/>
      <c r="E213" s="1077"/>
      <c r="F213" s="1078"/>
      <c r="G213" s="1076"/>
      <c r="H213" s="1077"/>
      <c r="I213" s="1079"/>
      <c r="J213" s="1078"/>
      <c r="K213" s="1076"/>
      <c r="L213" s="1077"/>
      <c r="M213" s="1645"/>
    </row>
    <row r="214" spans="1:13" ht="11.25" customHeight="1">
      <c r="A214" s="1210" t="str">
        <f>A3A!A44</f>
        <v xml:space="preserve"> </v>
      </c>
      <c r="B214" s="294"/>
      <c r="C214" s="1076"/>
      <c r="D214" s="1076"/>
      <c r="E214" s="1077"/>
      <c r="F214" s="1078"/>
      <c r="G214" s="1076"/>
      <c r="H214" s="1077"/>
      <c r="I214" s="1079"/>
      <c r="J214" s="1078"/>
      <c r="K214" s="1076"/>
      <c r="L214" s="1077"/>
      <c r="M214" s="1645"/>
    </row>
    <row r="215" spans="1:13" ht="11.25" customHeight="1">
      <c r="A215" s="1210" t="str">
        <f>A3A!A45</f>
        <v xml:space="preserve"> </v>
      </c>
      <c r="B215" s="294"/>
      <c r="C215" s="1076"/>
      <c r="D215" s="1076"/>
      <c r="E215" s="1077"/>
      <c r="F215" s="1078"/>
      <c r="G215" s="1076"/>
      <c r="H215" s="1077"/>
      <c r="I215" s="1079"/>
      <c r="J215" s="1078"/>
      <c r="K215" s="1076"/>
      <c r="L215" s="1077"/>
      <c r="M215" s="1645"/>
    </row>
    <row r="216" spans="1:13" ht="11.25" customHeight="1">
      <c r="A216" s="1210" t="str">
        <f>A3A!A46</f>
        <v xml:space="preserve"> </v>
      </c>
      <c r="B216" s="294"/>
      <c r="C216" s="1076"/>
      <c r="D216" s="1076"/>
      <c r="E216" s="1077"/>
      <c r="F216" s="1078"/>
      <c r="G216" s="1076"/>
      <c r="H216" s="1077"/>
      <c r="I216" s="1079"/>
      <c r="J216" s="1078"/>
      <c r="K216" s="1076"/>
      <c r="L216" s="1077"/>
      <c r="M216" s="1645"/>
    </row>
    <row r="217" spans="1:13" ht="11.25" customHeight="1">
      <c r="A217" s="1210" t="str">
        <f>A3A!A47</f>
        <v xml:space="preserve"> </v>
      </c>
      <c r="B217" s="294"/>
      <c r="C217" s="1076"/>
      <c r="D217" s="1076"/>
      <c r="E217" s="1077"/>
      <c r="F217" s="1078"/>
      <c r="G217" s="1076"/>
      <c r="H217" s="1077"/>
      <c r="I217" s="1079"/>
      <c r="J217" s="1078"/>
      <c r="K217" s="1076"/>
      <c r="L217" s="1077"/>
      <c r="M217" s="1645"/>
    </row>
    <row r="218" spans="1:13" ht="11.25" customHeight="1">
      <c r="A218" s="1210" t="str">
        <f>A3A!A48</f>
        <v xml:space="preserve"> </v>
      </c>
      <c r="B218" s="294"/>
      <c r="C218" s="1076"/>
      <c r="D218" s="1076"/>
      <c r="E218" s="1077"/>
      <c r="F218" s="1078"/>
      <c r="G218" s="1076"/>
      <c r="H218" s="1077"/>
      <c r="I218" s="1079"/>
      <c r="J218" s="1078"/>
      <c r="K218" s="1076"/>
      <c r="L218" s="1077"/>
      <c r="M218" s="1645"/>
    </row>
    <row r="219" spans="1:13" ht="11.25" customHeight="1">
      <c r="A219" s="1209" t="str">
        <f>A3A!A49</f>
        <v>Example 5 - Vote5</v>
      </c>
      <c r="B219" s="1007"/>
      <c r="C219" s="1002">
        <f t="shared" ref="C219:L219" si="20">SUM(C220:C229)</f>
        <v>0</v>
      </c>
      <c r="D219" s="1002">
        <f t="shared" si="20"/>
        <v>0</v>
      </c>
      <c r="E219" s="1003">
        <f t="shared" si="20"/>
        <v>0</v>
      </c>
      <c r="F219" s="1004">
        <f t="shared" si="20"/>
        <v>0</v>
      </c>
      <c r="G219" s="1002">
        <f t="shared" si="20"/>
        <v>0</v>
      </c>
      <c r="H219" s="1003">
        <f t="shared" si="20"/>
        <v>0</v>
      </c>
      <c r="I219" s="1005">
        <f t="shared" si="20"/>
        <v>0</v>
      </c>
      <c r="J219" s="1004">
        <f t="shared" si="20"/>
        <v>0</v>
      </c>
      <c r="K219" s="1002">
        <f t="shared" si="20"/>
        <v>0</v>
      </c>
      <c r="L219" s="1003">
        <f t="shared" si="20"/>
        <v>0</v>
      </c>
      <c r="M219" s="1645"/>
    </row>
    <row r="220" spans="1:13" ht="11.25" customHeight="1">
      <c r="A220" s="1210" t="str">
        <f>A3A!A50</f>
        <v>Subvote example 5</v>
      </c>
      <c r="B220" s="294"/>
      <c r="C220" s="1076"/>
      <c r="D220" s="1076"/>
      <c r="E220" s="1077"/>
      <c r="F220" s="1078"/>
      <c r="G220" s="1076"/>
      <c r="H220" s="1077"/>
      <c r="I220" s="1079"/>
      <c r="J220" s="1078"/>
      <c r="K220" s="1076"/>
      <c r="L220" s="1077"/>
      <c r="M220" s="1645"/>
    </row>
    <row r="221" spans="1:13" ht="11.25" customHeight="1">
      <c r="A221" s="1210" t="str">
        <f>A3A!A51</f>
        <v xml:space="preserve"> </v>
      </c>
      <c r="B221" s="294"/>
      <c r="C221" s="1076"/>
      <c r="D221" s="1076"/>
      <c r="E221" s="1077"/>
      <c r="F221" s="1078"/>
      <c r="G221" s="1076"/>
      <c r="H221" s="1077"/>
      <c r="I221" s="1079"/>
      <c r="J221" s="1078"/>
      <c r="K221" s="1076"/>
      <c r="L221" s="1077"/>
      <c r="M221" s="1645"/>
    </row>
    <row r="222" spans="1:13" ht="11.25" customHeight="1">
      <c r="A222" s="1210" t="str">
        <f>A3A!A52</f>
        <v xml:space="preserve"> </v>
      </c>
      <c r="B222" s="294"/>
      <c r="C222" s="1076"/>
      <c r="D222" s="1076"/>
      <c r="E222" s="1077"/>
      <c r="F222" s="1078"/>
      <c r="G222" s="1076"/>
      <c r="H222" s="1077"/>
      <c r="I222" s="1079"/>
      <c r="J222" s="1078"/>
      <c r="K222" s="1076"/>
      <c r="L222" s="1077"/>
      <c r="M222" s="1645"/>
    </row>
    <row r="223" spans="1:13" ht="11.25" customHeight="1">
      <c r="A223" s="1210" t="str">
        <f>A3A!A53</f>
        <v xml:space="preserve"> </v>
      </c>
      <c r="B223" s="294"/>
      <c r="C223" s="1076"/>
      <c r="D223" s="1076"/>
      <c r="E223" s="1077"/>
      <c r="F223" s="1078"/>
      <c r="G223" s="1076"/>
      <c r="H223" s="1077"/>
      <c r="I223" s="1079"/>
      <c r="J223" s="1078"/>
      <c r="K223" s="1076"/>
      <c r="L223" s="1077"/>
      <c r="M223" s="1645"/>
    </row>
    <row r="224" spans="1:13" ht="11.25" customHeight="1">
      <c r="A224" s="1210" t="str">
        <f>A3A!A54</f>
        <v xml:space="preserve"> </v>
      </c>
      <c r="B224" s="294"/>
      <c r="C224" s="1076"/>
      <c r="D224" s="1076"/>
      <c r="E224" s="1077"/>
      <c r="F224" s="1078"/>
      <c r="G224" s="1076"/>
      <c r="H224" s="1077"/>
      <c r="I224" s="1079"/>
      <c r="J224" s="1078"/>
      <c r="K224" s="1076"/>
      <c r="L224" s="1077"/>
      <c r="M224" s="1645"/>
    </row>
    <row r="225" spans="1:13" ht="11.25" customHeight="1">
      <c r="A225" s="1210" t="str">
        <f>A3A!A55</f>
        <v xml:space="preserve"> </v>
      </c>
      <c r="B225" s="294"/>
      <c r="C225" s="1076"/>
      <c r="D225" s="1076"/>
      <c r="E225" s="1077"/>
      <c r="F225" s="1078"/>
      <c r="G225" s="1076"/>
      <c r="H225" s="1077"/>
      <c r="I225" s="1079"/>
      <c r="J225" s="1078"/>
      <c r="K225" s="1076"/>
      <c r="L225" s="1077"/>
      <c r="M225" s="1645"/>
    </row>
    <row r="226" spans="1:13" ht="11.25" customHeight="1">
      <c r="A226" s="1210" t="str">
        <f>A3A!A56</f>
        <v xml:space="preserve"> </v>
      </c>
      <c r="B226" s="294"/>
      <c r="C226" s="1076"/>
      <c r="D226" s="1076"/>
      <c r="E226" s="1077"/>
      <c r="F226" s="1078"/>
      <c r="G226" s="1076"/>
      <c r="H226" s="1077"/>
      <c r="I226" s="1079"/>
      <c r="J226" s="1078"/>
      <c r="K226" s="1076"/>
      <c r="L226" s="1077"/>
      <c r="M226" s="1645"/>
    </row>
    <row r="227" spans="1:13" ht="11.25" customHeight="1">
      <c r="A227" s="1210" t="str">
        <f>A3A!A57</f>
        <v xml:space="preserve"> </v>
      </c>
      <c r="B227" s="294"/>
      <c r="C227" s="1076"/>
      <c r="D227" s="1076"/>
      <c r="E227" s="1077"/>
      <c r="F227" s="1078"/>
      <c r="G227" s="1076"/>
      <c r="H227" s="1077"/>
      <c r="I227" s="1079"/>
      <c r="J227" s="1078"/>
      <c r="K227" s="1076"/>
      <c r="L227" s="1077"/>
      <c r="M227" s="1645"/>
    </row>
    <row r="228" spans="1:13" ht="11.25" customHeight="1">
      <c r="A228" s="1210" t="str">
        <f>A3A!A58</f>
        <v xml:space="preserve"> </v>
      </c>
      <c r="B228" s="294"/>
      <c r="C228" s="1076"/>
      <c r="D228" s="1076"/>
      <c r="E228" s="1077"/>
      <c r="F228" s="1078"/>
      <c r="G228" s="1076"/>
      <c r="H228" s="1077"/>
      <c r="I228" s="1079"/>
      <c r="J228" s="1078"/>
      <c r="K228" s="1076"/>
      <c r="L228" s="1077"/>
      <c r="M228" s="1645"/>
    </row>
    <row r="229" spans="1:13" ht="11.25" customHeight="1">
      <c r="A229" s="1210" t="str">
        <f>A3A!A59</f>
        <v xml:space="preserve"> </v>
      </c>
      <c r="B229" s="294"/>
      <c r="C229" s="1076"/>
      <c r="D229" s="1076"/>
      <c r="E229" s="1077"/>
      <c r="F229" s="1078"/>
      <c r="G229" s="1076"/>
      <c r="H229" s="1077"/>
      <c r="I229" s="1079"/>
      <c r="J229" s="1078"/>
      <c r="K229" s="1076"/>
      <c r="L229" s="1077"/>
      <c r="M229" s="1645"/>
    </row>
    <row r="230" spans="1:13" ht="11.25" customHeight="1">
      <c r="A230" s="1209" t="str">
        <f>A3A!A60</f>
        <v>Example 6 - Vote6</v>
      </c>
      <c r="B230" s="1007"/>
      <c r="C230" s="1002">
        <f t="shared" ref="C230:L230" si="21">SUM(C231:C240)</f>
        <v>0</v>
      </c>
      <c r="D230" s="1002">
        <f t="shared" si="21"/>
        <v>0</v>
      </c>
      <c r="E230" s="1003">
        <f t="shared" si="21"/>
        <v>0</v>
      </c>
      <c r="F230" s="1004">
        <f t="shared" si="21"/>
        <v>0</v>
      </c>
      <c r="G230" s="1002">
        <f t="shared" si="21"/>
        <v>0</v>
      </c>
      <c r="H230" s="1003">
        <f t="shared" si="21"/>
        <v>0</v>
      </c>
      <c r="I230" s="1005">
        <f t="shared" si="21"/>
        <v>0</v>
      </c>
      <c r="J230" s="1004">
        <f t="shared" si="21"/>
        <v>0</v>
      </c>
      <c r="K230" s="1002">
        <f t="shared" si="21"/>
        <v>0</v>
      </c>
      <c r="L230" s="1003">
        <f t="shared" si="21"/>
        <v>0</v>
      </c>
      <c r="M230" s="373"/>
    </row>
    <row r="231" spans="1:13" ht="11.25" customHeight="1">
      <c r="A231" s="1210" t="str">
        <f>A3A!A61</f>
        <v>Subvote example 6</v>
      </c>
      <c r="B231" s="294"/>
      <c r="C231" s="1076"/>
      <c r="D231" s="1076"/>
      <c r="E231" s="1077"/>
      <c r="F231" s="1078"/>
      <c r="G231" s="1076"/>
      <c r="H231" s="1077"/>
      <c r="I231" s="1079"/>
      <c r="J231" s="1078"/>
      <c r="K231" s="1076"/>
      <c r="L231" s="1077"/>
      <c r="M231" s="373"/>
    </row>
    <row r="232" spans="1:13" ht="11.25" customHeight="1">
      <c r="A232" s="1210" t="str">
        <f>A3A!A62</f>
        <v xml:space="preserve"> </v>
      </c>
      <c r="B232" s="294"/>
      <c r="C232" s="1076"/>
      <c r="D232" s="1076"/>
      <c r="E232" s="1077"/>
      <c r="F232" s="1078"/>
      <c r="G232" s="1076"/>
      <c r="H232" s="1077"/>
      <c r="I232" s="1079"/>
      <c r="J232" s="1078"/>
      <c r="K232" s="1076"/>
      <c r="L232" s="1077"/>
      <c r="M232" s="373"/>
    </row>
    <row r="233" spans="1:13" ht="11.25" customHeight="1">
      <c r="A233" s="1210" t="str">
        <f>A3A!A63</f>
        <v xml:space="preserve"> </v>
      </c>
      <c r="B233" s="294"/>
      <c r="C233" s="1076"/>
      <c r="D233" s="1076"/>
      <c r="E233" s="1077"/>
      <c r="F233" s="1078"/>
      <c r="G233" s="1076"/>
      <c r="H233" s="1077"/>
      <c r="I233" s="1079"/>
      <c r="J233" s="1078"/>
      <c r="K233" s="1076"/>
      <c r="L233" s="1077"/>
      <c r="M233" s="373"/>
    </row>
    <row r="234" spans="1:13" ht="11.25" customHeight="1">
      <c r="A234" s="1210" t="str">
        <f>A3A!A64</f>
        <v xml:space="preserve"> </v>
      </c>
      <c r="B234" s="294"/>
      <c r="C234" s="1076"/>
      <c r="D234" s="1076"/>
      <c r="E234" s="1077"/>
      <c r="F234" s="1078"/>
      <c r="G234" s="1076"/>
      <c r="H234" s="1077"/>
      <c r="I234" s="1079"/>
      <c r="J234" s="1078"/>
      <c r="K234" s="1076"/>
      <c r="L234" s="1077"/>
      <c r="M234" s="373"/>
    </row>
    <row r="235" spans="1:13" ht="11.25" customHeight="1">
      <c r="A235" s="1210" t="str">
        <f>A3A!A65</f>
        <v xml:space="preserve"> </v>
      </c>
      <c r="B235" s="294"/>
      <c r="C235" s="1076"/>
      <c r="D235" s="1076"/>
      <c r="E235" s="1077"/>
      <c r="F235" s="1078"/>
      <c r="G235" s="1076"/>
      <c r="H235" s="1077"/>
      <c r="I235" s="1079"/>
      <c r="J235" s="1078"/>
      <c r="K235" s="1076"/>
      <c r="L235" s="1077"/>
      <c r="M235" s="373"/>
    </row>
    <row r="236" spans="1:13" ht="11.25" customHeight="1">
      <c r="A236" s="1210" t="str">
        <f>A3A!A66</f>
        <v xml:space="preserve"> </v>
      </c>
      <c r="B236" s="294"/>
      <c r="C236" s="1076"/>
      <c r="D236" s="1076"/>
      <c r="E236" s="1077"/>
      <c r="F236" s="1078"/>
      <c r="G236" s="1076"/>
      <c r="H236" s="1077"/>
      <c r="I236" s="1079"/>
      <c r="J236" s="1078"/>
      <c r="K236" s="1076"/>
      <c r="L236" s="1077"/>
      <c r="M236" s="373"/>
    </row>
    <row r="237" spans="1:13" ht="11.25" customHeight="1">
      <c r="A237" s="1210" t="str">
        <f>A3A!A67</f>
        <v xml:space="preserve"> </v>
      </c>
      <c r="B237" s="294"/>
      <c r="C237" s="1076"/>
      <c r="D237" s="1076"/>
      <c r="E237" s="1077"/>
      <c r="F237" s="1078"/>
      <c r="G237" s="1076"/>
      <c r="H237" s="1077"/>
      <c r="I237" s="1079"/>
      <c r="J237" s="1078"/>
      <c r="K237" s="1076"/>
      <c r="L237" s="1077"/>
      <c r="M237" s="373"/>
    </row>
    <row r="238" spans="1:13" ht="11.25" customHeight="1">
      <c r="A238" s="1210" t="str">
        <f>A3A!A68</f>
        <v xml:space="preserve"> </v>
      </c>
      <c r="B238" s="294"/>
      <c r="C238" s="1076"/>
      <c r="D238" s="1076"/>
      <c r="E238" s="1077"/>
      <c r="F238" s="1078"/>
      <c r="G238" s="1076"/>
      <c r="H238" s="1077"/>
      <c r="I238" s="1079"/>
      <c r="J238" s="1078"/>
      <c r="K238" s="1076"/>
      <c r="L238" s="1077"/>
      <c r="M238" s="373"/>
    </row>
    <row r="239" spans="1:13" ht="11.25" customHeight="1">
      <c r="A239" s="1210" t="str">
        <f>A3A!A69</f>
        <v xml:space="preserve"> </v>
      </c>
      <c r="B239" s="294"/>
      <c r="C239" s="1076"/>
      <c r="D239" s="1076"/>
      <c r="E239" s="1077"/>
      <c r="F239" s="1078"/>
      <c r="G239" s="1076"/>
      <c r="H239" s="1077"/>
      <c r="I239" s="1079"/>
      <c r="J239" s="1078"/>
      <c r="K239" s="1076"/>
      <c r="L239" s="1077"/>
      <c r="M239" s="373"/>
    </row>
    <row r="240" spans="1:13" ht="11.25" customHeight="1">
      <c r="A240" s="1210" t="str">
        <f>A3A!A70</f>
        <v xml:space="preserve"> </v>
      </c>
      <c r="B240" s="294"/>
      <c r="C240" s="1076"/>
      <c r="D240" s="1076"/>
      <c r="E240" s="1077"/>
      <c r="F240" s="1078"/>
      <c r="G240" s="1076"/>
      <c r="H240" s="1077"/>
      <c r="I240" s="1079"/>
      <c r="J240" s="1078"/>
      <c r="K240" s="1076"/>
      <c r="L240" s="1077"/>
      <c r="M240" s="373"/>
    </row>
    <row r="241" spans="1:13" ht="11.25" customHeight="1">
      <c r="A241" s="1209" t="str">
        <f>A3A!A71</f>
        <v>Example 7 - Vote7</v>
      </c>
      <c r="B241" s="1007"/>
      <c r="C241" s="1002">
        <f t="shared" ref="C241:L241" si="22">SUM(C242:C251)</f>
        <v>0</v>
      </c>
      <c r="D241" s="1002">
        <f t="shared" si="22"/>
        <v>0</v>
      </c>
      <c r="E241" s="1003">
        <f t="shared" si="22"/>
        <v>0</v>
      </c>
      <c r="F241" s="1004">
        <f t="shared" si="22"/>
        <v>0</v>
      </c>
      <c r="G241" s="1002">
        <f t="shared" si="22"/>
        <v>0</v>
      </c>
      <c r="H241" s="1003">
        <f t="shared" si="22"/>
        <v>0</v>
      </c>
      <c r="I241" s="1005">
        <f t="shared" si="22"/>
        <v>0</v>
      </c>
      <c r="J241" s="1004">
        <f t="shared" si="22"/>
        <v>0</v>
      </c>
      <c r="K241" s="1002">
        <f t="shared" si="22"/>
        <v>0</v>
      </c>
      <c r="L241" s="1003">
        <f t="shared" si="22"/>
        <v>0</v>
      </c>
      <c r="M241" s="373"/>
    </row>
    <row r="242" spans="1:13" ht="11.25" customHeight="1">
      <c r="A242" s="1210" t="str">
        <f>A3A!A72</f>
        <v>Subvote example 7</v>
      </c>
      <c r="B242" s="294"/>
      <c r="C242" s="1076"/>
      <c r="D242" s="1076"/>
      <c r="E242" s="1077"/>
      <c r="F242" s="1078"/>
      <c r="G242" s="1076"/>
      <c r="H242" s="1077"/>
      <c r="I242" s="1079"/>
      <c r="J242" s="1078"/>
      <c r="K242" s="1076"/>
      <c r="L242" s="1077"/>
      <c r="M242" s="373"/>
    </row>
    <row r="243" spans="1:13" ht="11.25" customHeight="1">
      <c r="A243" s="1210" t="str">
        <f>A3A!A73</f>
        <v xml:space="preserve"> </v>
      </c>
      <c r="B243" s="294"/>
      <c r="C243" s="1076"/>
      <c r="D243" s="1076"/>
      <c r="E243" s="1077"/>
      <c r="F243" s="1078"/>
      <c r="G243" s="1076"/>
      <c r="H243" s="1077"/>
      <c r="I243" s="1079"/>
      <c r="J243" s="1078"/>
      <c r="K243" s="1076"/>
      <c r="L243" s="1077"/>
      <c r="M243" s="373"/>
    </row>
    <row r="244" spans="1:13" ht="11.25" customHeight="1">
      <c r="A244" s="1210" t="str">
        <f>A3A!A74</f>
        <v xml:space="preserve"> </v>
      </c>
      <c r="B244" s="294"/>
      <c r="C244" s="1076"/>
      <c r="D244" s="1076"/>
      <c r="E244" s="1077"/>
      <c r="F244" s="1078"/>
      <c r="G244" s="1076"/>
      <c r="H244" s="1077"/>
      <c r="I244" s="1079"/>
      <c r="J244" s="1078"/>
      <c r="K244" s="1076"/>
      <c r="L244" s="1077"/>
      <c r="M244" s="373"/>
    </row>
    <row r="245" spans="1:13" ht="11.25" customHeight="1">
      <c r="A245" s="1210" t="str">
        <f>A3A!A75</f>
        <v xml:space="preserve"> </v>
      </c>
      <c r="B245" s="294"/>
      <c r="C245" s="1076"/>
      <c r="D245" s="1076"/>
      <c r="E245" s="1077"/>
      <c r="F245" s="1078"/>
      <c r="G245" s="1076"/>
      <c r="H245" s="1077"/>
      <c r="I245" s="1079"/>
      <c r="J245" s="1078"/>
      <c r="K245" s="1076"/>
      <c r="L245" s="1077"/>
      <c r="M245" s="373"/>
    </row>
    <row r="246" spans="1:13" ht="11.25" customHeight="1">
      <c r="A246" s="1210" t="str">
        <f>A3A!A76</f>
        <v xml:space="preserve"> </v>
      </c>
      <c r="B246" s="294"/>
      <c r="C246" s="1076"/>
      <c r="D246" s="1076"/>
      <c r="E246" s="1077"/>
      <c r="F246" s="1078"/>
      <c r="G246" s="1076"/>
      <c r="H246" s="1077"/>
      <c r="I246" s="1079"/>
      <c r="J246" s="1078"/>
      <c r="K246" s="1076"/>
      <c r="L246" s="1077"/>
      <c r="M246" s="373"/>
    </row>
    <row r="247" spans="1:13" ht="11.25" customHeight="1">
      <c r="A247" s="1210" t="str">
        <f>A3A!A77</f>
        <v xml:space="preserve"> </v>
      </c>
      <c r="B247" s="294"/>
      <c r="C247" s="1076"/>
      <c r="D247" s="1076"/>
      <c r="E247" s="1077"/>
      <c r="F247" s="1078"/>
      <c r="G247" s="1076"/>
      <c r="H247" s="1077"/>
      <c r="I247" s="1079"/>
      <c r="J247" s="1078"/>
      <c r="K247" s="1076"/>
      <c r="L247" s="1077"/>
      <c r="M247" s="373"/>
    </row>
    <row r="248" spans="1:13" ht="11.25" customHeight="1">
      <c r="A248" s="1210" t="str">
        <f>A3A!A78</f>
        <v xml:space="preserve"> </v>
      </c>
      <c r="B248" s="294"/>
      <c r="C248" s="1076"/>
      <c r="D248" s="1076"/>
      <c r="E248" s="1077"/>
      <c r="F248" s="1078"/>
      <c r="G248" s="1076"/>
      <c r="H248" s="1077"/>
      <c r="I248" s="1079"/>
      <c r="J248" s="1078"/>
      <c r="K248" s="1076"/>
      <c r="L248" s="1077"/>
      <c r="M248" s="373"/>
    </row>
    <row r="249" spans="1:13" ht="11.25" customHeight="1">
      <c r="A249" s="1210" t="str">
        <f>A3A!A79</f>
        <v xml:space="preserve"> </v>
      </c>
      <c r="B249" s="294"/>
      <c r="C249" s="1076"/>
      <c r="D249" s="1076"/>
      <c r="E249" s="1077"/>
      <c r="F249" s="1078"/>
      <c r="G249" s="1076"/>
      <c r="H249" s="1077"/>
      <c r="I249" s="1079"/>
      <c r="J249" s="1078"/>
      <c r="K249" s="1076"/>
      <c r="L249" s="1077"/>
      <c r="M249" s="373"/>
    </row>
    <row r="250" spans="1:13" ht="11.25" customHeight="1">
      <c r="A250" s="1210" t="str">
        <f>A3A!A80</f>
        <v xml:space="preserve"> </v>
      </c>
      <c r="B250" s="294"/>
      <c r="C250" s="1076"/>
      <c r="D250" s="1076"/>
      <c r="E250" s="1077"/>
      <c r="F250" s="1078"/>
      <c r="G250" s="1076"/>
      <c r="H250" s="1077"/>
      <c r="I250" s="1079"/>
      <c r="J250" s="1078"/>
      <c r="K250" s="1076"/>
      <c r="L250" s="1077"/>
      <c r="M250" s="373"/>
    </row>
    <row r="251" spans="1:13" ht="11.25" customHeight="1">
      <c r="A251" s="1210" t="str">
        <f>A3A!A81</f>
        <v xml:space="preserve"> </v>
      </c>
      <c r="B251" s="294"/>
      <c r="C251" s="1076"/>
      <c r="D251" s="1076"/>
      <c r="E251" s="1077"/>
      <c r="F251" s="1078"/>
      <c r="G251" s="1076"/>
      <c r="H251" s="1077"/>
      <c r="I251" s="1079"/>
      <c r="J251" s="1078"/>
      <c r="K251" s="1076"/>
      <c r="L251" s="1077"/>
      <c r="M251" s="373"/>
    </row>
    <row r="252" spans="1:13">
      <c r="A252" s="1209" t="str">
        <f>A3A!A82</f>
        <v>Example 8 - Vote8</v>
      </c>
      <c r="B252" s="294"/>
      <c r="C252" s="1002">
        <f t="shared" ref="C252:L252" si="23">SUM(C253:C262)</f>
        <v>0</v>
      </c>
      <c r="D252" s="1002">
        <f t="shared" si="23"/>
        <v>0</v>
      </c>
      <c r="E252" s="1003">
        <f t="shared" si="23"/>
        <v>0</v>
      </c>
      <c r="F252" s="1004">
        <f t="shared" si="23"/>
        <v>0</v>
      </c>
      <c r="G252" s="1002">
        <f t="shared" si="23"/>
        <v>0</v>
      </c>
      <c r="H252" s="1003">
        <f t="shared" si="23"/>
        <v>0</v>
      </c>
      <c r="I252" s="1005">
        <f t="shared" si="23"/>
        <v>0</v>
      </c>
      <c r="J252" s="1004">
        <f t="shared" si="23"/>
        <v>0</v>
      </c>
      <c r="K252" s="1002">
        <f t="shared" si="23"/>
        <v>0</v>
      </c>
      <c r="L252" s="1003">
        <f t="shared" si="23"/>
        <v>0</v>
      </c>
      <c r="M252" s="373"/>
    </row>
    <row r="253" spans="1:13">
      <c r="A253" s="1210" t="str">
        <f>A3A!A83</f>
        <v>Subvote example 8</v>
      </c>
      <c r="B253" s="294"/>
      <c r="C253" s="1076"/>
      <c r="D253" s="1076"/>
      <c r="E253" s="1079"/>
      <c r="F253" s="1078"/>
      <c r="G253" s="1076"/>
      <c r="H253" s="1077"/>
      <c r="I253" s="1079"/>
      <c r="J253" s="1078"/>
      <c r="K253" s="1076"/>
      <c r="L253" s="1077"/>
      <c r="M253" s="373"/>
    </row>
    <row r="254" spans="1:13">
      <c r="A254" s="1210" t="str">
        <f>A3A!A84</f>
        <v xml:space="preserve"> </v>
      </c>
      <c r="B254" s="294"/>
      <c r="C254" s="1076"/>
      <c r="D254" s="1076"/>
      <c r="E254" s="1079"/>
      <c r="F254" s="1078"/>
      <c r="G254" s="1076"/>
      <c r="H254" s="1077"/>
      <c r="I254" s="1079"/>
      <c r="J254" s="1078"/>
      <c r="K254" s="1076"/>
      <c r="L254" s="1077"/>
      <c r="M254" s="373"/>
    </row>
    <row r="255" spans="1:13">
      <c r="A255" s="1210" t="str">
        <f>A3A!A85</f>
        <v xml:space="preserve"> </v>
      </c>
      <c r="B255" s="294"/>
      <c r="C255" s="1076"/>
      <c r="D255" s="1076"/>
      <c r="E255" s="1079"/>
      <c r="F255" s="1078"/>
      <c r="G255" s="1076"/>
      <c r="H255" s="1077"/>
      <c r="I255" s="1079"/>
      <c r="J255" s="1078"/>
      <c r="K255" s="1076"/>
      <c r="L255" s="1077"/>
      <c r="M255" s="373"/>
    </row>
    <row r="256" spans="1:13">
      <c r="A256" s="1210" t="str">
        <f>A3A!A86</f>
        <v xml:space="preserve"> </v>
      </c>
      <c r="B256" s="294"/>
      <c r="C256" s="1076"/>
      <c r="D256" s="1076"/>
      <c r="E256" s="1079"/>
      <c r="F256" s="1078"/>
      <c r="G256" s="1076"/>
      <c r="H256" s="1077"/>
      <c r="I256" s="1079"/>
      <c r="J256" s="1078"/>
      <c r="K256" s="1076"/>
      <c r="L256" s="1077"/>
      <c r="M256" s="373"/>
    </row>
    <row r="257" spans="1:13">
      <c r="A257" s="1210" t="str">
        <f>A3A!A87</f>
        <v xml:space="preserve"> </v>
      </c>
      <c r="B257" s="294"/>
      <c r="C257" s="1076"/>
      <c r="D257" s="1076"/>
      <c r="E257" s="1079"/>
      <c r="F257" s="1078"/>
      <c r="G257" s="1076"/>
      <c r="H257" s="1077"/>
      <c r="I257" s="1079"/>
      <c r="J257" s="1078"/>
      <c r="K257" s="1076"/>
      <c r="L257" s="1077"/>
      <c r="M257" s="373"/>
    </row>
    <row r="258" spans="1:13">
      <c r="A258" s="1210" t="str">
        <f>A3A!A88</f>
        <v xml:space="preserve"> </v>
      </c>
      <c r="B258" s="294"/>
      <c r="C258" s="1076"/>
      <c r="D258" s="1076"/>
      <c r="E258" s="1079"/>
      <c r="F258" s="1078"/>
      <c r="G258" s="1076"/>
      <c r="H258" s="1077"/>
      <c r="I258" s="1079"/>
      <c r="J258" s="1078"/>
      <c r="K258" s="1076"/>
      <c r="L258" s="1077"/>
      <c r="M258" s="373"/>
    </row>
    <row r="259" spans="1:13">
      <c r="A259" s="1210" t="str">
        <f>A3A!A89</f>
        <v xml:space="preserve"> </v>
      </c>
      <c r="B259" s="294"/>
      <c r="C259" s="1076"/>
      <c r="D259" s="1076"/>
      <c r="E259" s="1079"/>
      <c r="F259" s="1078"/>
      <c r="G259" s="1076"/>
      <c r="H259" s="1077"/>
      <c r="I259" s="1079"/>
      <c r="J259" s="1078"/>
      <c r="K259" s="1076"/>
      <c r="L259" s="1077"/>
      <c r="M259" s="373"/>
    </row>
    <row r="260" spans="1:13">
      <c r="A260" s="1210" t="str">
        <f>A3A!A90</f>
        <v xml:space="preserve"> </v>
      </c>
      <c r="B260" s="294"/>
      <c r="C260" s="1076"/>
      <c r="D260" s="1076"/>
      <c r="E260" s="1079"/>
      <c r="F260" s="1078"/>
      <c r="G260" s="1076"/>
      <c r="H260" s="1077"/>
      <c r="I260" s="1079"/>
      <c r="J260" s="1078"/>
      <c r="K260" s="1076"/>
      <c r="L260" s="1077"/>
      <c r="M260" s="373"/>
    </row>
    <row r="261" spans="1:13">
      <c r="A261" s="1210" t="str">
        <f>A3A!A91</f>
        <v xml:space="preserve"> </v>
      </c>
      <c r="B261" s="294"/>
      <c r="C261" s="1076"/>
      <c r="D261" s="1076"/>
      <c r="E261" s="1079"/>
      <c r="F261" s="1078"/>
      <c r="G261" s="1076"/>
      <c r="H261" s="1077"/>
      <c r="I261" s="1079"/>
      <c r="J261" s="1078"/>
      <c r="K261" s="1076"/>
      <c r="L261" s="1077"/>
      <c r="M261" s="373"/>
    </row>
    <row r="262" spans="1:13">
      <c r="A262" s="1210" t="str">
        <f>A3A!A92</f>
        <v xml:space="preserve"> </v>
      </c>
      <c r="B262" s="294"/>
      <c r="C262" s="1076"/>
      <c r="D262" s="1076"/>
      <c r="E262" s="1079"/>
      <c r="F262" s="1078"/>
      <c r="G262" s="1076"/>
      <c r="H262" s="1077"/>
      <c r="I262" s="1079"/>
      <c r="J262" s="1078"/>
      <c r="K262" s="1076"/>
      <c r="L262" s="1077"/>
      <c r="M262" s="373"/>
    </row>
    <row r="263" spans="1:13">
      <c r="A263" s="1209" t="str">
        <f>A3A!A93</f>
        <v>Example 9 - Vote9</v>
      </c>
      <c r="B263" s="294"/>
      <c r="C263" s="1002">
        <f t="shared" ref="C263:L263" si="24">SUM(C264:C273)</f>
        <v>0</v>
      </c>
      <c r="D263" s="1002">
        <f t="shared" si="24"/>
        <v>0</v>
      </c>
      <c r="E263" s="1003">
        <f t="shared" si="24"/>
        <v>0</v>
      </c>
      <c r="F263" s="1004">
        <f t="shared" si="24"/>
        <v>0</v>
      </c>
      <c r="G263" s="1002">
        <f t="shared" si="24"/>
        <v>0</v>
      </c>
      <c r="H263" s="1003">
        <f t="shared" si="24"/>
        <v>0</v>
      </c>
      <c r="I263" s="1005">
        <f t="shared" si="24"/>
        <v>0</v>
      </c>
      <c r="J263" s="1004">
        <f t="shared" si="24"/>
        <v>0</v>
      </c>
      <c r="K263" s="1002">
        <f t="shared" si="24"/>
        <v>0</v>
      </c>
      <c r="L263" s="1003">
        <f t="shared" si="24"/>
        <v>0</v>
      </c>
      <c r="M263" s="373"/>
    </row>
    <row r="264" spans="1:13">
      <c r="A264" s="1210" t="str">
        <f>A3A!A94</f>
        <v>Subvote example 9</v>
      </c>
      <c r="B264" s="294"/>
      <c r="C264" s="1076"/>
      <c r="D264" s="1076"/>
      <c r="E264" s="1079"/>
      <c r="F264" s="1078"/>
      <c r="G264" s="1076"/>
      <c r="H264" s="1077"/>
      <c r="I264" s="1079"/>
      <c r="J264" s="1078"/>
      <c r="K264" s="1076"/>
      <c r="L264" s="1077"/>
      <c r="M264" s="373"/>
    </row>
    <row r="265" spans="1:13">
      <c r="A265" s="1210" t="str">
        <f>A3A!A95</f>
        <v xml:space="preserve"> </v>
      </c>
      <c r="B265" s="294"/>
      <c r="C265" s="1076"/>
      <c r="D265" s="1076"/>
      <c r="E265" s="1079"/>
      <c r="F265" s="1078"/>
      <c r="G265" s="1076"/>
      <c r="H265" s="1077"/>
      <c r="I265" s="1079"/>
      <c r="J265" s="1078"/>
      <c r="K265" s="1076"/>
      <c r="L265" s="1077"/>
      <c r="M265" s="373"/>
    </row>
    <row r="266" spans="1:13">
      <c r="A266" s="1210" t="str">
        <f>A3A!A96</f>
        <v xml:space="preserve"> </v>
      </c>
      <c r="B266" s="294"/>
      <c r="C266" s="1076"/>
      <c r="D266" s="1076"/>
      <c r="E266" s="1079"/>
      <c r="F266" s="1078"/>
      <c r="G266" s="1076"/>
      <c r="H266" s="1077"/>
      <c r="I266" s="1079"/>
      <c r="J266" s="1078"/>
      <c r="K266" s="1076"/>
      <c r="L266" s="1077"/>
      <c r="M266" s="373"/>
    </row>
    <row r="267" spans="1:13">
      <c r="A267" s="1210" t="str">
        <f>A3A!A97</f>
        <v xml:space="preserve"> </v>
      </c>
      <c r="B267" s="294"/>
      <c r="C267" s="1076"/>
      <c r="D267" s="1076"/>
      <c r="E267" s="1079"/>
      <c r="F267" s="1078"/>
      <c r="G267" s="1076"/>
      <c r="H267" s="1077"/>
      <c r="I267" s="1079"/>
      <c r="J267" s="1078"/>
      <c r="K267" s="1076"/>
      <c r="L267" s="1077"/>
      <c r="M267" s="373"/>
    </row>
    <row r="268" spans="1:13">
      <c r="A268" s="1210" t="str">
        <f>A3A!A98</f>
        <v xml:space="preserve"> </v>
      </c>
      <c r="B268" s="294"/>
      <c r="C268" s="1076"/>
      <c r="D268" s="1076"/>
      <c r="E268" s="1079"/>
      <c r="F268" s="1078"/>
      <c r="G268" s="1076"/>
      <c r="H268" s="1077"/>
      <c r="I268" s="1079"/>
      <c r="J268" s="1078"/>
      <c r="K268" s="1076"/>
      <c r="L268" s="1077"/>
      <c r="M268" s="373"/>
    </row>
    <row r="269" spans="1:13">
      <c r="A269" s="1210" t="str">
        <f>A3A!A99</f>
        <v xml:space="preserve"> </v>
      </c>
      <c r="B269" s="294"/>
      <c r="C269" s="1076"/>
      <c r="D269" s="1076"/>
      <c r="E269" s="1079"/>
      <c r="F269" s="1078"/>
      <c r="G269" s="1076"/>
      <c r="H269" s="1077"/>
      <c r="I269" s="1079"/>
      <c r="J269" s="1078"/>
      <c r="K269" s="1076"/>
      <c r="L269" s="1077"/>
      <c r="M269" s="373"/>
    </row>
    <row r="270" spans="1:13">
      <c r="A270" s="1210" t="str">
        <f>A3A!A100</f>
        <v xml:space="preserve"> </v>
      </c>
      <c r="B270" s="294"/>
      <c r="C270" s="1076"/>
      <c r="D270" s="1076"/>
      <c r="E270" s="1079"/>
      <c r="F270" s="1078"/>
      <c r="G270" s="1076"/>
      <c r="H270" s="1077"/>
      <c r="I270" s="1079"/>
      <c r="J270" s="1078"/>
      <c r="K270" s="1076"/>
      <c r="L270" s="1077"/>
      <c r="M270" s="373"/>
    </row>
    <row r="271" spans="1:13">
      <c r="A271" s="1210" t="str">
        <f>A3A!A101</f>
        <v xml:space="preserve"> </v>
      </c>
      <c r="B271" s="294"/>
      <c r="C271" s="1076"/>
      <c r="D271" s="1076"/>
      <c r="E271" s="1079"/>
      <c r="F271" s="1078"/>
      <c r="G271" s="1076"/>
      <c r="H271" s="1077"/>
      <c r="I271" s="1079"/>
      <c r="J271" s="1078"/>
      <c r="K271" s="1076"/>
      <c r="L271" s="1077"/>
      <c r="M271" s="373"/>
    </row>
    <row r="272" spans="1:13">
      <c r="A272" s="1210" t="str">
        <f>A3A!A102</f>
        <v xml:space="preserve"> </v>
      </c>
      <c r="B272" s="294"/>
      <c r="C272" s="1076"/>
      <c r="D272" s="1076"/>
      <c r="E272" s="1079"/>
      <c r="F272" s="1078"/>
      <c r="G272" s="1076"/>
      <c r="H272" s="1077"/>
      <c r="I272" s="1079"/>
      <c r="J272" s="1078"/>
      <c r="K272" s="1076"/>
      <c r="L272" s="1077"/>
      <c r="M272" s="373"/>
    </row>
    <row r="273" spans="1:13">
      <c r="A273" s="1210" t="str">
        <f>A3A!A103</f>
        <v xml:space="preserve"> </v>
      </c>
      <c r="B273" s="294"/>
      <c r="C273" s="1076"/>
      <c r="D273" s="1076"/>
      <c r="E273" s="1079"/>
      <c r="F273" s="1078"/>
      <c r="G273" s="1076"/>
      <c r="H273" s="1077"/>
      <c r="I273" s="1079"/>
      <c r="J273" s="1078"/>
      <c r="K273" s="1076"/>
      <c r="L273" s="1077"/>
      <c r="M273" s="373"/>
    </row>
    <row r="274" spans="1:13">
      <c r="A274" s="1209" t="str">
        <f>A3A!A104</f>
        <v>Example 10 - Vote10</v>
      </c>
      <c r="B274" s="294"/>
      <c r="C274" s="1002">
        <f t="shared" ref="C274:L274" si="25">SUM(C275:C284)</f>
        <v>0</v>
      </c>
      <c r="D274" s="1002">
        <f t="shared" si="25"/>
        <v>0</v>
      </c>
      <c r="E274" s="1003">
        <f t="shared" si="25"/>
        <v>0</v>
      </c>
      <c r="F274" s="1004">
        <f t="shared" si="25"/>
        <v>0</v>
      </c>
      <c r="G274" s="1002">
        <f t="shared" si="25"/>
        <v>0</v>
      </c>
      <c r="H274" s="1003">
        <f t="shared" si="25"/>
        <v>0</v>
      </c>
      <c r="I274" s="1005">
        <f t="shared" si="25"/>
        <v>0</v>
      </c>
      <c r="J274" s="1004">
        <f t="shared" si="25"/>
        <v>0</v>
      </c>
      <c r="K274" s="1002">
        <f t="shared" si="25"/>
        <v>0</v>
      </c>
      <c r="L274" s="1003">
        <f t="shared" si="25"/>
        <v>0</v>
      </c>
      <c r="M274" s="373"/>
    </row>
    <row r="275" spans="1:13">
      <c r="A275" s="1210" t="str">
        <f>A3A!A105</f>
        <v>Subvote example 10</v>
      </c>
      <c r="B275" s="294"/>
      <c r="C275" s="1076"/>
      <c r="D275" s="1076"/>
      <c r="E275" s="1079"/>
      <c r="F275" s="1078"/>
      <c r="G275" s="1076"/>
      <c r="H275" s="1077"/>
      <c r="I275" s="1079"/>
      <c r="J275" s="1078"/>
      <c r="K275" s="1076"/>
      <c r="L275" s="1077"/>
      <c r="M275" s="373"/>
    </row>
    <row r="276" spans="1:13">
      <c r="A276" s="1210" t="str">
        <f>A3A!A106</f>
        <v xml:space="preserve"> </v>
      </c>
      <c r="B276" s="294"/>
      <c r="C276" s="1076"/>
      <c r="D276" s="1076"/>
      <c r="E276" s="1079"/>
      <c r="F276" s="1078"/>
      <c r="G276" s="1076"/>
      <c r="H276" s="1077"/>
      <c r="I276" s="1079"/>
      <c r="J276" s="1078"/>
      <c r="K276" s="1076"/>
      <c r="L276" s="1077"/>
      <c r="M276" s="373"/>
    </row>
    <row r="277" spans="1:13">
      <c r="A277" s="1210" t="str">
        <f>A3A!A107</f>
        <v xml:space="preserve"> </v>
      </c>
      <c r="B277" s="294"/>
      <c r="C277" s="1076"/>
      <c r="D277" s="1076"/>
      <c r="E277" s="1079"/>
      <c r="F277" s="1078"/>
      <c r="G277" s="1076"/>
      <c r="H277" s="1077"/>
      <c r="I277" s="1079"/>
      <c r="J277" s="1078"/>
      <c r="K277" s="1076"/>
      <c r="L277" s="1077"/>
      <c r="M277" s="373"/>
    </row>
    <row r="278" spans="1:13">
      <c r="A278" s="1210" t="str">
        <f>A3A!A108</f>
        <v xml:space="preserve"> </v>
      </c>
      <c r="B278" s="294"/>
      <c r="C278" s="1076"/>
      <c r="D278" s="1076"/>
      <c r="E278" s="1079"/>
      <c r="F278" s="1078"/>
      <c r="G278" s="1076"/>
      <c r="H278" s="1077"/>
      <c r="I278" s="1079"/>
      <c r="J278" s="1078"/>
      <c r="K278" s="1076"/>
      <c r="L278" s="1077"/>
      <c r="M278" s="373"/>
    </row>
    <row r="279" spans="1:13">
      <c r="A279" s="1210" t="str">
        <f>A3A!A109</f>
        <v xml:space="preserve"> </v>
      </c>
      <c r="B279" s="294"/>
      <c r="C279" s="1076"/>
      <c r="D279" s="1076"/>
      <c r="E279" s="1079"/>
      <c r="F279" s="1078"/>
      <c r="G279" s="1076"/>
      <c r="H279" s="1077"/>
      <c r="I279" s="1079"/>
      <c r="J279" s="1078"/>
      <c r="K279" s="1076"/>
      <c r="L279" s="1077"/>
      <c r="M279" s="373"/>
    </row>
    <row r="280" spans="1:13">
      <c r="A280" s="1210" t="str">
        <f>A3A!A110</f>
        <v xml:space="preserve"> </v>
      </c>
      <c r="B280" s="294"/>
      <c r="C280" s="1076"/>
      <c r="D280" s="1076"/>
      <c r="E280" s="1079"/>
      <c r="F280" s="1078"/>
      <c r="G280" s="1076"/>
      <c r="H280" s="1077"/>
      <c r="I280" s="1079"/>
      <c r="J280" s="1078"/>
      <c r="K280" s="1076"/>
      <c r="L280" s="1077"/>
      <c r="M280" s="373"/>
    </row>
    <row r="281" spans="1:13">
      <c r="A281" s="1210" t="str">
        <f>A3A!A111</f>
        <v xml:space="preserve"> </v>
      </c>
      <c r="B281" s="294"/>
      <c r="C281" s="1076"/>
      <c r="D281" s="1076"/>
      <c r="E281" s="1079"/>
      <c r="F281" s="1078"/>
      <c r="G281" s="1076"/>
      <c r="H281" s="1077"/>
      <c r="I281" s="1079"/>
      <c r="J281" s="1078"/>
      <c r="K281" s="1076"/>
      <c r="L281" s="1077"/>
      <c r="M281" s="373"/>
    </row>
    <row r="282" spans="1:13">
      <c r="A282" s="1210" t="str">
        <f>A3A!A112</f>
        <v xml:space="preserve"> </v>
      </c>
      <c r="B282" s="294"/>
      <c r="C282" s="1076"/>
      <c r="D282" s="1076"/>
      <c r="E282" s="1079"/>
      <c r="F282" s="1078"/>
      <c r="G282" s="1076"/>
      <c r="H282" s="1077"/>
      <c r="I282" s="1079"/>
      <c r="J282" s="1078"/>
      <c r="K282" s="1076"/>
      <c r="L282" s="1077"/>
      <c r="M282" s="373"/>
    </row>
    <row r="283" spans="1:13">
      <c r="A283" s="1210" t="str">
        <f>A3A!A113</f>
        <v xml:space="preserve"> </v>
      </c>
      <c r="B283" s="294"/>
      <c r="C283" s="1076"/>
      <c r="D283" s="1076"/>
      <c r="E283" s="1079"/>
      <c r="F283" s="1078"/>
      <c r="G283" s="1076"/>
      <c r="H283" s="1077"/>
      <c r="I283" s="1079"/>
      <c r="J283" s="1078"/>
      <c r="K283" s="1076"/>
      <c r="L283" s="1077"/>
      <c r="M283" s="373"/>
    </row>
    <row r="284" spans="1:13">
      <c r="A284" s="1210" t="str">
        <f>A3A!A114</f>
        <v xml:space="preserve"> </v>
      </c>
      <c r="B284" s="294"/>
      <c r="C284" s="1076"/>
      <c r="D284" s="1076"/>
      <c r="E284" s="1079"/>
      <c r="F284" s="1078"/>
      <c r="G284" s="1076"/>
      <c r="H284" s="1077"/>
      <c r="I284" s="1079"/>
      <c r="J284" s="1078"/>
      <c r="K284" s="1076"/>
      <c r="L284" s="1077"/>
      <c r="M284" s="373"/>
    </row>
    <row r="285" spans="1:13">
      <c r="A285" s="1209" t="str">
        <f>A3A!A115</f>
        <v>Example 11 - Vote11</v>
      </c>
      <c r="B285" s="294"/>
      <c r="C285" s="1002">
        <f t="shared" ref="C285:L285" si="26">SUM(C286:C295)</f>
        <v>0</v>
      </c>
      <c r="D285" s="1002">
        <f t="shared" si="26"/>
        <v>0</v>
      </c>
      <c r="E285" s="1003">
        <f t="shared" si="26"/>
        <v>0</v>
      </c>
      <c r="F285" s="1004">
        <f t="shared" si="26"/>
        <v>0</v>
      </c>
      <c r="G285" s="1002">
        <f t="shared" si="26"/>
        <v>0</v>
      </c>
      <c r="H285" s="1003">
        <f t="shared" si="26"/>
        <v>0</v>
      </c>
      <c r="I285" s="1005">
        <f t="shared" si="26"/>
        <v>0</v>
      </c>
      <c r="J285" s="1004">
        <f t="shared" si="26"/>
        <v>0</v>
      </c>
      <c r="K285" s="1002">
        <f t="shared" si="26"/>
        <v>0</v>
      </c>
      <c r="L285" s="1003">
        <f t="shared" si="26"/>
        <v>0</v>
      </c>
      <c r="M285" s="373"/>
    </row>
    <row r="286" spans="1:13">
      <c r="A286" s="1210" t="str">
        <f>A3A!A116</f>
        <v>Subvote example 11</v>
      </c>
      <c r="B286" s="294"/>
      <c r="C286" s="1076"/>
      <c r="D286" s="1076"/>
      <c r="E286" s="1079"/>
      <c r="F286" s="1078"/>
      <c r="G286" s="1076"/>
      <c r="H286" s="1077"/>
      <c r="I286" s="1079"/>
      <c r="J286" s="1078"/>
      <c r="K286" s="1076"/>
      <c r="L286" s="1077"/>
      <c r="M286" s="373"/>
    </row>
    <row r="287" spans="1:13">
      <c r="A287" s="1210">
        <f>A3A!A117</f>
        <v>0</v>
      </c>
      <c r="B287" s="294"/>
      <c r="C287" s="1076"/>
      <c r="D287" s="1076"/>
      <c r="E287" s="1079"/>
      <c r="F287" s="1078"/>
      <c r="G287" s="1076"/>
      <c r="H287" s="1077"/>
      <c r="I287" s="1079"/>
      <c r="J287" s="1078"/>
      <c r="K287" s="1076"/>
      <c r="L287" s="1077"/>
      <c r="M287" s="373"/>
    </row>
    <row r="288" spans="1:13">
      <c r="A288" s="1210">
        <f>A3A!A118</f>
        <v>0</v>
      </c>
      <c r="B288" s="294"/>
      <c r="C288" s="1076"/>
      <c r="D288" s="1076"/>
      <c r="E288" s="1079"/>
      <c r="F288" s="1078"/>
      <c r="G288" s="1076"/>
      <c r="H288" s="1077"/>
      <c r="I288" s="1079"/>
      <c r="J288" s="1078"/>
      <c r="K288" s="1076"/>
      <c r="L288" s="1077"/>
      <c r="M288" s="373"/>
    </row>
    <row r="289" spans="1:13">
      <c r="A289" s="1210">
        <f>A3A!A119</f>
        <v>0</v>
      </c>
      <c r="B289" s="294"/>
      <c r="C289" s="1076"/>
      <c r="D289" s="1076"/>
      <c r="E289" s="1079"/>
      <c r="F289" s="1078"/>
      <c r="G289" s="1076"/>
      <c r="H289" s="1077"/>
      <c r="I289" s="1079"/>
      <c r="J289" s="1078"/>
      <c r="K289" s="1076"/>
      <c r="L289" s="1077"/>
      <c r="M289" s="373"/>
    </row>
    <row r="290" spans="1:13">
      <c r="A290" s="1210">
        <f>A3A!A120</f>
        <v>0</v>
      </c>
      <c r="B290" s="294"/>
      <c r="C290" s="1076"/>
      <c r="D290" s="1076"/>
      <c r="E290" s="1079"/>
      <c r="F290" s="1078"/>
      <c r="G290" s="1076"/>
      <c r="H290" s="1077"/>
      <c r="I290" s="1079"/>
      <c r="J290" s="1078"/>
      <c r="K290" s="1076"/>
      <c r="L290" s="1077"/>
      <c r="M290" s="373"/>
    </row>
    <row r="291" spans="1:13">
      <c r="A291" s="1210">
        <f>A3A!A121</f>
        <v>0</v>
      </c>
      <c r="B291" s="294"/>
      <c r="C291" s="1076"/>
      <c r="D291" s="1076"/>
      <c r="E291" s="1079"/>
      <c r="F291" s="1078"/>
      <c r="G291" s="1076"/>
      <c r="H291" s="1077"/>
      <c r="I291" s="1079"/>
      <c r="J291" s="1078"/>
      <c r="K291" s="1076"/>
      <c r="L291" s="1077"/>
      <c r="M291" s="373"/>
    </row>
    <row r="292" spans="1:13">
      <c r="A292" s="1210">
        <f>A3A!A122</f>
        <v>0</v>
      </c>
      <c r="B292" s="294"/>
      <c r="C292" s="1076"/>
      <c r="D292" s="1076"/>
      <c r="E292" s="1079"/>
      <c r="F292" s="1078"/>
      <c r="G292" s="1076"/>
      <c r="H292" s="1077"/>
      <c r="I292" s="1079"/>
      <c r="J292" s="1078"/>
      <c r="K292" s="1076"/>
      <c r="L292" s="1077"/>
      <c r="M292" s="373"/>
    </row>
    <row r="293" spans="1:13">
      <c r="A293" s="1210">
        <f>A3A!A123</f>
        <v>0</v>
      </c>
      <c r="B293" s="294"/>
      <c r="C293" s="1076"/>
      <c r="D293" s="1076"/>
      <c r="E293" s="1079"/>
      <c r="F293" s="1078"/>
      <c r="G293" s="1076"/>
      <c r="H293" s="1077"/>
      <c r="I293" s="1079"/>
      <c r="J293" s="1078"/>
      <c r="K293" s="1076"/>
      <c r="L293" s="1077"/>
      <c r="M293" s="373"/>
    </row>
    <row r="294" spans="1:13">
      <c r="A294" s="1210">
        <f>A3A!A124</f>
        <v>0</v>
      </c>
      <c r="B294" s="294"/>
      <c r="C294" s="1076"/>
      <c r="D294" s="1076"/>
      <c r="E294" s="1079"/>
      <c r="F294" s="1078"/>
      <c r="G294" s="1076"/>
      <c r="H294" s="1077"/>
      <c r="I294" s="1079"/>
      <c r="J294" s="1078"/>
      <c r="K294" s="1076"/>
      <c r="L294" s="1077"/>
      <c r="M294" s="373"/>
    </row>
    <row r="295" spans="1:13">
      <c r="A295" s="1210">
        <f>A3A!A125</f>
        <v>0</v>
      </c>
      <c r="B295" s="294"/>
      <c r="C295" s="1076"/>
      <c r="D295" s="1076"/>
      <c r="E295" s="1079"/>
      <c r="F295" s="1078"/>
      <c r="G295" s="1076"/>
      <c r="H295" s="1077"/>
      <c r="I295" s="1079"/>
      <c r="J295" s="1078"/>
      <c r="K295" s="1076"/>
      <c r="L295" s="1077"/>
      <c r="M295" s="373"/>
    </row>
    <row r="296" spans="1:13">
      <c r="A296" s="1209" t="str">
        <f>A3A!A126</f>
        <v>Example 12 - Vote12</v>
      </c>
      <c r="B296" s="294"/>
      <c r="C296" s="1002">
        <f t="shared" ref="C296:L296" si="27">SUM(C297:C306)</f>
        <v>0</v>
      </c>
      <c r="D296" s="1002">
        <f t="shared" si="27"/>
        <v>0</v>
      </c>
      <c r="E296" s="1003">
        <f t="shared" si="27"/>
        <v>0</v>
      </c>
      <c r="F296" s="1004">
        <f t="shared" si="27"/>
        <v>0</v>
      </c>
      <c r="G296" s="1002">
        <f t="shared" si="27"/>
        <v>0</v>
      </c>
      <c r="H296" s="1003">
        <f t="shared" si="27"/>
        <v>0</v>
      </c>
      <c r="I296" s="1005">
        <f t="shared" si="27"/>
        <v>0</v>
      </c>
      <c r="J296" s="1004">
        <f t="shared" si="27"/>
        <v>0</v>
      </c>
      <c r="K296" s="1002">
        <f t="shared" si="27"/>
        <v>0</v>
      </c>
      <c r="L296" s="1003">
        <f t="shared" si="27"/>
        <v>0</v>
      </c>
      <c r="M296" s="373"/>
    </row>
    <row r="297" spans="1:13">
      <c r="A297" s="1210" t="str">
        <f>A3A!A127</f>
        <v>Subvote example 12</v>
      </c>
      <c r="B297" s="294"/>
      <c r="C297" s="1076"/>
      <c r="D297" s="1076"/>
      <c r="E297" s="1079"/>
      <c r="F297" s="1078"/>
      <c r="G297" s="1076"/>
      <c r="H297" s="1077"/>
      <c r="I297" s="1079"/>
      <c r="J297" s="1078"/>
      <c r="K297" s="1076"/>
      <c r="L297" s="1077"/>
      <c r="M297" s="373"/>
    </row>
    <row r="298" spans="1:13">
      <c r="A298" s="1210">
        <f>A3A!A128</f>
        <v>0</v>
      </c>
      <c r="B298" s="294"/>
      <c r="C298" s="1076"/>
      <c r="D298" s="1076"/>
      <c r="E298" s="1079"/>
      <c r="F298" s="1078"/>
      <c r="G298" s="1076"/>
      <c r="H298" s="1077"/>
      <c r="I298" s="1079"/>
      <c r="J298" s="1078"/>
      <c r="K298" s="1076"/>
      <c r="L298" s="1077"/>
      <c r="M298" s="373"/>
    </row>
    <row r="299" spans="1:13">
      <c r="A299" s="1210">
        <f>A3A!A129</f>
        <v>0</v>
      </c>
      <c r="B299" s="294"/>
      <c r="C299" s="1076"/>
      <c r="D299" s="1076"/>
      <c r="E299" s="1079"/>
      <c r="F299" s="1078"/>
      <c r="G299" s="1076"/>
      <c r="H299" s="1077"/>
      <c r="I299" s="1079"/>
      <c r="J299" s="1078"/>
      <c r="K299" s="1076"/>
      <c r="L299" s="1077"/>
      <c r="M299" s="373"/>
    </row>
    <row r="300" spans="1:13">
      <c r="A300" s="1210">
        <f>A3A!A130</f>
        <v>0</v>
      </c>
      <c r="B300" s="294"/>
      <c r="C300" s="1076"/>
      <c r="D300" s="1076"/>
      <c r="E300" s="1079"/>
      <c r="F300" s="1078"/>
      <c r="G300" s="1076"/>
      <c r="H300" s="1077"/>
      <c r="I300" s="1079"/>
      <c r="J300" s="1078"/>
      <c r="K300" s="1076"/>
      <c r="L300" s="1077"/>
      <c r="M300" s="373"/>
    </row>
    <row r="301" spans="1:13">
      <c r="A301" s="1210">
        <f>A3A!A131</f>
        <v>0</v>
      </c>
      <c r="B301" s="294"/>
      <c r="C301" s="1076"/>
      <c r="D301" s="1076"/>
      <c r="E301" s="1079"/>
      <c r="F301" s="1078"/>
      <c r="G301" s="1076"/>
      <c r="H301" s="1077"/>
      <c r="I301" s="1079"/>
      <c r="J301" s="1078"/>
      <c r="K301" s="1076"/>
      <c r="L301" s="1077"/>
      <c r="M301" s="373"/>
    </row>
    <row r="302" spans="1:13">
      <c r="A302" s="1210">
        <f>A3A!A132</f>
        <v>0</v>
      </c>
      <c r="B302" s="294"/>
      <c r="C302" s="1076"/>
      <c r="D302" s="1076"/>
      <c r="E302" s="1079"/>
      <c r="F302" s="1078"/>
      <c r="G302" s="1076"/>
      <c r="H302" s="1077"/>
      <c r="I302" s="1079"/>
      <c r="J302" s="1078"/>
      <c r="K302" s="1076"/>
      <c r="L302" s="1077"/>
      <c r="M302" s="373"/>
    </row>
    <row r="303" spans="1:13">
      <c r="A303" s="1210">
        <f>A3A!A133</f>
        <v>0</v>
      </c>
      <c r="B303" s="294"/>
      <c r="C303" s="1076"/>
      <c r="D303" s="1076"/>
      <c r="E303" s="1079"/>
      <c r="F303" s="1078"/>
      <c r="G303" s="1076"/>
      <c r="H303" s="1077"/>
      <c r="I303" s="1079"/>
      <c r="J303" s="1078"/>
      <c r="K303" s="1076"/>
      <c r="L303" s="1077"/>
      <c r="M303" s="373"/>
    </row>
    <row r="304" spans="1:13">
      <c r="A304" s="1210">
        <f>A3A!A134</f>
        <v>0</v>
      </c>
      <c r="B304" s="294"/>
      <c r="C304" s="1076"/>
      <c r="D304" s="1076"/>
      <c r="E304" s="1079"/>
      <c r="F304" s="1078"/>
      <c r="G304" s="1076"/>
      <c r="H304" s="1077"/>
      <c r="I304" s="1079"/>
      <c r="J304" s="1078"/>
      <c r="K304" s="1076"/>
      <c r="L304" s="1077"/>
      <c r="M304" s="373"/>
    </row>
    <row r="305" spans="1:13">
      <c r="A305" s="1210">
        <f>A3A!A135</f>
        <v>0</v>
      </c>
      <c r="B305" s="294"/>
      <c r="C305" s="1076"/>
      <c r="D305" s="1076"/>
      <c r="E305" s="1079"/>
      <c r="F305" s="1078"/>
      <c r="G305" s="1076"/>
      <c r="H305" s="1077"/>
      <c r="I305" s="1079"/>
      <c r="J305" s="1078"/>
      <c r="K305" s="1076"/>
      <c r="L305" s="1077"/>
      <c r="M305" s="373"/>
    </row>
    <row r="306" spans="1:13">
      <c r="A306" s="1210">
        <f>A3A!A136</f>
        <v>0</v>
      </c>
      <c r="B306" s="294"/>
      <c r="C306" s="1076"/>
      <c r="D306" s="1076"/>
      <c r="E306" s="1079"/>
      <c r="F306" s="1078"/>
      <c r="G306" s="1076"/>
      <c r="H306" s="1077"/>
      <c r="I306" s="1079"/>
      <c r="J306" s="1078"/>
      <c r="K306" s="1076"/>
      <c r="L306" s="1077"/>
      <c r="M306" s="373"/>
    </row>
    <row r="307" spans="1:13">
      <c r="A307" s="1209" t="str">
        <f>A3A!A137</f>
        <v>Example 13 - Vote13</v>
      </c>
      <c r="B307" s="294"/>
      <c r="C307" s="1002">
        <f t="shared" ref="C307:L307" si="28">SUM(C308:C317)</f>
        <v>0</v>
      </c>
      <c r="D307" s="1002">
        <f t="shared" si="28"/>
        <v>0</v>
      </c>
      <c r="E307" s="1003">
        <f t="shared" si="28"/>
        <v>0</v>
      </c>
      <c r="F307" s="1004">
        <f t="shared" si="28"/>
        <v>0</v>
      </c>
      <c r="G307" s="1002">
        <f t="shared" si="28"/>
        <v>0</v>
      </c>
      <c r="H307" s="1003">
        <f t="shared" si="28"/>
        <v>0</v>
      </c>
      <c r="I307" s="1005">
        <f t="shared" si="28"/>
        <v>0</v>
      </c>
      <c r="J307" s="1004">
        <f t="shared" si="28"/>
        <v>0</v>
      </c>
      <c r="K307" s="1002">
        <f t="shared" si="28"/>
        <v>0</v>
      </c>
      <c r="L307" s="1003">
        <f t="shared" si="28"/>
        <v>0</v>
      </c>
      <c r="M307" s="373"/>
    </row>
    <row r="308" spans="1:13">
      <c r="A308" s="1210" t="str">
        <f>A3A!A138</f>
        <v>Subvote example 13</v>
      </c>
      <c r="B308" s="294"/>
      <c r="C308" s="1076"/>
      <c r="D308" s="1076"/>
      <c r="E308" s="1079"/>
      <c r="F308" s="1078"/>
      <c r="G308" s="1076"/>
      <c r="H308" s="1077"/>
      <c r="I308" s="1079"/>
      <c r="J308" s="1078"/>
      <c r="K308" s="1076"/>
      <c r="L308" s="1077"/>
      <c r="M308" s="373"/>
    </row>
    <row r="309" spans="1:13">
      <c r="A309" s="1210">
        <f>A3A!A139</f>
        <v>0</v>
      </c>
      <c r="B309" s="294"/>
      <c r="C309" s="1076"/>
      <c r="D309" s="1076"/>
      <c r="E309" s="1079"/>
      <c r="F309" s="1078"/>
      <c r="G309" s="1076"/>
      <c r="H309" s="1077"/>
      <c r="I309" s="1079"/>
      <c r="J309" s="1078"/>
      <c r="K309" s="1076"/>
      <c r="L309" s="1077"/>
      <c r="M309" s="373"/>
    </row>
    <row r="310" spans="1:13">
      <c r="A310" s="1210">
        <f>A3A!A140</f>
        <v>0</v>
      </c>
      <c r="B310" s="294"/>
      <c r="C310" s="1076"/>
      <c r="D310" s="1076"/>
      <c r="E310" s="1079"/>
      <c r="F310" s="1078"/>
      <c r="G310" s="1076"/>
      <c r="H310" s="1077"/>
      <c r="I310" s="1079"/>
      <c r="J310" s="1078"/>
      <c r="K310" s="1076"/>
      <c r="L310" s="1077"/>
      <c r="M310" s="373"/>
    </row>
    <row r="311" spans="1:13">
      <c r="A311" s="1210">
        <f>A3A!A141</f>
        <v>0</v>
      </c>
      <c r="B311" s="294"/>
      <c r="C311" s="1076"/>
      <c r="D311" s="1076"/>
      <c r="E311" s="1079"/>
      <c r="F311" s="1078"/>
      <c r="G311" s="1076"/>
      <c r="H311" s="1077"/>
      <c r="I311" s="1079"/>
      <c r="J311" s="1078"/>
      <c r="K311" s="1076"/>
      <c r="L311" s="1077"/>
      <c r="M311" s="373"/>
    </row>
    <row r="312" spans="1:13">
      <c r="A312" s="1210">
        <f>A3A!A142</f>
        <v>0</v>
      </c>
      <c r="B312" s="294"/>
      <c r="C312" s="1076"/>
      <c r="D312" s="1076"/>
      <c r="E312" s="1079"/>
      <c r="F312" s="1078"/>
      <c r="G312" s="1076"/>
      <c r="H312" s="1077"/>
      <c r="I312" s="1079"/>
      <c r="J312" s="1078"/>
      <c r="K312" s="1076"/>
      <c r="L312" s="1077"/>
      <c r="M312" s="373"/>
    </row>
    <row r="313" spans="1:13">
      <c r="A313" s="1210">
        <f>A3A!A143</f>
        <v>0</v>
      </c>
      <c r="B313" s="294"/>
      <c r="C313" s="1076"/>
      <c r="D313" s="1076"/>
      <c r="E313" s="1079"/>
      <c r="F313" s="1078"/>
      <c r="G313" s="1076"/>
      <c r="H313" s="1077"/>
      <c r="I313" s="1079"/>
      <c r="J313" s="1078"/>
      <c r="K313" s="1076"/>
      <c r="L313" s="1077"/>
      <c r="M313" s="373"/>
    </row>
    <row r="314" spans="1:13">
      <c r="A314" s="1210">
        <f>A3A!A144</f>
        <v>0</v>
      </c>
      <c r="B314" s="294"/>
      <c r="C314" s="1076"/>
      <c r="D314" s="1076"/>
      <c r="E314" s="1079"/>
      <c r="F314" s="1078"/>
      <c r="G314" s="1076"/>
      <c r="H314" s="1077"/>
      <c r="I314" s="1079"/>
      <c r="J314" s="1078"/>
      <c r="K314" s="1076"/>
      <c r="L314" s="1077"/>
      <c r="M314" s="373"/>
    </row>
    <row r="315" spans="1:13">
      <c r="A315" s="1210">
        <f>A3A!A145</f>
        <v>0</v>
      </c>
      <c r="B315" s="294"/>
      <c r="C315" s="1076"/>
      <c r="D315" s="1076"/>
      <c r="E315" s="1079"/>
      <c r="F315" s="1078"/>
      <c r="G315" s="1076"/>
      <c r="H315" s="1077"/>
      <c r="I315" s="1079"/>
      <c r="J315" s="1078"/>
      <c r="K315" s="1076"/>
      <c r="L315" s="1077"/>
      <c r="M315" s="373"/>
    </row>
    <row r="316" spans="1:13">
      <c r="A316" s="1210">
        <f>A3A!A146</f>
        <v>0</v>
      </c>
      <c r="B316" s="294"/>
      <c r="C316" s="1076"/>
      <c r="D316" s="1076"/>
      <c r="E316" s="1079"/>
      <c r="F316" s="1078"/>
      <c r="G316" s="1076"/>
      <c r="H316" s="1077"/>
      <c r="I316" s="1079"/>
      <c r="J316" s="1078"/>
      <c r="K316" s="1076"/>
      <c r="L316" s="1077"/>
      <c r="M316" s="373"/>
    </row>
    <row r="317" spans="1:13">
      <c r="A317" s="1210">
        <f>A3A!A147</f>
        <v>0</v>
      </c>
      <c r="B317" s="294"/>
      <c r="C317" s="1076"/>
      <c r="D317" s="1076"/>
      <c r="E317" s="1079"/>
      <c r="F317" s="1078"/>
      <c r="G317" s="1076"/>
      <c r="H317" s="1077"/>
      <c r="I317" s="1079"/>
      <c r="J317" s="1078"/>
      <c r="K317" s="1076"/>
      <c r="L317" s="1077"/>
      <c r="M317" s="373"/>
    </row>
    <row r="318" spans="1:13">
      <c r="A318" s="1209" t="str">
        <f>A3A!A148</f>
        <v>Example 14 - Vote14</v>
      </c>
      <c r="B318" s="294"/>
      <c r="C318" s="1002">
        <f t="shared" ref="C318:L318" si="29">SUM(C319:C328)</f>
        <v>0</v>
      </c>
      <c r="D318" s="1002">
        <f t="shared" si="29"/>
        <v>0</v>
      </c>
      <c r="E318" s="1003">
        <f t="shared" si="29"/>
        <v>0</v>
      </c>
      <c r="F318" s="1004">
        <f t="shared" si="29"/>
        <v>0</v>
      </c>
      <c r="G318" s="1002">
        <f t="shared" si="29"/>
        <v>0</v>
      </c>
      <c r="H318" s="1003">
        <f t="shared" si="29"/>
        <v>0</v>
      </c>
      <c r="I318" s="1005">
        <f t="shared" si="29"/>
        <v>0</v>
      </c>
      <c r="J318" s="1004">
        <f t="shared" si="29"/>
        <v>0</v>
      </c>
      <c r="K318" s="1002">
        <f t="shared" si="29"/>
        <v>0</v>
      </c>
      <c r="L318" s="1003">
        <f t="shared" si="29"/>
        <v>0</v>
      </c>
      <c r="M318" s="373"/>
    </row>
    <row r="319" spans="1:13">
      <c r="A319" s="1210" t="str">
        <f>A3A!A149</f>
        <v>Subvote example 14</v>
      </c>
      <c r="B319" s="294"/>
      <c r="C319" s="1076"/>
      <c r="D319" s="1076"/>
      <c r="E319" s="1079"/>
      <c r="F319" s="1078"/>
      <c r="G319" s="1076"/>
      <c r="H319" s="1077"/>
      <c r="I319" s="1079"/>
      <c r="J319" s="1078"/>
      <c r="K319" s="1076"/>
      <c r="L319" s="1077"/>
      <c r="M319" s="373"/>
    </row>
    <row r="320" spans="1:13">
      <c r="A320" s="1210">
        <f>A3A!A150</f>
        <v>0</v>
      </c>
      <c r="B320" s="294"/>
      <c r="C320" s="1076"/>
      <c r="D320" s="1076"/>
      <c r="E320" s="1079"/>
      <c r="F320" s="1078"/>
      <c r="G320" s="1076"/>
      <c r="H320" s="1077"/>
      <c r="I320" s="1079"/>
      <c r="J320" s="1078"/>
      <c r="K320" s="1076"/>
      <c r="L320" s="1077"/>
      <c r="M320" s="373"/>
    </row>
    <row r="321" spans="1:13">
      <c r="A321" s="1210">
        <f>A3A!A151</f>
        <v>0</v>
      </c>
      <c r="B321" s="294"/>
      <c r="C321" s="1076"/>
      <c r="D321" s="1076"/>
      <c r="E321" s="1079"/>
      <c r="F321" s="1078"/>
      <c r="G321" s="1076"/>
      <c r="H321" s="1077"/>
      <c r="I321" s="1079"/>
      <c r="J321" s="1078"/>
      <c r="K321" s="1076"/>
      <c r="L321" s="1077"/>
      <c r="M321" s="373"/>
    </row>
    <row r="322" spans="1:13">
      <c r="A322" s="1210">
        <f>A3A!A152</f>
        <v>0</v>
      </c>
      <c r="B322" s="294"/>
      <c r="C322" s="1076"/>
      <c r="D322" s="1076"/>
      <c r="E322" s="1079"/>
      <c r="F322" s="1078"/>
      <c r="G322" s="1076"/>
      <c r="H322" s="1077"/>
      <c r="I322" s="1079"/>
      <c r="J322" s="1078"/>
      <c r="K322" s="1076"/>
      <c r="L322" s="1077"/>
      <c r="M322" s="373"/>
    </row>
    <row r="323" spans="1:13">
      <c r="A323" s="1210">
        <f>A3A!A153</f>
        <v>0</v>
      </c>
      <c r="B323" s="294"/>
      <c r="C323" s="1076"/>
      <c r="D323" s="1076"/>
      <c r="E323" s="1079"/>
      <c r="F323" s="1078"/>
      <c r="G323" s="1076"/>
      <c r="H323" s="1077"/>
      <c r="I323" s="1079"/>
      <c r="J323" s="1078"/>
      <c r="K323" s="1076"/>
      <c r="L323" s="1077"/>
      <c r="M323" s="373"/>
    </row>
    <row r="324" spans="1:13">
      <c r="A324" s="1210">
        <f>A3A!A154</f>
        <v>0</v>
      </c>
      <c r="B324" s="294"/>
      <c r="C324" s="1076"/>
      <c r="D324" s="1076"/>
      <c r="E324" s="1079"/>
      <c r="F324" s="1078"/>
      <c r="G324" s="1076"/>
      <c r="H324" s="1077"/>
      <c r="I324" s="1079"/>
      <c r="J324" s="1078"/>
      <c r="K324" s="1076"/>
      <c r="L324" s="1077"/>
      <c r="M324" s="373"/>
    </row>
    <row r="325" spans="1:13">
      <c r="A325" s="1210">
        <f>A3A!A155</f>
        <v>0</v>
      </c>
      <c r="B325" s="294"/>
      <c r="C325" s="1076"/>
      <c r="D325" s="1076"/>
      <c r="E325" s="1079"/>
      <c r="F325" s="1078"/>
      <c r="G325" s="1076"/>
      <c r="H325" s="1077"/>
      <c r="I325" s="1079"/>
      <c r="J325" s="1078"/>
      <c r="K325" s="1076"/>
      <c r="L325" s="1077"/>
      <c r="M325" s="373"/>
    </row>
    <row r="326" spans="1:13">
      <c r="A326" s="1210">
        <f>A3A!A156</f>
        <v>0</v>
      </c>
      <c r="B326" s="294"/>
      <c r="C326" s="1076"/>
      <c r="D326" s="1076"/>
      <c r="E326" s="1079"/>
      <c r="F326" s="1078"/>
      <c r="G326" s="1076"/>
      <c r="H326" s="1077"/>
      <c r="I326" s="1079"/>
      <c r="J326" s="1078"/>
      <c r="K326" s="1076"/>
      <c r="L326" s="1077"/>
      <c r="M326" s="373"/>
    </row>
    <row r="327" spans="1:13">
      <c r="A327" s="1210">
        <f>A3A!A157</f>
        <v>0</v>
      </c>
      <c r="B327" s="294"/>
      <c r="C327" s="1076"/>
      <c r="D327" s="1076"/>
      <c r="E327" s="1079"/>
      <c r="F327" s="1078"/>
      <c r="G327" s="1076"/>
      <c r="H327" s="1077"/>
      <c r="I327" s="1079"/>
      <c r="J327" s="1078"/>
      <c r="K327" s="1076"/>
      <c r="L327" s="1077"/>
      <c r="M327" s="373"/>
    </row>
    <row r="328" spans="1:13">
      <c r="A328" s="1210">
        <f>A3A!A158</f>
        <v>0</v>
      </c>
      <c r="B328" s="294"/>
      <c r="C328" s="1076"/>
      <c r="D328" s="1076"/>
      <c r="E328" s="1079"/>
      <c r="F328" s="1078"/>
      <c r="G328" s="1076"/>
      <c r="H328" s="1077"/>
      <c r="I328" s="1079"/>
      <c r="J328" s="1078"/>
      <c r="K328" s="1076"/>
      <c r="L328" s="1077"/>
      <c r="M328" s="373"/>
    </row>
    <row r="329" spans="1:13">
      <c r="A329" s="1209" t="str">
        <f>A3A!A159</f>
        <v>Example 15 - Vote15</v>
      </c>
      <c r="B329" s="294"/>
      <c r="C329" s="1002">
        <f t="shared" ref="C329:L329" si="30">SUM(C330:C339)</f>
        <v>0</v>
      </c>
      <c r="D329" s="1002">
        <f t="shared" si="30"/>
        <v>0</v>
      </c>
      <c r="E329" s="1003">
        <f t="shared" si="30"/>
        <v>0</v>
      </c>
      <c r="F329" s="1004">
        <f t="shared" si="30"/>
        <v>0</v>
      </c>
      <c r="G329" s="1002">
        <f t="shared" si="30"/>
        <v>0</v>
      </c>
      <c r="H329" s="1003">
        <f t="shared" si="30"/>
        <v>0</v>
      </c>
      <c r="I329" s="1005">
        <f t="shared" si="30"/>
        <v>0</v>
      </c>
      <c r="J329" s="1004">
        <f t="shared" si="30"/>
        <v>0</v>
      </c>
      <c r="K329" s="1002">
        <f t="shared" si="30"/>
        <v>0</v>
      </c>
      <c r="L329" s="1003">
        <f t="shared" si="30"/>
        <v>0</v>
      </c>
      <c r="M329" s="373"/>
    </row>
    <row r="330" spans="1:13">
      <c r="A330" s="1210" t="str">
        <f>A3A!A160</f>
        <v>Subvote example 15</v>
      </c>
      <c r="B330" s="294"/>
      <c r="C330" s="1076"/>
      <c r="D330" s="1076"/>
      <c r="E330" s="1079"/>
      <c r="F330" s="1078"/>
      <c r="G330" s="1076"/>
      <c r="H330" s="1077"/>
      <c r="I330" s="1079"/>
      <c r="J330" s="1078"/>
      <c r="K330" s="1076"/>
      <c r="L330" s="1077"/>
      <c r="M330" s="373"/>
    </row>
    <row r="331" spans="1:13">
      <c r="A331" s="1210">
        <f>A3A!A161</f>
        <v>0</v>
      </c>
      <c r="B331" s="294"/>
      <c r="C331" s="1076"/>
      <c r="D331" s="1076"/>
      <c r="E331" s="1079"/>
      <c r="F331" s="1078"/>
      <c r="G331" s="1076"/>
      <c r="H331" s="1077"/>
      <c r="I331" s="1079"/>
      <c r="J331" s="1078"/>
      <c r="K331" s="1076"/>
      <c r="L331" s="1077"/>
      <c r="M331" s="373"/>
    </row>
    <row r="332" spans="1:13">
      <c r="A332" s="1210">
        <f>A3A!A162</f>
        <v>0</v>
      </c>
      <c r="B332" s="294"/>
      <c r="C332" s="1076"/>
      <c r="D332" s="1076"/>
      <c r="E332" s="1079"/>
      <c r="F332" s="1078"/>
      <c r="G332" s="1076"/>
      <c r="H332" s="1077"/>
      <c r="I332" s="1079"/>
      <c r="J332" s="1078"/>
      <c r="K332" s="1076"/>
      <c r="L332" s="1077"/>
      <c r="M332" s="373"/>
    </row>
    <row r="333" spans="1:13">
      <c r="A333" s="1210">
        <f>A3A!A163</f>
        <v>0</v>
      </c>
      <c r="B333" s="294"/>
      <c r="C333" s="1076"/>
      <c r="D333" s="1076"/>
      <c r="E333" s="1079"/>
      <c r="F333" s="1078"/>
      <c r="G333" s="1076"/>
      <c r="H333" s="1077"/>
      <c r="I333" s="1079"/>
      <c r="J333" s="1078"/>
      <c r="K333" s="1076"/>
      <c r="L333" s="1077"/>
      <c r="M333" s="373"/>
    </row>
    <row r="334" spans="1:13">
      <c r="A334" s="1210">
        <f>A3A!A164</f>
        <v>0</v>
      </c>
      <c r="B334" s="294"/>
      <c r="C334" s="1076"/>
      <c r="D334" s="1076"/>
      <c r="E334" s="1079"/>
      <c r="F334" s="1078"/>
      <c r="G334" s="1076"/>
      <c r="H334" s="1077"/>
      <c r="I334" s="1079"/>
      <c r="J334" s="1078"/>
      <c r="K334" s="1076"/>
      <c r="L334" s="1077"/>
      <c r="M334" s="373"/>
    </row>
    <row r="335" spans="1:13">
      <c r="A335" s="1210">
        <f>A3A!A165</f>
        <v>0</v>
      </c>
      <c r="B335" s="294"/>
      <c r="C335" s="1076"/>
      <c r="D335" s="1076"/>
      <c r="E335" s="1079"/>
      <c r="F335" s="1078"/>
      <c r="G335" s="1076"/>
      <c r="H335" s="1077"/>
      <c r="I335" s="1079"/>
      <c r="J335" s="1078"/>
      <c r="K335" s="1076"/>
      <c r="L335" s="1077"/>
      <c r="M335" s="373"/>
    </row>
    <row r="336" spans="1:13">
      <c r="A336" s="1210">
        <f>A3A!A166</f>
        <v>0</v>
      </c>
      <c r="B336" s="294"/>
      <c r="C336" s="1076"/>
      <c r="D336" s="1076"/>
      <c r="E336" s="1079"/>
      <c r="F336" s="1078"/>
      <c r="G336" s="1076"/>
      <c r="H336" s="1077"/>
      <c r="I336" s="1079"/>
      <c r="J336" s="1078"/>
      <c r="K336" s="1076"/>
      <c r="L336" s="1077"/>
      <c r="M336" s="373"/>
    </row>
    <row r="337" spans="1:13">
      <c r="A337" s="1210">
        <f>A3A!A167</f>
        <v>0</v>
      </c>
      <c r="B337" s="294"/>
      <c r="C337" s="1076"/>
      <c r="D337" s="1076"/>
      <c r="E337" s="1079"/>
      <c r="F337" s="1078"/>
      <c r="G337" s="1076"/>
      <c r="H337" s="1077"/>
      <c r="I337" s="1079"/>
      <c r="J337" s="1078"/>
      <c r="K337" s="1076"/>
      <c r="L337" s="1077"/>
      <c r="M337" s="373"/>
    </row>
    <row r="338" spans="1:13">
      <c r="A338" s="1210">
        <f>A3A!A168</f>
        <v>0</v>
      </c>
      <c r="B338" s="294"/>
      <c r="C338" s="1076"/>
      <c r="D338" s="1076"/>
      <c r="E338" s="1079"/>
      <c r="F338" s="1078"/>
      <c r="G338" s="1076"/>
      <c r="H338" s="1077"/>
      <c r="I338" s="1079"/>
      <c r="J338" s="1078"/>
      <c r="K338" s="1076"/>
      <c r="L338" s="1077"/>
      <c r="M338" s="373"/>
    </row>
    <row r="339" spans="1:13">
      <c r="A339" s="1210">
        <f>A3A!A169</f>
        <v>0</v>
      </c>
      <c r="B339" s="294"/>
      <c r="C339" s="1076"/>
      <c r="D339" s="1076"/>
      <c r="E339" s="1079"/>
      <c r="F339" s="1078"/>
      <c r="G339" s="1076"/>
      <c r="H339" s="1077"/>
      <c r="I339" s="1079"/>
      <c r="J339" s="1078"/>
      <c r="K339" s="1076"/>
      <c r="L339" s="1077"/>
      <c r="M339" s="373"/>
    </row>
    <row r="340" spans="1:13">
      <c r="A340" s="327" t="s">
        <v>1454</v>
      </c>
      <c r="B340" s="294"/>
      <c r="C340" s="199">
        <f>C175+C186+C197+C208+C219+C230+C241+C252+C263+C274+C285+C296+C307+C318+C329</f>
        <v>0</v>
      </c>
      <c r="D340" s="199">
        <f t="shared" ref="D340:L340" si="31">D175+D186+D197+D208+D219+D230+D241+D252+D263+D274+D285+D296+D307+D318+D329</f>
        <v>0</v>
      </c>
      <c r="E340" s="1659">
        <f t="shared" si="31"/>
        <v>0</v>
      </c>
      <c r="F340" s="1656">
        <f t="shared" si="31"/>
        <v>0</v>
      </c>
      <c r="G340" s="199">
        <f t="shared" si="31"/>
        <v>0</v>
      </c>
      <c r="H340" s="1659">
        <f t="shared" si="31"/>
        <v>0</v>
      </c>
      <c r="I340" s="1660">
        <f t="shared" si="31"/>
        <v>0</v>
      </c>
      <c r="J340" s="1656">
        <f t="shared" si="31"/>
        <v>0</v>
      </c>
      <c r="K340" s="199">
        <f t="shared" si="31"/>
        <v>0</v>
      </c>
      <c r="L340" s="199">
        <f t="shared" si="31"/>
        <v>0</v>
      </c>
      <c r="M340" s="373"/>
    </row>
    <row r="341" spans="1:13">
      <c r="A341" s="1637" t="s">
        <v>634</v>
      </c>
      <c r="B341" s="1318"/>
      <c r="C341" s="1319">
        <f>C171+C340</f>
        <v>0</v>
      </c>
      <c r="D341" s="1319">
        <f t="shared" ref="D341:L341" si="32">D171+D340</f>
        <v>0</v>
      </c>
      <c r="E341" s="1320">
        <f t="shared" si="32"/>
        <v>176033492</v>
      </c>
      <c r="F341" s="1321">
        <f>F171+F340</f>
        <v>295937266</v>
      </c>
      <c r="G341" s="1322">
        <f t="shared" si="32"/>
        <v>394548007</v>
      </c>
      <c r="H341" s="1323">
        <f t="shared" si="32"/>
        <v>394548007</v>
      </c>
      <c r="I341" s="1320">
        <f t="shared" si="32"/>
        <v>394548007</v>
      </c>
      <c r="J341" s="1321">
        <f t="shared" si="32"/>
        <v>411313300</v>
      </c>
      <c r="K341" s="1322">
        <f t="shared" si="32"/>
        <v>310819300</v>
      </c>
      <c r="L341" s="1323">
        <f t="shared" si="32"/>
        <v>214215000</v>
      </c>
      <c r="M341" s="373"/>
    </row>
    <row r="342" spans="1:13">
      <c r="M342" s="373"/>
    </row>
  </sheetData>
  <mergeCells count="2">
    <mergeCell ref="F2:I2"/>
    <mergeCell ref="J2:L2"/>
  </mergeCells>
  <phoneticPr fontId="2" type="noConversion"/>
  <pageMargins left="0.36" right="0.14000000000000001" top="0.78" bottom="0.59" header="0.5" footer="0.41"/>
  <pageSetup paperSize="9" scale="3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workbookViewId="0">
      <pane xSplit="2" ySplit="3" topLeftCell="C25" activePane="bottomRight" state="frozen"/>
      <selection activeCell="O37" sqref="A1:IV65536"/>
      <selection pane="topRight" activeCell="O37" sqref="A1:IV65536"/>
      <selection pane="bottomLeft" activeCell="O37" sqref="A1:IV65536"/>
      <selection pane="bottomRight" sqref="A1:XFD1048576"/>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2" s="180" customFormat="1">
      <c r="A1" s="148" t="str">
        <f>muni&amp;" - "&amp;Approve6</f>
        <v>KZN225 Msunduzi - Table A6 Budgeted Financial Position</v>
      </c>
      <c r="B1" s="148"/>
      <c r="C1" s="148"/>
      <c r="D1" s="148"/>
      <c r="E1" s="148"/>
      <c r="F1" s="148"/>
      <c r="G1" s="148"/>
      <c r="H1" s="148"/>
      <c r="I1" s="148"/>
      <c r="J1" s="148"/>
      <c r="K1" s="148"/>
      <c r="L1" s="148"/>
    </row>
    <row r="2" spans="1:12" ht="28.5" customHeight="1">
      <c r="A2" s="1001" t="str">
        <f>desc</f>
        <v>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2" ht="25.5">
      <c r="A3" s="181" t="s">
        <v>703</v>
      </c>
      <c r="B3" s="1016"/>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row>
    <row r="4" spans="1:12" ht="11.25" customHeight="1">
      <c r="A4" s="327" t="s">
        <v>1104</v>
      </c>
      <c r="B4" s="292"/>
      <c r="C4" s="312"/>
      <c r="D4" s="312"/>
      <c r="E4" s="315"/>
      <c r="F4" s="314"/>
      <c r="G4" s="312"/>
      <c r="H4" s="315"/>
      <c r="I4" s="313"/>
      <c r="J4" s="342"/>
      <c r="K4" s="312"/>
      <c r="L4" s="315"/>
    </row>
    <row r="5" spans="1:12" ht="11.25" customHeight="1">
      <c r="A5" s="327" t="s">
        <v>1105</v>
      </c>
      <c r="B5" s="294"/>
      <c r="C5" s="204"/>
      <c r="D5" s="204"/>
      <c r="E5" s="205"/>
      <c r="F5" s="206"/>
      <c r="G5" s="204"/>
      <c r="H5" s="205"/>
      <c r="I5" s="203"/>
      <c r="J5" s="207"/>
      <c r="K5" s="204"/>
      <c r="L5" s="205"/>
    </row>
    <row r="6" spans="1:12" ht="11.25" customHeight="1">
      <c r="A6" s="191" t="s">
        <v>740</v>
      </c>
      <c r="B6" s="294"/>
      <c r="C6" s="1081">
        <f>40680+3383985</f>
        <v>3424665</v>
      </c>
      <c r="D6" s="1082">
        <v>1860000</v>
      </c>
      <c r="E6" s="1084">
        <v>1860000</v>
      </c>
      <c r="F6" s="1730">
        <v>29698000</v>
      </c>
      <c r="G6" s="1730">
        <v>29698000</v>
      </c>
      <c r="H6" s="1730">
        <v>29698000</v>
      </c>
      <c r="I6" s="1730">
        <v>29698000</v>
      </c>
      <c r="J6" s="1081">
        <v>31183000</v>
      </c>
      <c r="K6" s="1708">
        <v>32836000</v>
      </c>
      <c r="L6" s="1730">
        <v>34806000</v>
      </c>
    </row>
    <row r="7" spans="1:12" ht="11.25" customHeight="1">
      <c r="A7" s="191" t="s">
        <v>1660</v>
      </c>
      <c r="B7" s="294">
        <v>1</v>
      </c>
      <c r="C7" s="204">
        <f>'SA3'!C9</f>
        <v>260420761</v>
      </c>
      <c r="D7" s="204">
        <f>'SA3'!D9</f>
        <v>112867000</v>
      </c>
      <c r="E7" s="265">
        <f>'SA3'!E9</f>
        <v>138024000</v>
      </c>
      <c r="F7" s="206">
        <f>'SA3'!F9</f>
        <v>124900531</v>
      </c>
      <c r="G7" s="204">
        <f>'SA3'!G9</f>
        <v>124900531</v>
      </c>
      <c r="H7" s="265">
        <f>'SA3'!H9</f>
        <v>124900531</v>
      </c>
      <c r="I7" s="211">
        <f>'SA3'!I9</f>
        <v>124900531</v>
      </c>
      <c r="J7" s="212">
        <f>'SA3'!J9</f>
        <v>145000000</v>
      </c>
      <c r="K7" s="208">
        <f>'SA3'!K9</f>
        <v>148905600</v>
      </c>
      <c r="L7" s="265">
        <f>'SA3'!L9</f>
        <v>151243000</v>
      </c>
    </row>
    <row r="8" spans="1:12" ht="11.25" customHeight="1">
      <c r="A8" s="191" t="s">
        <v>1658</v>
      </c>
      <c r="B8" s="294">
        <v>1</v>
      </c>
      <c r="C8" s="204">
        <f>'SA3'!C14</f>
        <v>256839290</v>
      </c>
      <c r="D8" s="204">
        <f>'SA3'!D14</f>
        <v>320310000</v>
      </c>
      <c r="E8" s="265">
        <f>'SA3'!E14</f>
        <v>214803293</v>
      </c>
      <c r="F8" s="206">
        <f>'SA3'!F14</f>
        <v>539380640</v>
      </c>
      <c r="G8" s="204">
        <f>'SA3'!G14</f>
        <v>738193000</v>
      </c>
      <c r="H8" s="265">
        <f>'SA3'!H14</f>
        <v>738193000</v>
      </c>
      <c r="I8" s="211">
        <f>'SA3'!I14</f>
        <v>738193000</v>
      </c>
      <c r="J8" s="212">
        <f>'SA3'!J14</f>
        <v>763275800</v>
      </c>
      <c r="K8" s="208">
        <f>'SA3'!K14</f>
        <v>844747188</v>
      </c>
      <c r="L8" s="265">
        <f>'SA3'!L14</f>
        <v>925427669</v>
      </c>
    </row>
    <row r="9" spans="1:12" ht="11.25" customHeight="1">
      <c r="A9" s="191" t="s">
        <v>1659</v>
      </c>
      <c r="B9" s="294"/>
      <c r="C9" s="1081">
        <v>44299357</v>
      </c>
      <c r="D9" s="1082">
        <v>18936000</v>
      </c>
      <c r="E9" s="1084">
        <v>28690000</v>
      </c>
      <c r="F9" s="1731">
        <v>46464000</v>
      </c>
      <c r="G9" s="1708">
        <v>46464000</v>
      </c>
      <c r="H9" s="1730">
        <v>46464000</v>
      </c>
      <c r="I9" s="1732">
        <v>46464000</v>
      </c>
      <c r="J9" s="1081">
        <v>49391000</v>
      </c>
      <c r="K9" s="1708">
        <v>52355000</v>
      </c>
      <c r="L9" s="1730">
        <v>55319000</v>
      </c>
    </row>
    <row r="10" spans="1:12" ht="11.25" customHeight="1">
      <c r="A10" s="191" t="s">
        <v>741</v>
      </c>
      <c r="B10" s="294"/>
      <c r="C10" s="1081">
        <v>1566596</v>
      </c>
      <c r="D10" s="2243">
        <v>1492000</v>
      </c>
      <c r="E10" s="2246">
        <v>1445000</v>
      </c>
      <c r="F10" s="1735"/>
      <c r="G10" s="1733"/>
      <c r="H10" s="1734"/>
      <c r="I10" s="1732"/>
      <c r="J10" s="2242"/>
      <c r="K10" s="1733"/>
      <c r="L10" s="1734"/>
    </row>
    <row r="11" spans="1:12" ht="11.25" customHeight="1">
      <c r="A11" s="191" t="s">
        <v>1657</v>
      </c>
      <c r="B11" s="294">
        <v>2</v>
      </c>
      <c r="C11" s="1081">
        <v>53832192</v>
      </c>
      <c r="D11" s="1082">
        <v>64305000</v>
      </c>
      <c r="E11" s="1084">
        <v>63567000</v>
      </c>
      <c r="F11" s="1732">
        <v>29335000</v>
      </c>
      <c r="G11" s="1732">
        <v>29335000</v>
      </c>
      <c r="H11" s="1732">
        <v>29335000</v>
      </c>
      <c r="I11" s="1732">
        <v>29335000</v>
      </c>
      <c r="J11" s="1081">
        <v>32064000</v>
      </c>
      <c r="K11" s="1708">
        <v>33987000</v>
      </c>
      <c r="L11" s="1730">
        <v>35910000</v>
      </c>
    </row>
    <row r="12" spans="1:12" ht="11.25" customHeight="1">
      <c r="A12" s="343" t="s">
        <v>608</v>
      </c>
      <c r="B12" s="344"/>
      <c r="C12" s="277">
        <f t="shared" ref="C12:L12" si="0">SUM(C6:C11)</f>
        <v>620382861</v>
      </c>
      <c r="D12" s="277">
        <f t="shared" si="0"/>
        <v>519770000</v>
      </c>
      <c r="E12" s="278">
        <f t="shared" si="0"/>
        <v>448389293</v>
      </c>
      <c r="F12" s="279">
        <f t="shared" si="0"/>
        <v>769778171</v>
      </c>
      <c r="G12" s="277">
        <f t="shared" si="0"/>
        <v>968590531</v>
      </c>
      <c r="H12" s="278">
        <f t="shared" si="0"/>
        <v>968590531</v>
      </c>
      <c r="I12" s="830">
        <f t="shared" si="0"/>
        <v>968590531</v>
      </c>
      <c r="J12" s="280">
        <f t="shared" si="0"/>
        <v>1020913800</v>
      </c>
      <c r="K12" s="277">
        <f t="shared" si="0"/>
        <v>1112830788</v>
      </c>
      <c r="L12" s="278">
        <f t="shared" si="0"/>
        <v>1202705669</v>
      </c>
    </row>
    <row r="13" spans="1:12" ht="5.0999999999999996" customHeight="1">
      <c r="A13" s="202"/>
      <c r="B13" s="294"/>
      <c r="C13" s="204"/>
      <c r="D13" s="204"/>
      <c r="E13" s="205"/>
      <c r="F13" s="206"/>
      <c r="G13" s="204"/>
      <c r="H13" s="205"/>
      <c r="I13" s="211"/>
      <c r="J13" s="207"/>
      <c r="K13" s="204"/>
      <c r="L13" s="205"/>
    </row>
    <row r="14" spans="1:12" ht="11.25" customHeight="1">
      <c r="A14" s="327" t="s">
        <v>602</v>
      </c>
      <c r="B14" s="294"/>
      <c r="C14" s="204"/>
      <c r="D14" s="204"/>
      <c r="E14" s="205"/>
      <c r="F14" s="206"/>
      <c r="G14" s="204"/>
      <c r="H14" s="205"/>
      <c r="I14" s="211"/>
      <c r="J14" s="207"/>
      <c r="K14" s="204"/>
      <c r="L14" s="205"/>
    </row>
    <row r="15" spans="1:12" ht="11.25" customHeight="1">
      <c r="A15" s="191" t="s">
        <v>1656</v>
      </c>
      <c r="B15" s="294"/>
      <c r="C15" s="1081">
        <v>5349498</v>
      </c>
      <c r="D15" s="1082">
        <v>4686000</v>
      </c>
      <c r="E15" s="1084">
        <v>4190000</v>
      </c>
      <c r="F15" s="1731">
        <v>6018000</v>
      </c>
      <c r="G15" s="1731">
        <v>6018000</v>
      </c>
      <c r="H15" s="1731">
        <v>6018000</v>
      </c>
      <c r="I15" s="1731">
        <v>6018000</v>
      </c>
      <c r="J15" s="1731">
        <v>6397000</v>
      </c>
      <c r="K15" s="1708">
        <v>6780000</v>
      </c>
      <c r="L15" s="1730">
        <v>7163000</v>
      </c>
    </row>
    <row r="16" spans="1:12" ht="11.25" customHeight="1">
      <c r="A16" s="191" t="s">
        <v>1106</v>
      </c>
      <c r="B16" s="294"/>
      <c r="C16" s="1081">
        <v>1934689</v>
      </c>
      <c r="D16" s="2243">
        <v>71000</v>
      </c>
      <c r="E16" s="2246"/>
      <c r="F16" s="1735">
        <v>2034000</v>
      </c>
      <c r="G16" s="1735">
        <v>2034000</v>
      </c>
      <c r="H16" s="1735">
        <v>2034000</v>
      </c>
      <c r="I16" s="1735">
        <v>2034000</v>
      </c>
      <c r="J16" s="1735">
        <v>2162000</v>
      </c>
      <c r="K16" s="1733">
        <v>2291000</v>
      </c>
      <c r="L16" s="1734">
        <v>2420000</v>
      </c>
    </row>
    <row r="17" spans="1:13" ht="11.25" customHeight="1">
      <c r="A17" s="191" t="s">
        <v>1655</v>
      </c>
      <c r="B17" s="294"/>
      <c r="C17" s="1081">
        <v>0</v>
      </c>
      <c r="D17" s="1082">
        <v>534167000</v>
      </c>
      <c r="E17" s="1084">
        <v>534167000</v>
      </c>
      <c r="F17" s="1084">
        <v>534167000</v>
      </c>
      <c r="G17" s="1084">
        <v>534167000</v>
      </c>
      <c r="H17" s="1084">
        <v>534167000</v>
      </c>
      <c r="I17" s="1084">
        <v>534167000</v>
      </c>
      <c r="J17" s="1084">
        <v>534167000</v>
      </c>
      <c r="K17" s="1084">
        <v>534167000</v>
      </c>
      <c r="L17" s="1084">
        <v>534167000</v>
      </c>
    </row>
    <row r="18" spans="1:13" ht="11.25" customHeight="1">
      <c r="A18" s="191" t="s">
        <v>845</v>
      </c>
      <c r="B18" s="294"/>
      <c r="C18" s="1081">
        <v>0</v>
      </c>
      <c r="D18" s="1082"/>
      <c r="E18" s="1084"/>
      <c r="F18" s="1731"/>
      <c r="G18" s="1708"/>
      <c r="H18" s="1730"/>
      <c r="I18" s="1732"/>
      <c r="J18" s="1081"/>
      <c r="K18" s="1708"/>
      <c r="L18" s="1730"/>
    </row>
    <row r="19" spans="1:13" ht="11.25" customHeight="1">
      <c r="A19" s="191" t="s">
        <v>1654</v>
      </c>
      <c r="B19" s="294">
        <v>3</v>
      </c>
      <c r="C19" s="204">
        <f>'SA3'!C26</f>
        <v>1241284635</v>
      </c>
      <c r="D19" s="204">
        <f>'SA3'!D26</f>
        <v>1455686999</v>
      </c>
      <c r="E19" s="265">
        <f>'SA3'!E26</f>
        <v>6221719320</v>
      </c>
      <c r="F19" s="206">
        <f>'SA3'!F26</f>
        <v>7039610000</v>
      </c>
      <c r="G19" s="204">
        <f>'SA3'!G26</f>
        <v>6510088669</v>
      </c>
      <c r="H19" s="205">
        <f>'SA3'!H26</f>
        <v>6510088669</v>
      </c>
      <c r="I19" s="203">
        <f>'SA3'!I26</f>
        <v>6510088669</v>
      </c>
      <c r="J19" s="207">
        <f>'SA3'!J26</f>
        <v>6586191468</v>
      </c>
      <c r="K19" s="204">
        <f>'SA3'!K26</f>
        <v>6550369865</v>
      </c>
      <c r="L19" s="205">
        <f>'SA3'!L26</f>
        <v>6463825574</v>
      </c>
    </row>
    <row r="20" spans="1:13" ht="11.25" customHeight="1">
      <c r="A20" s="191" t="s">
        <v>1026</v>
      </c>
      <c r="B20" s="294"/>
      <c r="C20" s="1081">
        <v>602670</v>
      </c>
      <c r="D20" s="1082">
        <v>0</v>
      </c>
      <c r="E20" s="1730"/>
      <c r="F20" s="1731"/>
      <c r="G20" s="1708"/>
      <c r="H20" s="1730"/>
      <c r="I20" s="1732"/>
      <c r="J20" s="1710"/>
      <c r="K20" s="1708"/>
      <c r="L20" s="1730"/>
    </row>
    <row r="21" spans="1:13" ht="11.25" customHeight="1">
      <c r="A21" s="191" t="s">
        <v>1027</v>
      </c>
      <c r="B21" s="294"/>
      <c r="C21" s="1081">
        <v>0</v>
      </c>
      <c r="D21" s="1082">
        <v>0</v>
      </c>
      <c r="E21" s="1730"/>
      <c r="F21" s="1731"/>
      <c r="G21" s="1708">
        <v>543000</v>
      </c>
      <c r="H21" s="1730">
        <v>543000</v>
      </c>
      <c r="I21" s="1732">
        <v>543000</v>
      </c>
      <c r="J21" s="1710">
        <v>543000</v>
      </c>
      <c r="K21" s="1708">
        <v>543000</v>
      </c>
      <c r="L21" s="1730">
        <v>543000</v>
      </c>
    </row>
    <row r="22" spans="1:13" ht="11.25" customHeight="1">
      <c r="A22" s="191" t="s">
        <v>1028</v>
      </c>
      <c r="B22" s="294"/>
      <c r="C22" s="1081">
        <v>903696</v>
      </c>
      <c r="D22" s="1082">
        <v>3770000</v>
      </c>
      <c r="E22" s="1730">
        <v>6465000</v>
      </c>
      <c r="F22" s="1731">
        <v>1085000</v>
      </c>
      <c r="G22" s="1708">
        <v>6465000</v>
      </c>
      <c r="H22" s="1730">
        <v>6465000</v>
      </c>
      <c r="I22" s="1732">
        <v>6465000</v>
      </c>
      <c r="J22" s="1710">
        <v>6465000</v>
      </c>
      <c r="K22" s="1708">
        <v>6465000</v>
      </c>
      <c r="L22" s="1730">
        <v>6465000</v>
      </c>
    </row>
    <row r="23" spans="1:13" ht="11.25" customHeight="1">
      <c r="A23" s="191" t="s">
        <v>1854</v>
      </c>
      <c r="B23" s="294"/>
      <c r="C23" s="1081">
        <v>0</v>
      </c>
      <c r="D23" s="2243">
        <v>0</v>
      </c>
      <c r="E23" s="1730">
        <v>64000</v>
      </c>
      <c r="F23" s="1735"/>
      <c r="G23" s="1733"/>
      <c r="H23" s="1734"/>
      <c r="I23" s="1731"/>
      <c r="J23" s="1737"/>
      <c r="K23" s="1733"/>
      <c r="L23" s="1734"/>
    </row>
    <row r="24" spans="1:13" ht="11.25" customHeight="1">
      <c r="A24" s="343" t="s">
        <v>607</v>
      </c>
      <c r="B24" s="1430"/>
      <c r="C24" s="1429">
        <f>SUM(C15:C23)</f>
        <v>1250075188</v>
      </c>
      <c r="D24" s="214">
        <f>SUM(D15:D23)</f>
        <v>1998380999</v>
      </c>
      <c r="E24" s="215">
        <f t="shared" ref="E24:L24" si="1">SUM(E15:E23)</f>
        <v>6766605320</v>
      </c>
      <c r="F24" s="216">
        <f t="shared" si="1"/>
        <v>7582914000</v>
      </c>
      <c r="G24" s="214">
        <f t="shared" si="1"/>
        <v>7059315669</v>
      </c>
      <c r="H24" s="215">
        <f t="shared" si="1"/>
        <v>7059315669</v>
      </c>
      <c r="I24" s="213">
        <f t="shared" si="1"/>
        <v>7059315669</v>
      </c>
      <c r="J24" s="217">
        <f t="shared" si="1"/>
        <v>7135925468</v>
      </c>
      <c r="K24" s="214">
        <f t="shared" si="1"/>
        <v>7100615865</v>
      </c>
      <c r="L24" s="215">
        <f t="shared" si="1"/>
        <v>7014583574</v>
      </c>
    </row>
    <row r="25" spans="1:13" ht="11.25" customHeight="1">
      <c r="A25" s="343" t="s">
        <v>611</v>
      </c>
      <c r="B25" s="344"/>
      <c r="C25" s="277">
        <f>C12+C24</f>
        <v>1870458049</v>
      </c>
      <c r="D25" s="277">
        <f>D12+D24</f>
        <v>2518150999</v>
      </c>
      <c r="E25" s="278">
        <f>E12+E24</f>
        <v>7214994613</v>
      </c>
      <c r="F25" s="279">
        <f t="shared" ref="F25:L25" si="2">F12+F24</f>
        <v>8352692171</v>
      </c>
      <c r="G25" s="277">
        <f t="shared" si="2"/>
        <v>8027906200</v>
      </c>
      <c r="H25" s="278">
        <f t="shared" si="2"/>
        <v>8027906200</v>
      </c>
      <c r="I25" s="276">
        <f t="shared" si="2"/>
        <v>8027906200</v>
      </c>
      <c r="J25" s="280">
        <f t="shared" si="2"/>
        <v>8156839268</v>
      </c>
      <c r="K25" s="277">
        <f t="shared" si="2"/>
        <v>8213446653</v>
      </c>
      <c r="L25" s="278">
        <f t="shared" si="2"/>
        <v>8217289243</v>
      </c>
    </row>
    <row r="26" spans="1:13" ht="5.0999999999999996" customHeight="1">
      <c r="A26" s="202"/>
      <c r="B26" s="294"/>
      <c r="C26" s="204"/>
      <c r="D26" s="204"/>
      <c r="E26" s="205"/>
      <c r="F26" s="206"/>
      <c r="G26" s="204"/>
      <c r="H26" s="205"/>
      <c r="I26" s="203"/>
      <c r="J26" s="207"/>
      <c r="K26" s="204"/>
      <c r="L26" s="205"/>
    </row>
    <row r="27" spans="1:13" ht="11.25" customHeight="1">
      <c r="A27" s="327" t="s">
        <v>603</v>
      </c>
      <c r="B27" s="294"/>
      <c r="C27" s="204"/>
      <c r="D27" s="204"/>
      <c r="E27" s="205"/>
      <c r="F27" s="206"/>
      <c r="G27" s="204"/>
      <c r="H27" s="205"/>
      <c r="I27" s="203"/>
      <c r="J27" s="207"/>
      <c r="K27" s="204"/>
      <c r="L27" s="205"/>
    </row>
    <row r="28" spans="1:13" ht="11.25" customHeight="1">
      <c r="A28" s="327" t="s">
        <v>1107</v>
      </c>
      <c r="B28" s="296"/>
      <c r="C28" s="204"/>
      <c r="D28" s="204"/>
      <c r="E28" s="205"/>
      <c r="F28" s="206"/>
      <c r="G28" s="204"/>
      <c r="H28" s="205"/>
      <c r="I28" s="203"/>
      <c r="J28" s="207"/>
      <c r="K28" s="204"/>
      <c r="L28" s="205"/>
    </row>
    <row r="29" spans="1:13" ht="11.25" customHeight="1">
      <c r="A29" s="191" t="s">
        <v>1420</v>
      </c>
      <c r="B29" s="294">
        <v>1</v>
      </c>
      <c r="C29" s="1708"/>
      <c r="D29" s="1708"/>
      <c r="E29" s="1730"/>
      <c r="F29" s="1731">
        <v>28366000</v>
      </c>
      <c r="G29" s="1708"/>
      <c r="H29" s="1730"/>
      <c r="I29" s="1732"/>
      <c r="J29" s="1710"/>
      <c r="K29" s="1708"/>
      <c r="L29" s="1730"/>
    </row>
    <row r="30" spans="1:13" ht="11.25" customHeight="1">
      <c r="A30" s="191" t="s">
        <v>1392</v>
      </c>
      <c r="B30" s="294">
        <v>4</v>
      </c>
      <c r="C30" s="204">
        <f>'SA3'!C32</f>
        <v>40544487</v>
      </c>
      <c r="D30" s="204">
        <f>'SA3'!D32</f>
        <v>85433653</v>
      </c>
      <c r="E30" s="265">
        <f>'SA3'!E32</f>
        <v>47969108</v>
      </c>
      <c r="F30" s="206">
        <f>'SA3'!F32</f>
        <v>38402000</v>
      </c>
      <c r="G30" s="204">
        <f>'SA3'!G32</f>
        <v>42310273</v>
      </c>
      <c r="H30" s="205">
        <f>'SA3'!H32</f>
        <v>42310273</v>
      </c>
      <c r="I30" s="203">
        <f>'SA3'!I32</f>
        <v>42310273</v>
      </c>
      <c r="J30" s="207">
        <f>'SA3'!J32</f>
        <v>41734041</v>
      </c>
      <c r="K30" s="204">
        <f>'SA3'!K32</f>
        <v>41779139</v>
      </c>
      <c r="L30" s="205">
        <f>'SA3'!L32</f>
        <v>37935450</v>
      </c>
    </row>
    <row r="31" spans="1:13" ht="11.25" customHeight="1">
      <c r="A31" s="191" t="s">
        <v>1651</v>
      </c>
      <c r="B31" s="294"/>
      <c r="C31" s="1081">
        <v>36171502</v>
      </c>
      <c r="D31" s="1082">
        <v>34808000</v>
      </c>
      <c r="E31" s="1084">
        <v>35794000</v>
      </c>
      <c r="F31" s="1731">
        <v>36929000</v>
      </c>
      <c r="G31" s="1708">
        <v>36929000</v>
      </c>
      <c r="H31" s="1708">
        <v>36929000</v>
      </c>
      <c r="I31" s="1708">
        <v>36929000</v>
      </c>
      <c r="J31" s="1708">
        <v>39034000</v>
      </c>
      <c r="K31" s="1708">
        <v>41259000</v>
      </c>
      <c r="L31" s="1730">
        <v>43484000</v>
      </c>
      <c r="M31" s="373"/>
    </row>
    <row r="32" spans="1:13" ht="11.25" customHeight="1">
      <c r="A32" s="191" t="s">
        <v>742</v>
      </c>
      <c r="B32" s="294">
        <v>4</v>
      </c>
      <c r="C32" s="204">
        <f>'SA3'!C38</f>
        <v>425460066</v>
      </c>
      <c r="D32" s="204">
        <f>'SA3'!D38</f>
        <v>439780744</v>
      </c>
      <c r="E32" s="265">
        <f>'SA3'!E38</f>
        <v>489319115</v>
      </c>
      <c r="F32" s="252">
        <f>'SA3'!F38</f>
        <v>338712000</v>
      </c>
      <c r="G32" s="204">
        <f>'SA3'!G38</f>
        <v>339412000</v>
      </c>
      <c r="H32" s="205">
        <f>'SA3'!H38</f>
        <v>339412000</v>
      </c>
      <c r="I32" s="203">
        <f>'SA3'!I38</f>
        <v>339412000</v>
      </c>
      <c r="J32" s="207">
        <f>'SA3'!J38</f>
        <v>269450000</v>
      </c>
      <c r="K32" s="204">
        <f>'SA3'!K38</f>
        <v>281458850</v>
      </c>
      <c r="L32" s="205">
        <f>'SA3'!L38</f>
        <v>297674087</v>
      </c>
      <c r="M32" s="373"/>
    </row>
    <row r="33" spans="1:15" ht="11.25" customHeight="1">
      <c r="A33" s="191" t="s">
        <v>1108</v>
      </c>
      <c r="B33" s="294"/>
      <c r="C33" s="1081">
        <v>861265</v>
      </c>
      <c r="D33" s="1082">
        <v>625000</v>
      </c>
      <c r="E33" s="1730">
        <v>760739</v>
      </c>
      <c r="F33" s="1731"/>
      <c r="G33" s="1708"/>
      <c r="H33" s="1730"/>
      <c r="I33" s="1732"/>
      <c r="J33" s="1710"/>
      <c r="K33" s="1708"/>
      <c r="L33" s="1730"/>
      <c r="M33" s="373"/>
    </row>
    <row r="34" spans="1:15" ht="11.25" customHeight="1">
      <c r="A34" s="343" t="s">
        <v>606</v>
      </c>
      <c r="B34" s="344"/>
      <c r="C34" s="277">
        <f t="shared" ref="C34:L34" si="3">SUM(C29:C33)</f>
        <v>503037320</v>
      </c>
      <c r="D34" s="277">
        <f t="shared" si="3"/>
        <v>560647397</v>
      </c>
      <c r="E34" s="278">
        <f t="shared" si="3"/>
        <v>573842962</v>
      </c>
      <c r="F34" s="279">
        <f t="shared" si="3"/>
        <v>442409000</v>
      </c>
      <c r="G34" s="277">
        <f t="shared" si="3"/>
        <v>418651273</v>
      </c>
      <c r="H34" s="278">
        <f t="shared" si="3"/>
        <v>418651273</v>
      </c>
      <c r="I34" s="276">
        <f t="shared" si="3"/>
        <v>418651273</v>
      </c>
      <c r="J34" s="280">
        <f t="shared" si="3"/>
        <v>350218041</v>
      </c>
      <c r="K34" s="277">
        <f t="shared" si="3"/>
        <v>364496989</v>
      </c>
      <c r="L34" s="278">
        <f t="shared" si="3"/>
        <v>379093537</v>
      </c>
      <c r="M34" s="373"/>
    </row>
    <row r="35" spans="1:15" ht="5.0999999999999996" customHeight="1">
      <c r="A35" s="202"/>
      <c r="B35" s="294"/>
      <c r="C35" s="204"/>
      <c r="D35" s="204"/>
      <c r="E35" s="205"/>
      <c r="F35" s="206"/>
      <c r="G35" s="204"/>
      <c r="H35" s="205"/>
      <c r="I35" s="203"/>
      <c r="J35" s="207"/>
      <c r="K35" s="204"/>
      <c r="L35" s="205"/>
      <c r="M35" s="373"/>
    </row>
    <row r="36" spans="1:15" ht="11.25" customHeight="1">
      <c r="A36" s="327" t="s">
        <v>604</v>
      </c>
      <c r="B36" s="294"/>
      <c r="C36" s="204"/>
      <c r="D36" s="204"/>
      <c r="E36" s="205"/>
      <c r="F36" s="206"/>
      <c r="G36" s="204"/>
      <c r="H36" s="205"/>
      <c r="I36" s="203"/>
      <c r="J36" s="207"/>
      <c r="K36" s="204"/>
      <c r="L36" s="205"/>
      <c r="M36" s="373"/>
    </row>
    <row r="37" spans="1:15" ht="11.25" customHeight="1">
      <c r="A37" s="191" t="s">
        <v>1392</v>
      </c>
      <c r="B37" s="294"/>
      <c r="C37" s="204">
        <f>'SA3'!C43</f>
        <v>344437394</v>
      </c>
      <c r="D37" s="204">
        <f>'SA3'!D43</f>
        <v>339781000</v>
      </c>
      <c r="E37" s="265">
        <f>'SA3'!E43</f>
        <v>570128738</v>
      </c>
      <c r="F37" s="206">
        <f>'SA3'!F43</f>
        <v>682198000</v>
      </c>
      <c r="G37" s="204">
        <f>'SA3'!G43</f>
        <v>516294563</v>
      </c>
      <c r="H37" s="205">
        <f>'SA3'!H43</f>
        <v>516294563</v>
      </c>
      <c r="I37" s="203">
        <f>'SA3'!I43</f>
        <v>516294563</v>
      </c>
      <c r="J37" s="207">
        <f>'SA3'!J43</f>
        <v>474560522</v>
      </c>
      <c r="K37" s="204">
        <f>'SA3'!K43</f>
        <v>432781382</v>
      </c>
      <c r="L37" s="205">
        <f>'SA3'!L43</f>
        <v>394845932</v>
      </c>
      <c r="M37" s="373"/>
    </row>
    <row r="38" spans="1:15" ht="11.25" customHeight="1">
      <c r="A38" s="191" t="s">
        <v>1108</v>
      </c>
      <c r="B38" s="294"/>
      <c r="C38" s="204">
        <f>'SA3'!C50</f>
        <v>77910279</v>
      </c>
      <c r="D38" s="204">
        <f>'SA3'!D50</f>
        <v>914199800</v>
      </c>
      <c r="E38" s="265">
        <f>'SA3'!E50</f>
        <v>56631130</v>
      </c>
      <c r="F38" s="206">
        <f>'SA3'!F50</f>
        <v>70840482</v>
      </c>
      <c r="G38" s="204">
        <f>'SA3'!G50</f>
        <v>70840482</v>
      </c>
      <c r="H38" s="205">
        <f>'SA3'!H50</f>
        <v>70840482</v>
      </c>
      <c r="I38" s="203">
        <f>'SA3'!I50</f>
        <v>70840482</v>
      </c>
      <c r="J38" s="207">
        <f>'SA3'!J50</f>
        <v>66786635</v>
      </c>
      <c r="K38" s="204">
        <f>'SA3'!K50</f>
        <v>66786635</v>
      </c>
      <c r="L38" s="205">
        <f>'SA3'!L50</f>
        <v>66786635</v>
      </c>
      <c r="M38" s="373"/>
    </row>
    <row r="39" spans="1:15" ht="11.25" customHeight="1">
      <c r="A39" s="343" t="s">
        <v>605</v>
      </c>
      <c r="B39" s="1430"/>
      <c r="C39" s="1429">
        <f>SUM(C37:C38)</f>
        <v>422347673</v>
      </c>
      <c r="D39" s="214">
        <f>SUM(D37:D38)</f>
        <v>1253980800</v>
      </c>
      <c r="E39" s="215">
        <f>SUM(E37:E38)</f>
        <v>626759868</v>
      </c>
      <c r="F39" s="216">
        <f t="shared" ref="F39:L39" si="4">SUM(F37:F38)</f>
        <v>753038482</v>
      </c>
      <c r="G39" s="214">
        <f t="shared" si="4"/>
        <v>587135045</v>
      </c>
      <c r="H39" s="215">
        <f t="shared" si="4"/>
        <v>587135045</v>
      </c>
      <c r="I39" s="216">
        <f t="shared" si="4"/>
        <v>587135045</v>
      </c>
      <c r="J39" s="217">
        <f t="shared" si="4"/>
        <v>541347157</v>
      </c>
      <c r="K39" s="214">
        <f>SUM(K37:K38)</f>
        <v>499568017</v>
      </c>
      <c r="L39" s="215">
        <f t="shared" si="4"/>
        <v>461632567</v>
      </c>
    </row>
    <row r="40" spans="1:15" ht="11.25" customHeight="1">
      <c r="A40" s="343" t="s">
        <v>1166</v>
      </c>
      <c r="B40" s="344"/>
      <c r="C40" s="277">
        <f>C34+C39</f>
        <v>925384993</v>
      </c>
      <c r="D40" s="277">
        <f>D34+D39</f>
        <v>1814628197</v>
      </c>
      <c r="E40" s="278">
        <f>E34+E39</f>
        <v>1200602830</v>
      </c>
      <c r="F40" s="279">
        <f t="shared" ref="F40:L40" si="5">F34+F39</f>
        <v>1195447482</v>
      </c>
      <c r="G40" s="277">
        <f t="shared" si="5"/>
        <v>1005786318</v>
      </c>
      <c r="H40" s="278">
        <f t="shared" si="5"/>
        <v>1005786318</v>
      </c>
      <c r="I40" s="276">
        <f t="shared" si="5"/>
        <v>1005786318</v>
      </c>
      <c r="J40" s="280">
        <f t="shared" si="5"/>
        <v>891565198</v>
      </c>
      <c r="K40" s="277">
        <f>K34+K39</f>
        <v>864065006</v>
      </c>
      <c r="L40" s="278">
        <f t="shared" si="5"/>
        <v>840726104</v>
      </c>
    </row>
    <row r="41" spans="1:15" s="247" customFormat="1" ht="4.5" customHeight="1">
      <c r="A41" s="202"/>
      <c r="B41" s="294"/>
      <c r="C41" s="204"/>
      <c r="D41" s="204"/>
      <c r="E41" s="205"/>
      <c r="F41" s="206"/>
      <c r="G41" s="204"/>
      <c r="H41" s="205"/>
      <c r="I41" s="203"/>
      <c r="J41" s="207"/>
      <c r="K41" s="204"/>
      <c r="L41" s="205"/>
      <c r="O41" s="150"/>
    </row>
    <row r="42" spans="1:15" ht="11.25" customHeight="1">
      <c r="A42" s="347" t="s">
        <v>610</v>
      </c>
      <c r="B42" s="348">
        <v>5</v>
      </c>
      <c r="C42" s="284">
        <f t="shared" ref="C42:L42" si="6">C25-C40</f>
        <v>945073056</v>
      </c>
      <c r="D42" s="284">
        <f t="shared" si="6"/>
        <v>703522802</v>
      </c>
      <c r="E42" s="285">
        <f t="shared" si="6"/>
        <v>6014391783</v>
      </c>
      <c r="F42" s="286">
        <f t="shared" si="6"/>
        <v>7157244689</v>
      </c>
      <c r="G42" s="284">
        <f t="shared" si="6"/>
        <v>7022119882</v>
      </c>
      <c r="H42" s="285">
        <f t="shared" si="6"/>
        <v>7022119882</v>
      </c>
      <c r="I42" s="283">
        <f t="shared" si="6"/>
        <v>7022119882</v>
      </c>
      <c r="J42" s="287">
        <f t="shared" si="6"/>
        <v>7265274070</v>
      </c>
      <c r="K42" s="284">
        <f t="shared" si="6"/>
        <v>7349381647</v>
      </c>
      <c r="L42" s="285">
        <f t="shared" si="6"/>
        <v>7376563139</v>
      </c>
    </row>
    <row r="43" spans="1:15" ht="5.0999999999999996" customHeight="1">
      <c r="A43" s="202"/>
      <c r="B43" s="294"/>
      <c r="C43" s="204"/>
      <c r="D43" s="204"/>
      <c r="E43" s="205"/>
      <c r="F43" s="206"/>
      <c r="G43" s="204"/>
      <c r="H43" s="205"/>
      <c r="I43" s="203"/>
      <c r="J43" s="207"/>
      <c r="K43" s="204"/>
      <c r="L43" s="205"/>
    </row>
    <row r="44" spans="1:15" ht="11.25" customHeight="1">
      <c r="A44" s="334" t="s">
        <v>609</v>
      </c>
      <c r="B44" s="294"/>
      <c r="C44" s="204"/>
      <c r="D44" s="204"/>
      <c r="E44" s="205"/>
      <c r="F44" s="206"/>
      <c r="G44" s="204"/>
      <c r="H44" s="205"/>
      <c r="I44" s="203"/>
      <c r="J44" s="207"/>
      <c r="K44" s="204"/>
      <c r="L44" s="205"/>
    </row>
    <row r="45" spans="1:15" ht="11.25" customHeight="1">
      <c r="A45" s="191" t="s">
        <v>448</v>
      </c>
      <c r="B45" s="294"/>
      <c r="C45" s="1081">
        <v>824663148</v>
      </c>
      <c r="D45" s="1082">
        <v>523965000</v>
      </c>
      <c r="E45" s="1084">
        <v>4559297000</v>
      </c>
      <c r="F45" s="1731">
        <v>6595190000</v>
      </c>
      <c r="G45" s="1731">
        <v>6966515000</v>
      </c>
      <c r="H45" s="1731">
        <v>6966515000</v>
      </c>
      <c r="I45" s="1731">
        <v>6966515000</v>
      </c>
      <c r="J45" s="1081">
        <v>7206166000</v>
      </c>
      <c r="K45" s="1708">
        <v>7286727000</v>
      </c>
      <c r="L45" s="1730">
        <v>7310361000</v>
      </c>
    </row>
    <row r="46" spans="1:15" ht="11.25" customHeight="1">
      <c r="A46" s="191" t="s">
        <v>795</v>
      </c>
      <c r="B46" s="294">
        <v>4</v>
      </c>
      <c r="C46" s="204">
        <f>'SA3'!C72</f>
        <v>120409907</v>
      </c>
      <c r="D46" s="204">
        <f>'SA3'!D72</f>
        <v>179558183</v>
      </c>
      <c r="E46" s="265">
        <f>'SA3'!E72</f>
        <v>667625867.59159994</v>
      </c>
      <c r="F46" s="252">
        <f>'SA3'!F72</f>
        <v>55605000</v>
      </c>
      <c r="G46" s="204">
        <f>'SA3'!G72</f>
        <v>55605000</v>
      </c>
      <c r="H46" s="205">
        <f>'SA3'!H72</f>
        <v>55605000</v>
      </c>
      <c r="I46" s="203">
        <f>'SA3'!I72</f>
        <v>55605000</v>
      </c>
      <c r="J46" s="207">
        <f>'SA3'!J72</f>
        <v>59108000</v>
      </c>
      <c r="K46" s="204">
        <f>'SA3'!K72</f>
        <v>62655000</v>
      </c>
      <c r="L46" s="205">
        <f>'SA3'!L72</f>
        <v>66202000</v>
      </c>
    </row>
    <row r="47" spans="1:15" ht="11.25" customHeight="1">
      <c r="A47" s="191" t="s">
        <v>158</v>
      </c>
      <c r="B47" s="294"/>
      <c r="C47" s="1708"/>
      <c r="D47" s="1708"/>
      <c r="E47" s="1730"/>
      <c r="F47" s="1731"/>
      <c r="G47" s="1708"/>
      <c r="H47" s="1730"/>
      <c r="I47" s="1732"/>
      <c r="J47" s="1710"/>
      <c r="K47" s="1708"/>
      <c r="L47" s="1730"/>
    </row>
    <row r="48" spans="1:15">
      <c r="A48" s="225" t="s">
        <v>1167</v>
      </c>
      <c r="B48" s="307">
        <v>5</v>
      </c>
      <c r="C48" s="231">
        <f>SUM(C45:C47)</f>
        <v>945073055</v>
      </c>
      <c r="D48" s="231">
        <f t="shared" ref="D48:L48" si="7">SUM(D45:D47)</f>
        <v>703523183</v>
      </c>
      <c r="E48" s="229">
        <f t="shared" si="7"/>
        <v>5226922867.5916004</v>
      </c>
      <c r="F48" s="230">
        <f t="shared" si="7"/>
        <v>6650795000</v>
      </c>
      <c r="G48" s="231">
        <f t="shared" si="7"/>
        <v>7022120000</v>
      </c>
      <c r="H48" s="229">
        <f t="shared" si="7"/>
        <v>7022120000</v>
      </c>
      <c r="I48" s="232">
        <f t="shared" si="7"/>
        <v>7022120000</v>
      </c>
      <c r="J48" s="233">
        <f t="shared" si="7"/>
        <v>7265274000</v>
      </c>
      <c r="K48" s="231">
        <f t="shared" si="7"/>
        <v>7349382000</v>
      </c>
      <c r="L48" s="229">
        <f t="shared" si="7"/>
        <v>7376563000</v>
      </c>
    </row>
    <row r="49" spans="1:14" s="722" customFormat="1">
      <c r="A49" s="1276" t="str">
        <f>head27a</f>
        <v>References</v>
      </c>
      <c r="B49" s="1237"/>
      <c r="C49" s="1240"/>
      <c r="D49" s="1240"/>
      <c r="E49" s="1240"/>
      <c r="F49" s="1240"/>
      <c r="G49" s="1240"/>
      <c r="H49" s="1240"/>
      <c r="I49" s="1240"/>
      <c r="J49" s="1240"/>
      <c r="K49" s="1240"/>
      <c r="L49" s="1240"/>
    </row>
    <row r="50" spans="1:14" s="722" customFormat="1">
      <c r="A50" s="2433" t="s">
        <v>1586</v>
      </c>
      <c r="B50" s="2433"/>
      <c r="C50" s="2433"/>
      <c r="D50" s="2433"/>
      <c r="E50" s="2433"/>
      <c r="F50" s="2433"/>
      <c r="G50" s="2433"/>
      <c r="H50" s="2433"/>
      <c r="I50" s="2433"/>
      <c r="J50" s="2433"/>
      <c r="K50" s="2433"/>
      <c r="L50" s="2433"/>
    </row>
    <row r="51" spans="1:14" s="722" customFormat="1" ht="12.75" customHeight="1">
      <c r="A51" s="1238" t="s">
        <v>1142</v>
      </c>
      <c r="B51" s="1238"/>
      <c r="C51" s="1238"/>
      <c r="D51" s="1238"/>
      <c r="E51" s="1238"/>
      <c r="F51" s="1238"/>
      <c r="G51" s="1238"/>
      <c r="H51" s="1238"/>
      <c r="I51" s="1238"/>
      <c r="J51" s="1238"/>
      <c r="K51" s="1238"/>
      <c r="L51" s="1238"/>
    </row>
    <row r="52" spans="1:14" s="722" customFormat="1" ht="12.75" customHeight="1">
      <c r="A52" s="1238" t="s">
        <v>1988</v>
      </c>
      <c r="B52" s="1238"/>
      <c r="C52" s="1238"/>
      <c r="D52" s="1238"/>
      <c r="E52" s="1238"/>
      <c r="F52" s="1238"/>
      <c r="G52" s="1238"/>
      <c r="H52" s="1238"/>
      <c r="I52" s="1238"/>
      <c r="J52" s="1238"/>
      <c r="K52" s="1238"/>
      <c r="L52" s="1238"/>
    </row>
    <row r="53" spans="1:14" s="722" customFormat="1" ht="12.75" customHeight="1">
      <c r="A53" s="1238" t="s">
        <v>476</v>
      </c>
      <c r="B53" s="1238"/>
      <c r="C53" s="1238"/>
      <c r="D53" s="1238"/>
      <c r="E53" s="1199"/>
      <c r="F53" s="1199"/>
      <c r="G53" s="1238"/>
      <c r="H53" s="1238"/>
      <c r="I53" s="1238"/>
      <c r="J53" s="1238"/>
      <c r="K53" s="1238"/>
      <c r="L53" s="1238"/>
    </row>
    <row r="54" spans="1:14" s="722" customFormat="1" ht="11.25" customHeight="1">
      <c r="A54" s="1238" t="s">
        <v>137</v>
      </c>
      <c r="B54" s="1237"/>
      <c r="C54" s="1239"/>
      <c r="D54" s="1239"/>
      <c r="E54" s="1240"/>
      <c r="F54" s="1240"/>
      <c r="G54" s="1240"/>
      <c r="H54" s="1240"/>
      <c r="I54" s="1240"/>
      <c r="J54" s="1240"/>
      <c r="K54" s="1240"/>
      <c r="L54" s="1240"/>
    </row>
    <row r="55" spans="1:14" ht="11.25" customHeight="1">
      <c r="A55" s="1307" t="s">
        <v>304</v>
      </c>
      <c r="B55" s="1237"/>
      <c r="C55" s="1311">
        <f t="shared" ref="C55:L55" si="8">C42-C48</f>
        <v>1</v>
      </c>
      <c r="D55" s="1311">
        <f t="shared" si="8"/>
        <v>-381</v>
      </c>
      <c r="E55" s="1311">
        <f t="shared" si="8"/>
        <v>787468915.40839958</v>
      </c>
      <c r="F55" s="1311">
        <f t="shared" si="8"/>
        <v>506449689</v>
      </c>
      <c r="G55" s="1311">
        <f t="shared" si="8"/>
        <v>-118</v>
      </c>
      <c r="H55" s="1311">
        <f t="shared" si="8"/>
        <v>-118</v>
      </c>
      <c r="I55" s="1311">
        <f t="shared" si="8"/>
        <v>-118</v>
      </c>
      <c r="J55" s="1311">
        <f t="shared" si="8"/>
        <v>70</v>
      </c>
      <c r="K55" s="1311">
        <f t="shared" si="8"/>
        <v>-353</v>
      </c>
      <c r="L55" s="1311">
        <f t="shared" si="8"/>
        <v>139</v>
      </c>
      <c r="M55" s="247"/>
      <c r="N55" s="247"/>
    </row>
    <row r="56" spans="1:14" ht="11.25" customHeight="1"/>
    <row r="57" spans="1:14" ht="11.25" customHeight="1">
      <c r="B57" s="150"/>
    </row>
    <row r="58" spans="1:14" ht="11.25" customHeight="1">
      <c r="B58" s="150"/>
    </row>
    <row r="59" spans="1:14" ht="11.25" customHeight="1">
      <c r="B59" s="150"/>
    </row>
    <row r="60" spans="1:14" ht="11.25" customHeight="1">
      <c r="B60" s="150"/>
    </row>
    <row r="61" spans="1:14" ht="11.25" customHeight="1"/>
    <row r="62" spans="1:14" ht="11.25" customHeight="1"/>
    <row r="63" spans="1:14" ht="11.25" customHeight="1"/>
    <row r="64" spans="1:1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A35B"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workbookViewId="0">
      <pane xSplit="2" ySplit="3" topLeftCell="C44" activePane="bottomRight" state="frozen"/>
      <selection activeCell="O37" sqref="A1:IV65536"/>
      <selection pane="topRight" activeCell="O37" sqref="A1:IV65536"/>
      <selection pane="bottomLeft" activeCell="O37" sqref="A1:IV65536"/>
      <selection pane="bottomRight" activeCell="E41" sqref="E41"/>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2" s="180" customFormat="1">
      <c r="A1" s="148" t="str">
        <f>muni&amp;" - "&amp;Approve7</f>
        <v>KZN225 Msunduzi - Table A7 Budgeted Cash Flows</v>
      </c>
      <c r="B1" s="148"/>
      <c r="C1" s="148"/>
      <c r="D1" s="148"/>
      <c r="E1" s="148"/>
      <c r="F1" s="148"/>
      <c r="G1" s="148"/>
      <c r="H1" s="148"/>
      <c r="I1" s="148"/>
      <c r="J1" s="148"/>
      <c r="K1" s="148"/>
      <c r="L1" s="148"/>
    </row>
    <row r="2" spans="1:12" ht="28.5" customHeight="1">
      <c r="A2" s="1001" t="str">
        <f>desc</f>
        <v>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2" ht="25.5">
      <c r="A3" s="181" t="s">
        <v>703</v>
      </c>
      <c r="B3" s="1016"/>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row>
    <row r="4" spans="1:12" ht="11.25" customHeight="1">
      <c r="A4" s="327" t="s">
        <v>1009</v>
      </c>
      <c r="B4" s="292"/>
      <c r="C4" s="312"/>
      <c r="D4" s="312"/>
      <c r="E4" s="315"/>
      <c r="F4" s="314"/>
      <c r="G4" s="312"/>
      <c r="H4" s="315"/>
      <c r="I4" s="313"/>
      <c r="J4" s="342"/>
      <c r="K4" s="312"/>
      <c r="L4" s="315"/>
    </row>
    <row r="5" spans="1:12" ht="11.25" customHeight="1">
      <c r="A5" s="334" t="s">
        <v>892</v>
      </c>
      <c r="B5" s="294"/>
      <c r="C5" s="204"/>
      <c r="D5" s="204"/>
      <c r="E5" s="205"/>
      <c r="F5" s="206"/>
      <c r="G5" s="204"/>
      <c r="H5" s="205"/>
      <c r="I5" s="203"/>
      <c r="J5" s="207"/>
      <c r="K5" s="204"/>
      <c r="L5" s="205"/>
    </row>
    <row r="6" spans="1:12" ht="11.25" customHeight="1">
      <c r="A6" s="326" t="s">
        <v>1615</v>
      </c>
      <c r="B6" s="294"/>
      <c r="C6" s="1081">
        <v>1320539000</v>
      </c>
      <c r="D6" s="1082">
        <v>2139577797</v>
      </c>
      <c r="E6" s="1084">
        <v>1924972756</v>
      </c>
      <c r="F6" s="1712">
        <v>1696036929</v>
      </c>
      <c r="G6" s="1708">
        <v>2025595540</v>
      </c>
      <c r="H6" s="1708">
        <v>2025595540</v>
      </c>
      <c r="I6" s="1708">
        <v>2025595540</v>
      </c>
      <c r="J6" s="1081">
        <f>1971948000+70000000</f>
        <v>2041948000</v>
      </c>
      <c r="K6" s="1708">
        <v>2420158848</v>
      </c>
      <c r="L6" s="1730">
        <v>2557643009</v>
      </c>
    </row>
    <row r="7" spans="1:12" ht="11.25" customHeight="1">
      <c r="A7" s="326" t="s">
        <v>1616</v>
      </c>
      <c r="B7" s="294">
        <v>1</v>
      </c>
      <c r="C7" s="1081">
        <v>168611000</v>
      </c>
      <c r="D7" s="1082">
        <v>375099858</v>
      </c>
      <c r="E7" s="1084">
        <v>212139165</v>
      </c>
      <c r="F7" s="1712">
        <v>299333889</v>
      </c>
      <c r="G7" s="1708">
        <v>322506865</v>
      </c>
      <c r="H7" s="1730">
        <v>322506865</v>
      </c>
      <c r="I7" s="1730">
        <v>322506865</v>
      </c>
      <c r="J7" s="1081">
        <v>326131000</v>
      </c>
      <c r="K7" s="1708">
        <v>365172000</v>
      </c>
      <c r="L7" s="1730">
        <v>399129000</v>
      </c>
    </row>
    <row r="8" spans="1:12" ht="11.25" customHeight="1">
      <c r="A8" s="326" t="s">
        <v>1617</v>
      </c>
      <c r="B8" s="294">
        <v>1</v>
      </c>
      <c r="C8" s="1081">
        <v>97771000</v>
      </c>
      <c r="D8" s="1082"/>
      <c r="E8" s="1084"/>
      <c r="F8" s="1712">
        <v>136513266</v>
      </c>
      <c r="G8" s="1708">
        <v>126513266</v>
      </c>
      <c r="H8" s="1708">
        <v>126513266</v>
      </c>
      <c r="I8" s="1708">
        <v>126513266</v>
      </c>
      <c r="J8" s="1081">
        <v>303122000</v>
      </c>
      <c r="K8" s="1708">
        <v>262258000</v>
      </c>
      <c r="L8" s="1730">
        <v>214215000</v>
      </c>
    </row>
    <row r="9" spans="1:12" ht="11.25" customHeight="1">
      <c r="A9" s="326" t="s">
        <v>362</v>
      </c>
      <c r="B9" s="294"/>
      <c r="C9" s="1081">
        <v>29321000</v>
      </c>
      <c r="D9" s="1082">
        <v>29830501</v>
      </c>
      <c r="E9" s="1084">
        <v>31749939</v>
      </c>
      <c r="F9" s="1712">
        <v>36708003</v>
      </c>
      <c r="G9" s="1708">
        <v>24942214</v>
      </c>
      <c r="H9" s="1708">
        <v>24942214</v>
      </c>
      <c r="I9" s="1708">
        <v>24942214</v>
      </c>
      <c r="J9" s="1081">
        <v>41822287</v>
      </c>
      <c r="K9" s="1708">
        <v>44038868</v>
      </c>
      <c r="L9" s="1730">
        <v>46461006</v>
      </c>
    </row>
    <row r="10" spans="1:12" ht="11.25" customHeight="1">
      <c r="A10" s="326" t="s">
        <v>639</v>
      </c>
      <c r="B10" s="294"/>
      <c r="C10" s="1081"/>
      <c r="D10" s="1082"/>
      <c r="E10" s="1084"/>
      <c r="F10" s="1712"/>
      <c r="G10" s="1708"/>
      <c r="H10" s="1730"/>
      <c r="I10" s="1732"/>
      <c r="J10" s="1081"/>
      <c r="K10" s="1708"/>
      <c r="L10" s="1730"/>
    </row>
    <row r="11" spans="1:12" ht="11.25" customHeight="1">
      <c r="A11" s="334" t="s">
        <v>893</v>
      </c>
      <c r="B11" s="294"/>
      <c r="C11" s="208"/>
      <c r="D11" s="204"/>
      <c r="E11" s="205"/>
      <c r="F11" s="206"/>
      <c r="G11" s="204"/>
      <c r="H11" s="205"/>
      <c r="I11" s="203"/>
      <c r="J11" s="207"/>
      <c r="K11" s="204"/>
      <c r="L11" s="205"/>
    </row>
    <row r="12" spans="1:12" ht="11.25" customHeight="1">
      <c r="A12" s="326" t="s">
        <v>1618</v>
      </c>
      <c r="B12" s="294"/>
      <c r="C12" s="1081">
        <v>-1393091328</v>
      </c>
      <c r="D12" s="1082">
        <v>-2008877528</v>
      </c>
      <c r="E12" s="1084">
        <v>-1816787965</v>
      </c>
      <c r="F12" s="1712">
        <v>-1985105192</v>
      </c>
      <c r="G12" s="1708">
        <v>-2325269978</v>
      </c>
      <c r="H12" s="1708">
        <v>-2325269978</v>
      </c>
      <c r="I12" s="1708">
        <v>-2325269978</v>
      </c>
      <c r="J12" s="1081">
        <v>-2360264000</v>
      </c>
      <c r="K12" s="1708">
        <v>-2620198843</v>
      </c>
      <c r="L12" s="1730">
        <v>-2772149223</v>
      </c>
    </row>
    <row r="13" spans="1:12" ht="11.25" customHeight="1">
      <c r="A13" s="326" t="s">
        <v>1702</v>
      </c>
      <c r="B13" s="294"/>
      <c r="C13" s="1081">
        <v>-55030233</v>
      </c>
      <c r="D13" s="1082">
        <v>-80593486</v>
      </c>
      <c r="E13" s="1084">
        <v>-73753994</v>
      </c>
      <c r="F13" s="1712">
        <v>-69096888</v>
      </c>
      <c r="G13" s="1708">
        <v>-68948580</v>
      </c>
      <c r="H13" s="1730">
        <v>-68948580</v>
      </c>
      <c r="I13" s="1730">
        <v>-68948580</v>
      </c>
      <c r="J13" s="1081">
        <v>-57747139</v>
      </c>
      <c r="K13" s="1708">
        <v>-60807737</v>
      </c>
      <c r="L13" s="1730">
        <v>-64152163</v>
      </c>
    </row>
    <row r="14" spans="1:12" ht="11.25" customHeight="1">
      <c r="A14" s="326" t="s">
        <v>1390</v>
      </c>
      <c r="B14" s="294">
        <v>1</v>
      </c>
      <c r="C14" s="1081"/>
      <c r="D14" s="1080"/>
      <c r="E14" s="1080"/>
      <c r="F14" s="1731"/>
      <c r="G14" s="1708">
        <v>-4300000</v>
      </c>
      <c r="H14" s="1730">
        <v>-4300000</v>
      </c>
      <c r="I14" s="1730">
        <v>-4300000</v>
      </c>
      <c r="J14" s="1081">
        <v>-4500000</v>
      </c>
      <c r="K14" s="1708">
        <v>-4716000</v>
      </c>
      <c r="L14" s="1730">
        <v>-4942368</v>
      </c>
    </row>
    <row r="15" spans="1:12" ht="11.25" customHeight="1">
      <c r="A15" s="343" t="s">
        <v>736</v>
      </c>
      <c r="B15" s="344"/>
      <c r="C15" s="826">
        <f>SUM(C6:C10)+SUM(C12:C14)</f>
        <v>168120439</v>
      </c>
      <c r="D15" s="826">
        <f t="shared" ref="D15:L15" si="0">SUM(D6:D10)+SUM(D12:D14)</f>
        <v>455037142</v>
      </c>
      <c r="E15" s="827">
        <f t="shared" si="0"/>
        <v>278319901</v>
      </c>
      <c r="F15" s="828">
        <f t="shared" si="0"/>
        <v>114390007</v>
      </c>
      <c r="G15" s="826">
        <f t="shared" si="0"/>
        <v>101039327</v>
      </c>
      <c r="H15" s="830">
        <f t="shared" si="0"/>
        <v>101039327</v>
      </c>
      <c r="I15" s="828">
        <f t="shared" si="0"/>
        <v>101039327</v>
      </c>
      <c r="J15" s="1136">
        <f t="shared" si="0"/>
        <v>290512148</v>
      </c>
      <c r="K15" s="826">
        <f t="shared" si="0"/>
        <v>405905136</v>
      </c>
      <c r="L15" s="827">
        <f t="shared" si="0"/>
        <v>376204261</v>
      </c>
    </row>
    <row r="16" spans="1:12" ht="5.0999999999999996" customHeight="1">
      <c r="A16" s="202"/>
      <c r="B16" s="294"/>
      <c r="C16" s="204"/>
      <c r="D16" s="204"/>
      <c r="E16" s="205"/>
      <c r="F16" s="206"/>
      <c r="G16" s="204"/>
      <c r="H16" s="205"/>
      <c r="I16" s="203"/>
      <c r="J16" s="207"/>
      <c r="K16" s="204"/>
      <c r="L16" s="205"/>
    </row>
    <row r="17" spans="1:12" ht="11.25" customHeight="1">
      <c r="A17" s="327" t="s">
        <v>305</v>
      </c>
      <c r="B17" s="294"/>
      <c r="C17" s="204"/>
      <c r="D17" s="204"/>
      <c r="E17" s="205"/>
      <c r="F17" s="206"/>
      <c r="G17" s="204"/>
      <c r="H17" s="205"/>
      <c r="I17" s="203"/>
      <c r="J17" s="207"/>
      <c r="K17" s="204"/>
      <c r="L17" s="205"/>
    </row>
    <row r="18" spans="1:12" ht="11.25" customHeight="1">
      <c r="A18" s="327" t="s">
        <v>892</v>
      </c>
      <c r="B18" s="294"/>
      <c r="C18" s="219"/>
      <c r="D18" s="219"/>
      <c r="E18" s="220"/>
      <c r="F18" s="221"/>
      <c r="G18" s="219"/>
      <c r="H18" s="220"/>
      <c r="I18" s="218"/>
      <c r="J18" s="222"/>
      <c r="K18" s="219"/>
      <c r="L18" s="220"/>
    </row>
    <row r="19" spans="1:12" ht="11.25" customHeight="1">
      <c r="A19" s="326" t="s">
        <v>1672</v>
      </c>
      <c r="B19" s="294"/>
      <c r="C19" s="1081">
        <v>7239228</v>
      </c>
      <c r="D19" s="2243"/>
      <c r="E19" s="2246"/>
      <c r="F19" s="1735"/>
      <c r="G19" s="1733"/>
      <c r="H19" s="1734"/>
      <c r="I19" s="1732"/>
      <c r="J19" s="2242"/>
      <c r="K19" s="1733"/>
      <c r="L19" s="1734"/>
    </row>
    <row r="20" spans="1:12" ht="11.25" customHeight="1">
      <c r="A20" s="326" t="s">
        <v>1347</v>
      </c>
      <c r="B20" s="294"/>
      <c r="C20" s="2242"/>
      <c r="D20" s="1082"/>
      <c r="E20" s="1084"/>
      <c r="F20" s="1731"/>
      <c r="G20" s="1708"/>
      <c r="H20" s="1730"/>
      <c r="I20" s="1732"/>
      <c r="J20" s="1081">
        <v>0</v>
      </c>
      <c r="K20" s="1708">
        <v>0</v>
      </c>
      <c r="L20" s="1730">
        <v>0</v>
      </c>
    </row>
    <row r="21" spans="1:12" ht="11.25" customHeight="1">
      <c r="A21" s="326" t="s">
        <v>734</v>
      </c>
      <c r="B21" s="294"/>
      <c r="C21" s="1081">
        <v>6739888</v>
      </c>
      <c r="D21" s="2243">
        <v>-8163750</v>
      </c>
      <c r="E21" s="2246">
        <v>-450870</v>
      </c>
      <c r="F21" s="1712">
        <v>-109660</v>
      </c>
      <c r="G21" s="1733">
        <v>0</v>
      </c>
      <c r="H21" s="1734"/>
      <c r="I21" s="1732"/>
      <c r="J21" s="2242">
        <v>0</v>
      </c>
      <c r="K21" s="1733">
        <v>0</v>
      </c>
      <c r="L21" s="1734">
        <v>0</v>
      </c>
    </row>
    <row r="22" spans="1:12" ht="11.25" customHeight="1">
      <c r="A22" s="326" t="s">
        <v>735</v>
      </c>
      <c r="B22" s="294"/>
      <c r="C22" s="1081">
        <v>163061</v>
      </c>
      <c r="D22" s="1082"/>
      <c r="E22" s="1084"/>
      <c r="F22" s="1712">
        <v>-324505</v>
      </c>
      <c r="G22" s="1708">
        <v>0</v>
      </c>
      <c r="H22" s="1730"/>
      <c r="I22" s="1732"/>
      <c r="J22" s="1081">
        <v>0</v>
      </c>
      <c r="K22" s="1708">
        <v>0</v>
      </c>
      <c r="L22" s="1730">
        <v>0</v>
      </c>
    </row>
    <row r="23" spans="1:12" ht="11.25" customHeight="1">
      <c r="A23" s="327" t="s">
        <v>893</v>
      </c>
      <c r="B23" s="294"/>
      <c r="C23" s="1334"/>
      <c r="D23" s="1334"/>
      <c r="E23" s="1374"/>
      <c r="F23" s="1375"/>
      <c r="G23" s="1334"/>
      <c r="H23" s="1374"/>
      <c r="I23" s="1376"/>
      <c r="J23" s="1335"/>
      <c r="K23" s="1334"/>
      <c r="L23" s="1374"/>
    </row>
    <row r="24" spans="1:12" ht="11.25" customHeight="1">
      <c r="A24" s="191" t="s">
        <v>1619</v>
      </c>
      <c r="B24" s="294"/>
      <c r="C24" s="1081">
        <v>-196495704</v>
      </c>
      <c r="D24" s="1082">
        <v>-180115152</v>
      </c>
      <c r="E24" s="1084">
        <v>-327343282</v>
      </c>
      <c r="F24" s="1712">
        <v>-295937266</v>
      </c>
      <c r="G24" s="1708"/>
      <c r="H24" s="1730"/>
      <c r="I24" s="1732"/>
      <c r="J24" s="1081">
        <v>-411313300</v>
      </c>
      <c r="K24" s="1708">
        <v>-310819300</v>
      </c>
      <c r="L24" s="1730">
        <v>-214215000</v>
      </c>
    </row>
    <row r="25" spans="1:12" ht="11.25" customHeight="1">
      <c r="A25" s="343" t="s">
        <v>737</v>
      </c>
      <c r="B25" s="344"/>
      <c r="C25" s="826">
        <f>SUM(C19:C22)+C24</f>
        <v>-182353527</v>
      </c>
      <c r="D25" s="826">
        <f t="shared" ref="D25:L25" si="1">SUM(D19:D22)+D24</f>
        <v>-188278902</v>
      </c>
      <c r="E25" s="827">
        <f t="shared" si="1"/>
        <v>-327794152</v>
      </c>
      <c r="F25" s="828">
        <f t="shared" si="1"/>
        <v>-296371431</v>
      </c>
      <c r="G25" s="826">
        <f t="shared" si="1"/>
        <v>0</v>
      </c>
      <c r="H25" s="827">
        <f t="shared" si="1"/>
        <v>0</v>
      </c>
      <c r="I25" s="830">
        <f t="shared" si="1"/>
        <v>0</v>
      </c>
      <c r="J25" s="1136">
        <f t="shared" si="1"/>
        <v>-411313300</v>
      </c>
      <c r="K25" s="826">
        <f t="shared" si="1"/>
        <v>-310819300</v>
      </c>
      <c r="L25" s="827">
        <f t="shared" si="1"/>
        <v>-214215000</v>
      </c>
    </row>
    <row r="26" spans="1:12" ht="5.0999999999999996" customHeight="1">
      <c r="A26" s="202"/>
      <c r="B26" s="294"/>
      <c r="C26" s="204"/>
      <c r="D26" s="204"/>
      <c r="E26" s="205"/>
      <c r="F26" s="206"/>
      <c r="G26" s="204"/>
      <c r="H26" s="205"/>
      <c r="I26" s="203"/>
      <c r="J26" s="207"/>
      <c r="K26" s="204"/>
      <c r="L26" s="205"/>
    </row>
    <row r="27" spans="1:12" ht="11.25" customHeight="1">
      <c r="A27" s="327" t="s">
        <v>1419</v>
      </c>
      <c r="B27" s="294"/>
      <c r="C27" s="204"/>
      <c r="D27" s="204"/>
      <c r="E27" s="205"/>
      <c r="F27" s="206"/>
      <c r="G27" s="204"/>
      <c r="H27" s="205"/>
      <c r="I27" s="203"/>
      <c r="J27" s="207"/>
      <c r="K27" s="204"/>
      <c r="L27" s="205"/>
    </row>
    <row r="28" spans="1:12" ht="11.25" customHeight="1">
      <c r="A28" s="327" t="s">
        <v>892</v>
      </c>
      <c r="B28" s="294"/>
      <c r="C28" s="204"/>
      <c r="D28" s="204"/>
      <c r="E28" s="205"/>
      <c r="F28" s="206"/>
      <c r="G28" s="204"/>
      <c r="H28" s="205"/>
      <c r="I28" s="203"/>
      <c r="J28" s="207"/>
      <c r="K28" s="204"/>
      <c r="L28" s="205"/>
    </row>
    <row r="29" spans="1:12" ht="11.25" customHeight="1">
      <c r="A29" s="191" t="s">
        <v>895</v>
      </c>
      <c r="B29" s="294"/>
      <c r="C29" s="1081"/>
      <c r="D29" s="1082">
        <v>0</v>
      </c>
      <c r="E29" s="1084"/>
      <c r="F29" s="1731"/>
      <c r="G29" s="1708"/>
      <c r="H29" s="1730"/>
      <c r="I29" s="1732"/>
      <c r="J29" s="1081"/>
      <c r="K29" s="1708"/>
      <c r="L29" s="1730"/>
    </row>
    <row r="30" spans="1:12" ht="11.25" customHeight="1">
      <c r="A30" s="326" t="s">
        <v>859</v>
      </c>
      <c r="B30" s="294"/>
      <c r="C30" s="1081">
        <v>90000000</v>
      </c>
      <c r="D30" s="1082">
        <v>120000000</v>
      </c>
      <c r="E30" s="1084">
        <v>201427600</v>
      </c>
      <c r="F30" s="1712">
        <v>158155000</v>
      </c>
      <c r="G30" s="1730">
        <v>226524000</v>
      </c>
      <c r="H30" s="1730">
        <v>226524000</v>
      </c>
      <c r="I30" s="1730">
        <v>226524000</v>
      </c>
      <c r="J30" s="1081">
        <v>181219200</v>
      </c>
      <c r="K30" s="1708">
        <v>144975360</v>
      </c>
      <c r="L30" s="1730">
        <v>115980288</v>
      </c>
    </row>
    <row r="31" spans="1:12" ht="11.25" customHeight="1">
      <c r="A31" s="326" t="s">
        <v>405</v>
      </c>
      <c r="B31" s="294"/>
      <c r="C31" s="1081">
        <v>7585443</v>
      </c>
      <c r="D31" s="1082">
        <v>12373397</v>
      </c>
      <c r="E31" s="1084">
        <v>2460780</v>
      </c>
      <c r="F31" s="1712">
        <v>1991435</v>
      </c>
      <c r="G31" s="1733">
        <v>6915597</v>
      </c>
      <c r="H31" s="1733">
        <v>6915597</v>
      </c>
      <c r="I31" s="1733">
        <v>6915597</v>
      </c>
      <c r="J31" s="1081">
        <v>5500000</v>
      </c>
      <c r="K31" s="1708">
        <f>J31*1.05</f>
        <v>5775000</v>
      </c>
      <c r="L31" s="1730">
        <f>K31*1.05</f>
        <v>6063750</v>
      </c>
    </row>
    <row r="32" spans="1:12" ht="11.25" customHeight="1">
      <c r="A32" s="334" t="s">
        <v>893</v>
      </c>
      <c r="B32" s="294"/>
      <c r="C32" s="1334"/>
      <c r="D32" s="1334"/>
      <c r="E32" s="1374"/>
      <c r="F32" s="1375"/>
      <c r="G32" s="1334"/>
      <c r="H32" s="1374"/>
      <c r="I32" s="1376"/>
      <c r="J32" s="1335"/>
      <c r="K32" s="1334"/>
      <c r="L32" s="1374"/>
    </row>
    <row r="33" spans="1:16" ht="11.25" customHeight="1">
      <c r="A33" s="326" t="s">
        <v>894</v>
      </c>
      <c r="B33" s="294"/>
      <c r="C33" s="1081">
        <v>-40457667</v>
      </c>
      <c r="D33" s="1082">
        <v>-81527813</v>
      </c>
      <c r="E33" s="1082">
        <v>-47413000</v>
      </c>
      <c r="F33" s="1712">
        <v>-48914277</v>
      </c>
      <c r="G33" s="1708">
        <v>-48914277</v>
      </c>
      <c r="H33" s="1730">
        <v>-48914277</v>
      </c>
      <c r="I33" s="1732">
        <v>-48914277</v>
      </c>
      <c r="J33" s="1082">
        <v>-39409376</v>
      </c>
      <c r="K33" s="1708">
        <v>-39409376</v>
      </c>
      <c r="L33" s="1730">
        <v>-39409376</v>
      </c>
    </row>
    <row r="34" spans="1:16" ht="11.25" customHeight="1">
      <c r="A34" s="343" t="s">
        <v>891</v>
      </c>
      <c r="B34" s="344"/>
      <c r="C34" s="826">
        <f>SUM(C29:C31)+C33</f>
        <v>57127776</v>
      </c>
      <c r="D34" s="826">
        <f t="shared" ref="D34:L34" si="2">SUM(D29:D31)+D33</f>
        <v>50845584</v>
      </c>
      <c r="E34" s="827">
        <f t="shared" si="2"/>
        <v>156475380</v>
      </c>
      <c r="F34" s="828">
        <f t="shared" si="2"/>
        <v>111232158</v>
      </c>
      <c r="G34" s="826">
        <f t="shared" si="2"/>
        <v>184525320</v>
      </c>
      <c r="H34" s="827">
        <f t="shared" si="2"/>
        <v>184525320</v>
      </c>
      <c r="I34" s="830">
        <f t="shared" si="2"/>
        <v>184525320</v>
      </c>
      <c r="J34" s="1136">
        <f t="shared" si="2"/>
        <v>147309824</v>
      </c>
      <c r="K34" s="826">
        <f t="shared" si="2"/>
        <v>111340984</v>
      </c>
      <c r="L34" s="827">
        <f t="shared" si="2"/>
        <v>82634662</v>
      </c>
    </row>
    <row r="35" spans="1:16" ht="5.0999999999999996" customHeight="1">
      <c r="A35" s="202"/>
      <c r="B35" s="294"/>
      <c r="C35" s="204"/>
      <c r="D35" s="204"/>
      <c r="E35" s="205"/>
      <c r="F35" s="206"/>
      <c r="G35" s="204"/>
      <c r="H35" s="205"/>
      <c r="I35" s="203"/>
      <c r="J35" s="207"/>
      <c r="K35" s="204"/>
      <c r="L35" s="205"/>
    </row>
    <row r="36" spans="1:16" ht="11.25" customHeight="1">
      <c r="A36" s="327" t="s">
        <v>1712</v>
      </c>
      <c r="B36" s="294"/>
      <c r="C36" s="219">
        <f>C15+C25+C34</f>
        <v>42894688</v>
      </c>
      <c r="D36" s="219">
        <f t="shared" ref="D36:L36" si="3">D15+D25+D34</f>
        <v>317603824</v>
      </c>
      <c r="E36" s="220">
        <f t="shared" si="3"/>
        <v>107001129</v>
      </c>
      <c r="F36" s="221">
        <f t="shared" si="3"/>
        <v>-70749266</v>
      </c>
      <c r="G36" s="219">
        <f t="shared" si="3"/>
        <v>285564647</v>
      </c>
      <c r="H36" s="220">
        <f t="shared" si="3"/>
        <v>285564647</v>
      </c>
      <c r="I36" s="218">
        <f t="shared" si="3"/>
        <v>285564647</v>
      </c>
      <c r="J36" s="222">
        <f t="shared" si="3"/>
        <v>26508672</v>
      </c>
      <c r="K36" s="219">
        <f t="shared" si="3"/>
        <v>206426820</v>
      </c>
      <c r="L36" s="220">
        <f t="shared" si="3"/>
        <v>244623923</v>
      </c>
    </row>
    <row r="37" spans="1:16" ht="11.25" customHeight="1">
      <c r="A37" s="191" t="s">
        <v>1010</v>
      </c>
      <c r="B37" s="294">
        <v>2</v>
      </c>
      <c r="C37" s="1743"/>
      <c r="D37" s="219">
        <f>C38</f>
        <v>42894688</v>
      </c>
      <c r="E37" s="346">
        <f>D38</f>
        <v>360498512</v>
      </c>
      <c r="F37" s="1712">
        <v>165250216</v>
      </c>
      <c r="G37" s="1743"/>
      <c r="H37" s="1744"/>
      <c r="I37" s="218">
        <f>G37</f>
        <v>0</v>
      </c>
      <c r="J37" s="1749">
        <v>212000000</v>
      </c>
      <c r="K37" s="219">
        <f>J38</f>
        <v>238508672</v>
      </c>
      <c r="L37" s="220">
        <f>K38</f>
        <v>444935492</v>
      </c>
    </row>
    <row r="38" spans="1:16" ht="11.25" customHeight="1">
      <c r="A38" s="1358" t="s">
        <v>1391</v>
      </c>
      <c r="B38" s="348">
        <v>2</v>
      </c>
      <c r="C38" s="284">
        <f>C36+C37</f>
        <v>42894688</v>
      </c>
      <c r="D38" s="349">
        <f>D36+D37</f>
        <v>360498512</v>
      </c>
      <c r="E38" s="285">
        <f>E36+E37</f>
        <v>467499641</v>
      </c>
      <c r="F38" s="286">
        <f t="shared" ref="F38:L38" si="4">F36+F37</f>
        <v>94500950</v>
      </c>
      <c r="G38" s="284">
        <f t="shared" si="4"/>
        <v>285564647</v>
      </c>
      <c r="H38" s="285">
        <f t="shared" si="4"/>
        <v>285564647</v>
      </c>
      <c r="I38" s="1051">
        <f t="shared" si="4"/>
        <v>285564647</v>
      </c>
      <c r="J38" s="350">
        <f t="shared" si="4"/>
        <v>238508672</v>
      </c>
      <c r="K38" s="284">
        <f t="shared" si="4"/>
        <v>444935492</v>
      </c>
      <c r="L38" s="285">
        <f t="shared" si="4"/>
        <v>689559415</v>
      </c>
    </row>
    <row r="39" spans="1:16" s="722" customFormat="1" ht="11.25" customHeight="1">
      <c r="A39" s="1276" t="str">
        <f>head27a</f>
        <v>References</v>
      </c>
      <c r="B39" s="1277"/>
      <c r="C39" s="1281"/>
      <c r="D39" s="1279"/>
      <c r="E39" s="1281"/>
      <c r="F39" s="1281"/>
      <c r="G39" s="1281"/>
      <c r="H39" s="1281"/>
      <c r="I39" s="1281"/>
      <c r="J39" s="1281"/>
      <c r="K39" s="1281"/>
      <c r="L39" s="1281"/>
      <c r="M39" s="150"/>
      <c r="N39" s="150"/>
      <c r="O39" s="150"/>
      <c r="P39" s="150"/>
    </row>
    <row r="40" spans="1:16" s="722" customFormat="1" ht="11.25" customHeight="1">
      <c r="A40" s="1238" t="s">
        <v>1219</v>
      </c>
      <c r="B40" s="1277"/>
      <c r="C40" s="1281"/>
      <c r="D40" s="1279"/>
      <c r="E40" s="1281"/>
      <c r="F40" s="1281"/>
      <c r="G40" s="1281"/>
      <c r="H40" s="1281"/>
      <c r="I40" s="1281"/>
      <c r="J40" s="1281"/>
      <c r="K40" s="1281"/>
      <c r="L40" s="1281"/>
      <c r="M40" s="150"/>
      <c r="N40" s="150"/>
      <c r="O40" s="150"/>
      <c r="P40" s="150"/>
    </row>
    <row r="41" spans="1:16" s="722" customFormat="1" ht="11.25" customHeight="1">
      <c r="A41" s="1238" t="s">
        <v>1011</v>
      </c>
      <c r="B41" s="1277"/>
      <c r="C41" s="1280"/>
      <c r="D41" s="1280"/>
      <c r="E41" s="1281"/>
      <c r="F41" s="1281"/>
      <c r="G41" s="1281"/>
      <c r="H41" s="1281"/>
      <c r="I41" s="1281"/>
      <c r="J41" s="1281"/>
      <c r="K41" s="1281"/>
      <c r="L41" s="1281"/>
      <c r="N41" s="150"/>
      <c r="O41" s="150"/>
      <c r="P41" s="150"/>
    </row>
    <row r="42" spans="1:16" ht="11.25" customHeight="1">
      <c r="A42" s="1307"/>
      <c r="B42" s="1237"/>
      <c r="C42" s="1283"/>
      <c r="D42" s="1283"/>
      <c r="E42" s="1309"/>
      <c r="F42" s="1284"/>
      <c r="G42" s="1284"/>
      <c r="H42" s="1284"/>
      <c r="I42" s="1284"/>
      <c r="J42" s="1284"/>
      <c r="K42" s="1284"/>
      <c r="L42" s="1284"/>
    </row>
    <row r="43" spans="1:16" ht="11.25" customHeight="1">
      <c r="A43" s="1308" t="s">
        <v>653</v>
      </c>
      <c r="B43" s="1277"/>
      <c r="C43" s="1268">
        <f>SUM(C6:C10)+SUM(C19:C21)</f>
        <v>1630221116</v>
      </c>
      <c r="D43" s="1268">
        <f t="shared" ref="D43:L43" si="5">SUM(D6:D10)+SUM(D19:D21)</f>
        <v>2536344406</v>
      </c>
      <c r="E43" s="1268">
        <f t="shared" si="5"/>
        <v>2168410990</v>
      </c>
      <c r="F43" s="1268">
        <f t="shared" si="5"/>
        <v>2168482427</v>
      </c>
      <c r="G43" s="1268">
        <f t="shared" si="5"/>
        <v>2499557885</v>
      </c>
      <c r="H43" s="1268">
        <f t="shared" si="5"/>
        <v>2499557885</v>
      </c>
      <c r="I43" s="1268">
        <f t="shared" si="5"/>
        <v>2499557885</v>
      </c>
      <c r="J43" s="1268">
        <f t="shared" si="5"/>
        <v>2713023287</v>
      </c>
      <c r="K43" s="1268">
        <f t="shared" si="5"/>
        <v>3091627716</v>
      </c>
      <c r="L43" s="1268">
        <f t="shared" si="5"/>
        <v>3217448015</v>
      </c>
    </row>
    <row r="44" spans="1:16" ht="11.25" customHeight="1">
      <c r="A44" s="1308" t="s">
        <v>274</v>
      </c>
      <c r="B44" s="1277"/>
      <c r="C44" s="1268">
        <f>SUM(C12:C14)+C24</f>
        <v>-1644617265</v>
      </c>
      <c r="D44" s="1268">
        <f t="shared" ref="D44:L44" si="6">SUM(D12:D14)+D24</f>
        <v>-2269586166</v>
      </c>
      <c r="E44" s="1268">
        <f t="shared" si="6"/>
        <v>-2217885241</v>
      </c>
      <c r="F44" s="1268">
        <f t="shared" si="6"/>
        <v>-2350139346</v>
      </c>
      <c r="G44" s="1268">
        <f t="shared" si="6"/>
        <v>-2398518558</v>
      </c>
      <c r="H44" s="1268">
        <f t="shared" si="6"/>
        <v>-2398518558</v>
      </c>
      <c r="I44" s="1268">
        <f t="shared" si="6"/>
        <v>-2398518558</v>
      </c>
      <c r="J44" s="1268">
        <f t="shared" si="6"/>
        <v>-2833824439</v>
      </c>
      <c r="K44" s="1268">
        <f t="shared" si="6"/>
        <v>-2996541880</v>
      </c>
      <c r="L44" s="1268">
        <f t="shared" si="6"/>
        <v>-3055458754</v>
      </c>
    </row>
    <row r="45" spans="1:16" ht="11.25" customHeight="1">
      <c r="A45" s="1308"/>
      <c r="B45" s="1277"/>
      <c r="C45" s="1268">
        <f>C43+C44</f>
        <v>-14396149</v>
      </c>
      <c r="D45" s="1268">
        <f t="shared" ref="D45:L45" si="7">D43+D44</f>
        <v>266758240</v>
      </c>
      <c r="E45" s="1268">
        <f t="shared" si="7"/>
        <v>-49474251</v>
      </c>
      <c r="F45" s="1268">
        <f t="shared" si="7"/>
        <v>-181656919</v>
      </c>
      <c r="G45" s="1268">
        <f t="shared" si="7"/>
        <v>101039327</v>
      </c>
      <c r="H45" s="1268">
        <f t="shared" si="7"/>
        <v>101039327</v>
      </c>
      <c r="I45" s="1268">
        <f t="shared" si="7"/>
        <v>101039327</v>
      </c>
      <c r="J45" s="1268">
        <f t="shared" si="7"/>
        <v>-120801152</v>
      </c>
      <c r="K45" s="1268">
        <f t="shared" si="7"/>
        <v>95085836</v>
      </c>
      <c r="L45" s="1268">
        <f t="shared" si="7"/>
        <v>161989261</v>
      </c>
    </row>
    <row r="46" spans="1:16" ht="11.25" customHeight="1">
      <c r="A46" s="1308" t="s">
        <v>361</v>
      </c>
      <c r="B46" s="717"/>
      <c r="C46" s="1268">
        <f>C22+C30+C31</f>
        <v>97748504</v>
      </c>
      <c r="D46" s="1268">
        <f t="shared" ref="D46:L46" si="8">D22+D30+D31</f>
        <v>132373397</v>
      </c>
      <c r="E46" s="1268">
        <f t="shared" si="8"/>
        <v>203888380</v>
      </c>
      <c r="F46" s="1268">
        <f t="shared" si="8"/>
        <v>159821930</v>
      </c>
      <c r="G46" s="1268">
        <f t="shared" si="8"/>
        <v>233439597</v>
      </c>
      <c r="H46" s="1268">
        <f t="shared" si="8"/>
        <v>233439597</v>
      </c>
      <c r="I46" s="1268">
        <f t="shared" si="8"/>
        <v>233439597</v>
      </c>
      <c r="J46" s="1268">
        <f t="shared" si="8"/>
        <v>186719200</v>
      </c>
      <c r="K46" s="1268">
        <f t="shared" si="8"/>
        <v>150750360</v>
      </c>
      <c r="L46" s="1268">
        <f t="shared" si="8"/>
        <v>122044038</v>
      </c>
    </row>
    <row r="47" spans="1:16" ht="11.25" customHeight="1">
      <c r="A47" s="1308" t="str">
        <f>A33</f>
        <v>Repayment of borrowing</v>
      </c>
      <c r="B47" s="717"/>
      <c r="C47" s="1268">
        <f>C33</f>
        <v>-40457667</v>
      </c>
      <c r="D47" s="1268">
        <f t="shared" ref="D47:L47" si="9">D33</f>
        <v>-81527813</v>
      </c>
      <c r="E47" s="1268">
        <f t="shared" si="9"/>
        <v>-47413000</v>
      </c>
      <c r="F47" s="1268">
        <f t="shared" si="9"/>
        <v>-48914277</v>
      </c>
      <c r="G47" s="1268">
        <f t="shared" si="9"/>
        <v>-48914277</v>
      </c>
      <c r="H47" s="1268">
        <f t="shared" si="9"/>
        <v>-48914277</v>
      </c>
      <c r="I47" s="1268">
        <f>I33</f>
        <v>-48914277</v>
      </c>
      <c r="J47" s="1268">
        <f t="shared" si="9"/>
        <v>-39409376</v>
      </c>
      <c r="K47" s="1268">
        <f t="shared" si="9"/>
        <v>-39409376</v>
      </c>
      <c r="L47" s="1268">
        <f t="shared" si="9"/>
        <v>-39409376</v>
      </c>
    </row>
    <row r="48" spans="1:16" ht="11.25" customHeight="1">
      <c r="A48" s="720"/>
      <c r="B48" s="717"/>
      <c r="C48" s="1268">
        <f>C45+C46+C47</f>
        <v>42894688</v>
      </c>
      <c r="D48" s="1268">
        <f t="shared" ref="D48:L48" si="10">D45+D46+D47</f>
        <v>317603824</v>
      </c>
      <c r="E48" s="1268">
        <f t="shared" si="10"/>
        <v>107001129</v>
      </c>
      <c r="F48" s="1268">
        <f t="shared" si="10"/>
        <v>-70749266</v>
      </c>
      <c r="G48" s="1268">
        <f t="shared" si="10"/>
        <v>285564647</v>
      </c>
      <c r="H48" s="1268">
        <f t="shared" si="10"/>
        <v>285564647</v>
      </c>
      <c r="I48" s="1268">
        <f t="shared" si="10"/>
        <v>285564647</v>
      </c>
      <c r="J48" s="1268">
        <f t="shared" si="10"/>
        <v>26508672</v>
      </c>
      <c r="K48" s="1268">
        <f t="shared" si="10"/>
        <v>206426820</v>
      </c>
      <c r="L48" s="1268">
        <f t="shared" si="10"/>
        <v>244623923</v>
      </c>
    </row>
    <row r="49" spans="1:12" ht="11.25" customHeight="1">
      <c r="A49" s="720"/>
      <c r="B49" s="717"/>
      <c r="C49" s="1312">
        <f t="shared" ref="C49:L49" si="11">C36-C48</f>
        <v>0</v>
      </c>
      <c r="D49" s="1312">
        <f t="shared" si="11"/>
        <v>0</v>
      </c>
      <c r="E49" s="1312">
        <f t="shared" si="11"/>
        <v>0</v>
      </c>
      <c r="F49" s="1312">
        <f t="shared" si="11"/>
        <v>0</v>
      </c>
      <c r="G49" s="1312">
        <f t="shared" si="11"/>
        <v>0</v>
      </c>
      <c r="H49" s="1312">
        <f t="shared" si="11"/>
        <v>0</v>
      </c>
      <c r="I49" s="1312">
        <f t="shared" si="11"/>
        <v>0</v>
      </c>
      <c r="J49" s="1312">
        <f t="shared" si="11"/>
        <v>0</v>
      </c>
      <c r="K49" s="1312">
        <f t="shared" si="11"/>
        <v>0</v>
      </c>
      <c r="L49" s="1312">
        <f t="shared" si="11"/>
        <v>0</v>
      </c>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A35B"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workbookViewId="0">
      <pane xSplit="2" ySplit="3" topLeftCell="C4" activePane="bottomRight" state="frozen"/>
      <selection pane="topRight" activeCell="C1" sqref="C1"/>
      <selection pane="bottomLeft" activeCell="A4" sqref="A4"/>
      <selection pane="bottomRight" activeCell="J56" sqref="J56"/>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2" s="180" customFormat="1">
      <c r="A1" s="148" t="str">
        <f>muni&amp;" - "&amp;Approve8</f>
        <v>KZN225 Msunduzi - Table A8 Cash backed reserves/accumulated surplus reconciliation</v>
      </c>
      <c r="B1" s="148"/>
      <c r="C1" s="148"/>
      <c r="D1" s="148"/>
      <c r="E1" s="148"/>
      <c r="F1" s="148"/>
      <c r="G1" s="148"/>
      <c r="H1" s="148"/>
      <c r="I1" s="148"/>
      <c r="J1" s="148"/>
      <c r="K1" s="148"/>
      <c r="L1" s="148"/>
    </row>
    <row r="2" spans="1:12" ht="28.5" customHeight="1">
      <c r="A2" s="1001" t="str">
        <f>desc</f>
        <v>Description</v>
      </c>
      <c r="B2" s="422"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2" ht="25.5">
      <c r="A3" s="181" t="s">
        <v>703</v>
      </c>
      <c r="B3" s="1016"/>
      <c r="C3" s="393" t="str">
        <f>Head5</f>
        <v>Audited Outcome</v>
      </c>
      <c r="D3" s="393" t="str">
        <f>Head5</f>
        <v>Audited Outcome</v>
      </c>
      <c r="E3" s="394" t="str">
        <f>Head5</f>
        <v>Audited Outcome</v>
      </c>
      <c r="F3" s="300" t="str">
        <f>Head6</f>
        <v>Original Budget</v>
      </c>
      <c r="G3" s="393" t="str">
        <f>Head7</f>
        <v>Adjusted Budget</v>
      </c>
      <c r="H3" s="394" t="str">
        <f>Head8</f>
        <v>Full Year Forecast</v>
      </c>
      <c r="I3" s="392" t="str">
        <f>Head5b</f>
        <v>Pre-audit outcome</v>
      </c>
      <c r="J3" s="300" t="str">
        <f>Head9</f>
        <v>Budget Year 2011/12</v>
      </c>
      <c r="K3" s="393" t="str">
        <f>Head10</f>
        <v>Budget Year +1 2012/13</v>
      </c>
      <c r="L3" s="394" t="str">
        <f>Head11</f>
        <v>Budget Year +2 2013/14</v>
      </c>
    </row>
    <row r="4" spans="1:12">
      <c r="A4" s="250" t="s">
        <v>1308</v>
      </c>
      <c r="B4" s="351"/>
      <c r="C4" s="208"/>
      <c r="D4" s="208"/>
      <c r="E4" s="265"/>
      <c r="F4" s="252"/>
      <c r="G4" s="208"/>
      <c r="H4" s="265"/>
      <c r="I4" s="211"/>
      <c r="J4" s="352"/>
      <c r="K4" s="208"/>
      <c r="L4" s="265"/>
    </row>
    <row r="5" spans="1:12" ht="11.25" customHeight="1">
      <c r="A5" s="251" t="str">
        <f>LEFT('A7-CFlow'!A38,37)</f>
        <v>Cash/cash equivalents at the year end</v>
      </c>
      <c r="B5" s="351">
        <v>1</v>
      </c>
      <c r="C5" s="208">
        <f>'A7-CFlow'!C38</f>
        <v>42894688</v>
      </c>
      <c r="D5" s="208">
        <f>'A7-CFlow'!D38</f>
        <v>360498512</v>
      </c>
      <c r="E5" s="265">
        <f>'A7-CFlow'!E38</f>
        <v>467499641</v>
      </c>
      <c r="F5" s="252">
        <f>'A7-CFlow'!F38</f>
        <v>94500950</v>
      </c>
      <c r="G5" s="208">
        <f>'A7-CFlow'!G38</f>
        <v>285564647</v>
      </c>
      <c r="H5" s="265">
        <f>'A7-CFlow'!H38</f>
        <v>285564647</v>
      </c>
      <c r="I5" s="211">
        <f>'A7-CFlow'!I38</f>
        <v>285564647</v>
      </c>
      <c r="J5" s="212">
        <f>'A7-CFlow'!J38</f>
        <v>238508672</v>
      </c>
      <c r="K5" s="208">
        <f>'A7-CFlow'!K38</f>
        <v>444935492</v>
      </c>
      <c r="L5" s="265">
        <f>'A7-CFlow'!L38</f>
        <v>689559415</v>
      </c>
    </row>
    <row r="6" spans="1:12" ht="11.25" customHeight="1">
      <c r="A6" s="191" t="s">
        <v>1708</v>
      </c>
      <c r="B6" s="351"/>
      <c r="C6" s="208">
        <f>'A6-FinPos'!C6+'A6-FinPos'!C7-'A6-FinPos'!C29-'A8-ResRecon'!C5</f>
        <v>220950738</v>
      </c>
      <c r="D6" s="208">
        <f>'A6-FinPos'!D6+'A6-FinPos'!D7-'A6-FinPos'!D29-'A8-ResRecon'!D5</f>
        <v>-245771512</v>
      </c>
      <c r="E6" s="265">
        <f>'A6-FinPos'!E6+'A6-FinPos'!E7-'A6-FinPos'!E29-'A8-ResRecon'!E5</f>
        <v>-327615641</v>
      </c>
      <c r="F6" s="252">
        <f>'A6-FinPos'!F6+'A6-FinPos'!F7-'A6-FinPos'!F29-'A8-ResRecon'!F5</f>
        <v>31731581</v>
      </c>
      <c r="G6" s="208">
        <f>'A6-FinPos'!G6+'A6-FinPos'!G7-'A6-FinPos'!G29-'A8-ResRecon'!G5</f>
        <v>-130966116</v>
      </c>
      <c r="H6" s="265">
        <f>'A6-FinPos'!H6+'A6-FinPos'!H7-'A6-FinPos'!H29-'A8-ResRecon'!H5</f>
        <v>-130966116</v>
      </c>
      <c r="I6" s="211">
        <f>'A6-FinPos'!I6+'A6-FinPos'!I7-'A6-FinPos'!I29-'A8-ResRecon'!I5</f>
        <v>-130966116</v>
      </c>
      <c r="J6" s="212">
        <f>'A6-FinPos'!J6+'A6-FinPos'!J7-'A6-FinPos'!J29-'A8-ResRecon'!J5</f>
        <v>-62325672</v>
      </c>
      <c r="K6" s="208">
        <f>'A6-FinPos'!K6+'A6-FinPos'!K7-'A6-FinPos'!K29-'A8-ResRecon'!K5</f>
        <v>-263193892</v>
      </c>
      <c r="L6" s="265">
        <f>'A6-FinPos'!L6+'A6-FinPos'!L7-'A6-FinPos'!L29-'A8-ResRecon'!L5</f>
        <v>-503510415</v>
      </c>
    </row>
    <row r="7" spans="1:12" ht="11.25" customHeight="1">
      <c r="A7" s="251" t="str">
        <f>'A6-FinPos'!A14&amp;" - "&amp;'A6-FinPos'!A16</f>
        <v>Non current assets - Investments</v>
      </c>
      <c r="B7" s="351">
        <v>1</v>
      </c>
      <c r="C7" s="208">
        <f>'A6-FinPos'!C16</f>
        <v>1934689</v>
      </c>
      <c r="D7" s="208">
        <f>'A6-FinPos'!D16</f>
        <v>71000</v>
      </c>
      <c r="E7" s="265">
        <f>'A6-FinPos'!E16</f>
        <v>0</v>
      </c>
      <c r="F7" s="259">
        <f>'A6-FinPos'!F16</f>
        <v>2034000</v>
      </c>
      <c r="G7" s="257">
        <f>'A6-FinPos'!G16</f>
        <v>2034000</v>
      </c>
      <c r="H7" s="263">
        <f>'A6-FinPos'!H16</f>
        <v>2034000</v>
      </c>
      <c r="I7" s="211">
        <f>'A6-FinPos'!I16</f>
        <v>2034000</v>
      </c>
      <c r="J7" s="264">
        <f>'A6-FinPos'!J16</f>
        <v>2162000</v>
      </c>
      <c r="K7" s="257">
        <f>'A6-FinPos'!K16</f>
        <v>2291000</v>
      </c>
      <c r="L7" s="263">
        <f>'A6-FinPos'!L16</f>
        <v>2420000</v>
      </c>
    </row>
    <row r="8" spans="1:12" ht="11.25" customHeight="1">
      <c r="A8" s="810" t="s">
        <v>1309</v>
      </c>
      <c r="B8" s="825"/>
      <c r="C8" s="826">
        <f>SUM(C5:C7)</f>
        <v>265780115</v>
      </c>
      <c r="D8" s="826">
        <f t="shared" ref="D8:L8" si="0">SUM(D5:D7)</f>
        <v>114798000</v>
      </c>
      <c r="E8" s="827">
        <f t="shared" si="0"/>
        <v>139884000</v>
      </c>
      <c r="F8" s="828">
        <f t="shared" si="0"/>
        <v>128266531</v>
      </c>
      <c r="G8" s="826">
        <f t="shared" si="0"/>
        <v>156632531</v>
      </c>
      <c r="H8" s="827">
        <f t="shared" si="0"/>
        <v>156632531</v>
      </c>
      <c r="I8" s="830">
        <f t="shared" si="0"/>
        <v>156632531</v>
      </c>
      <c r="J8" s="1136">
        <f t="shared" si="0"/>
        <v>178345000</v>
      </c>
      <c r="K8" s="826">
        <f t="shared" si="0"/>
        <v>184032600</v>
      </c>
      <c r="L8" s="827">
        <f t="shared" si="0"/>
        <v>188469000</v>
      </c>
    </row>
    <row r="9" spans="1:12" ht="5.0999999999999996" customHeight="1">
      <c r="A9" s="274"/>
      <c r="B9" s="351"/>
      <c r="C9" s="208"/>
      <c r="D9" s="208"/>
      <c r="E9" s="265"/>
      <c r="F9" s="252"/>
      <c r="G9" s="208"/>
      <c r="H9" s="265"/>
      <c r="I9" s="211"/>
      <c r="J9" s="212"/>
      <c r="K9" s="208"/>
      <c r="L9" s="265"/>
    </row>
    <row r="10" spans="1:12" ht="11.25" customHeight="1">
      <c r="A10" s="250" t="s">
        <v>1220</v>
      </c>
      <c r="B10" s="351"/>
      <c r="C10" s="208"/>
      <c r="D10" s="208"/>
      <c r="E10" s="265"/>
      <c r="F10" s="252"/>
      <c r="G10" s="208"/>
      <c r="H10" s="265"/>
      <c r="I10" s="211"/>
      <c r="J10" s="212"/>
      <c r="K10" s="208"/>
      <c r="L10" s="265"/>
    </row>
    <row r="11" spans="1:12" ht="11.25" customHeight="1">
      <c r="A11" s="251" t="str">
        <f>'SA3'!A36</f>
        <v>Unspent conditional transfers</v>
      </c>
      <c r="B11" s="351"/>
      <c r="C11" s="257">
        <f>'SA3'!C36</f>
        <v>124585407</v>
      </c>
      <c r="D11" s="208">
        <f>'SA3'!D36</f>
        <v>102271128</v>
      </c>
      <c r="E11" s="265">
        <f>'SA3'!E36</f>
        <v>140882033</v>
      </c>
      <c r="F11" s="252">
        <f>'SA3'!F36</f>
        <v>73567000</v>
      </c>
      <c r="G11" s="208">
        <f>'SA3'!G36</f>
        <v>73567000</v>
      </c>
      <c r="H11" s="265">
        <f>'SA3'!H36</f>
        <v>73567000</v>
      </c>
      <c r="I11" s="211">
        <f>'SA3'!I36</f>
        <v>73567000</v>
      </c>
      <c r="J11" s="212">
        <f>'SA3'!J36</f>
        <v>0</v>
      </c>
      <c r="K11" s="208">
        <f>'SA3'!K36</f>
        <v>0</v>
      </c>
      <c r="L11" s="265">
        <f>'SA3'!L36</f>
        <v>0</v>
      </c>
    </row>
    <row r="12" spans="1:12" ht="11.25" customHeight="1">
      <c r="A12" s="251" t="s">
        <v>159</v>
      </c>
      <c r="B12" s="351"/>
      <c r="C12" s="2244">
        <f>-[4]SA3!C36-[4]SA3!C37</f>
        <v>-114754142</v>
      </c>
      <c r="D12" s="2244">
        <f>-[4]SA3!D36-[4]SA3!D37</f>
        <v>-92781529</v>
      </c>
      <c r="E12" s="2244">
        <f>-[4]SA3!E36-[4]SA3!E37</f>
        <v>-130037596</v>
      </c>
      <c r="F12" s="1735"/>
      <c r="G12" s="1733"/>
      <c r="H12" s="1734"/>
      <c r="I12" s="1736"/>
      <c r="J12" s="2244"/>
      <c r="K12" s="1733"/>
      <c r="L12" s="1734"/>
    </row>
    <row r="13" spans="1:12" ht="11.25" customHeight="1">
      <c r="A13" s="251" t="s">
        <v>1221</v>
      </c>
      <c r="B13" s="351">
        <v>2</v>
      </c>
      <c r="C13" s="2242">
        <v>5452000</v>
      </c>
      <c r="D13" s="2243">
        <v>27723000</v>
      </c>
      <c r="E13" s="2246">
        <v>5672000</v>
      </c>
      <c r="F13" s="1735"/>
      <c r="G13" s="1733"/>
      <c r="H13" s="1734"/>
      <c r="I13" s="1736"/>
      <c r="J13" s="2246"/>
      <c r="K13" s="1733"/>
      <c r="L13" s="1734"/>
    </row>
    <row r="14" spans="1:12" ht="11.25" customHeight="1">
      <c r="A14" s="251" t="s">
        <v>417</v>
      </c>
      <c r="B14" s="351">
        <v>3</v>
      </c>
      <c r="C14" s="208">
        <f>-C32</f>
        <v>193035066</v>
      </c>
      <c r="D14" s="208">
        <f t="shared" ref="D14:L14" si="1">-D32</f>
        <v>7441744</v>
      </c>
      <c r="E14" s="265">
        <f t="shared" si="1"/>
        <v>303267115</v>
      </c>
      <c r="F14" s="252">
        <f t="shared" si="1"/>
        <v>-89702000</v>
      </c>
      <c r="G14" s="208">
        <f t="shared" si="1"/>
        <v>-167196000</v>
      </c>
      <c r="H14" s="265">
        <f t="shared" si="1"/>
        <v>-167196000</v>
      </c>
      <c r="I14" s="211">
        <f>-I32</f>
        <v>-167196000</v>
      </c>
      <c r="J14" s="212">
        <f t="shared" si="1"/>
        <v>-263451000</v>
      </c>
      <c r="K14" s="208">
        <f t="shared" si="1"/>
        <v>-399445150</v>
      </c>
      <c r="L14" s="265">
        <f t="shared" si="1"/>
        <v>-458348913</v>
      </c>
    </row>
    <row r="15" spans="1:12" ht="11.25" customHeight="1">
      <c r="A15" s="251" t="s">
        <v>617</v>
      </c>
      <c r="B15" s="351"/>
      <c r="C15" s="2242">
        <v>861000</v>
      </c>
      <c r="D15" s="2243">
        <v>1988000</v>
      </c>
      <c r="E15" s="1734"/>
      <c r="F15" s="1735"/>
      <c r="G15" s="1733"/>
      <c r="H15" s="1734"/>
      <c r="I15" s="1736"/>
      <c r="J15" s="1737"/>
      <c r="K15" s="1733"/>
      <c r="L15" s="1734"/>
    </row>
    <row r="16" spans="1:12" ht="11.25" customHeight="1">
      <c r="A16" s="251" t="s">
        <v>418</v>
      </c>
      <c r="B16" s="351">
        <v>4</v>
      </c>
      <c r="C16" s="208">
        <f>C52</f>
        <v>0</v>
      </c>
      <c r="D16" s="208">
        <f t="shared" ref="D16:L16" si="2">D52</f>
        <v>0</v>
      </c>
      <c r="E16" s="265">
        <f t="shared" si="2"/>
        <v>0</v>
      </c>
      <c r="F16" s="259">
        <f t="shared" si="2"/>
        <v>0</v>
      </c>
      <c r="G16" s="257">
        <f t="shared" si="2"/>
        <v>0</v>
      </c>
      <c r="H16" s="263">
        <f t="shared" si="2"/>
        <v>0</v>
      </c>
      <c r="I16" s="262">
        <f t="shared" si="2"/>
        <v>0</v>
      </c>
      <c r="J16" s="264">
        <f t="shared" si="2"/>
        <v>0</v>
      </c>
      <c r="K16" s="257">
        <f t="shared" si="2"/>
        <v>0</v>
      </c>
      <c r="L16" s="263">
        <f t="shared" si="2"/>
        <v>0</v>
      </c>
    </row>
    <row r="17" spans="1:14" ht="11.25" customHeight="1">
      <c r="A17" s="251" t="s">
        <v>1310</v>
      </c>
      <c r="B17" s="351">
        <v>5</v>
      </c>
      <c r="C17" s="1081">
        <v>120410000</v>
      </c>
      <c r="D17" s="1082">
        <v>179558000</v>
      </c>
      <c r="E17" s="1084">
        <v>127130000</v>
      </c>
      <c r="F17" s="1731"/>
      <c r="G17" s="1708"/>
      <c r="H17" s="1730"/>
      <c r="I17" s="1732"/>
      <c r="J17" s="1081"/>
      <c r="K17" s="1708"/>
      <c r="L17" s="1730"/>
    </row>
    <row r="18" spans="1:14" ht="11.25" customHeight="1">
      <c r="A18" s="810" t="str">
        <f>"Total "&amp;A10&amp;":"</f>
        <v>Total Application of cash and investments:</v>
      </c>
      <c r="B18" s="825"/>
      <c r="C18" s="826">
        <f>SUM(C11:C17)</f>
        <v>329589331</v>
      </c>
      <c r="D18" s="826">
        <f t="shared" ref="D18:L18" si="3">SUM(D11:D17)</f>
        <v>226200343</v>
      </c>
      <c r="E18" s="827">
        <f t="shared" si="3"/>
        <v>446913552</v>
      </c>
      <c r="F18" s="828">
        <f t="shared" si="3"/>
        <v>-16135000</v>
      </c>
      <c r="G18" s="826">
        <f t="shared" si="3"/>
        <v>-93629000</v>
      </c>
      <c r="H18" s="827">
        <f t="shared" si="3"/>
        <v>-93629000</v>
      </c>
      <c r="I18" s="830">
        <f t="shared" si="3"/>
        <v>-93629000</v>
      </c>
      <c r="J18" s="1136">
        <f t="shared" si="3"/>
        <v>-263451000</v>
      </c>
      <c r="K18" s="826">
        <f t="shared" si="3"/>
        <v>-399445150</v>
      </c>
      <c r="L18" s="827">
        <f t="shared" si="3"/>
        <v>-458348913</v>
      </c>
      <c r="N18" s="357"/>
    </row>
    <row r="19" spans="1:14" ht="11.25" customHeight="1">
      <c r="A19" s="400" t="s">
        <v>300</v>
      </c>
      <c r="B19" s="401"/>
      <c r="C19" s="349">
        <f>C8-C18</f>
        <v>-63809216</v>
      </c>
      <c r="D19" s="349">
        <f t="shared" ref="D19:L19" si="4">D8-D18</f>
        <v>-111402343</v>
      </c>
      <c r="E19" s="1137">
        <f t="shared" si="4"/>
        <v>-307029552</v>
      </c>
      <c r="F19" s="1138">
        <f t="shared" si="4"/>
        <v>144401531</v>
      </c>
      <c r="G19" s="349">
        <f t="shared" si="4"/>
        <v>250261531</v>
      </c>
      <c r="H19" s="1137">
        <f t="shared" si="4"/>
        <v>250261531</v>
      </c>
      <c r="I19" s="1051">
        <f t="shared" si="4"/>
        <v>250261531</v>
      </c>
      <c r="J19" s="350">
        <f t="shared" si="4"/>
        <v>441796000</v>
      </c>
      <c r="K19" s="349">
        <f t="shared" si="4"/>
        <v>583477750</v>
      </c>
      <c r="L19" s="1137">
        <f t="shared" si="4"/>
        <v>646817913</v>
      </c>
      <c r="N19" s="357"/>
    </row>
    <row r="20" spans="1:14" ht="11.25" customHeight="1">
      <c r="A20" s="358" t="str">
        <f>head27a</f>
        <v>References</v>
      </c>
      <c r="B20" s="150"/>
      <c r="C20" s="311"/>
      <c r="D20" s="311"/>
      <c r="E20" s="311"/>
      <c r="F20" s="311"/>
      <c r="G20" s="311"/>
      <c r="H20" s="311"/>
      <c r="I20" s="311"/>
      <c r="J20" s="311"/>
      <c r="K20" s="311"/>
      <c r="L20" s="311"/>
    </row>
    <row r="21" spans="1:14" ht="11.25" customHeight="1">
      <c r="A21" s="359" t="s">
        <v>1620</v>
      </c>
      <c r="B21" s="150"/>
    </row>
    <row r="22" spans="1:14" ht="11.25" customHeight="1">
      <c r="A22" s="359" t="s">
        <v>1222</v>
      </c>
      <c r="B22" s="150"/>
    </row>
    <row r="23" spans="1:14" ht="11.25" customHeight="1">
      <c r="A23" s="359" t="s">
        <v>306</v>
      </c>
      <c r="B23" s="150"/>
    </row>
    <row r="24" spans="1:14" ht="11.25" customHeight="1">
      <c r="A24" s="359" t="s">
        <v>310</v>
      </c>
      <c r="B24" s="150"/>
    </row>
    <row r="25" spans="1:14" ht="11.25" customHeight="1">
      <c r="A25" s="359" t="s">
        <v>309</v>
      </c>
      <c r="B25" s="150"/>
    </row>
    <row r="26" spans="1:14" ht="6" customHeight="1">
      <c r="B26" s="150"/>
    </row>
    <row r="27" spans="1:14" ht="11.25" customHeight="1">
      <c r="A27" s="360" t="s">
        <v>307</v>
      </c>
      <c r="B27" s="150"/>
    </row>
    <row r="28" spans="1:14" ht="11.25" customHeight="1">
      <c r="A28" s="361" t="s">
        <v>672</v>
      </c>
      <c r="B28" s="150"/>
    </row>
    <row r="29" spans="1:14" ht="11.25" customHeight="1">
      <c r="A29" s="362" t="s">
        <v>1033</v>
      </c>
      <c r="B29" s="150"/>
      <c r="C29" s="1732">
        <f t="shared" ref="C29:L29" si="5">IF(ISERROR(ROUND(C35*C36,-3)),0,(ROUND(C35*C36,-3)))</f>
        <v>188126000</v>
      </c>
      <c r="D29" s="1732">
        <f t="shared" si="5"/>
        <v>413403000</v>
      </c>
      <c r="E29" s="1732">
        <f t="shared" si="5"/>
        <v>157362000</v>
      </c>
      <c r="F29" s="1732">
        <f t="shared" si="5"/>
        <v>381950000</v>
      </c>
      <c r="G29" s="1732">
        <f t="shared" si="5"/>
        <v>460144000</v>
      </c>
      <c r="H29" s="1732">
        <f t="shared" si="5"/>
        <v>460144000</v>
      </c>
      <c r="I29" s="1732">
        <f t="shared" si="5"/>
        <v>460144000</v>
      </c>
      <c r="J29" s="1732">
        <f t="shared" si="5"/>
        <v>483510000</v>
      </c>
      <c r="K29" s="1732">
        <f t="shared" si="5"/>
        <v>628549000</v>
      </c>
      <c r="L29" s="1732">
        <f t="shared" si="5"/>
        <v>700704000</v>
      </c>
    </row>
    <row r="30" spans="1:14" ht="11.25" customHeight="1">
      <c r="A30" s="362" t="s">
        <v>1034</v>
      </c>
      <c r="B30" s="150"/>
      <c r="C30" s="1732">
        <f>ROUND(C37*(1-C38),-3)</f>
        <v>44299000</v>
      </c>
      <c r="D30" s="1732">
        <f t="shared" ref="D30:L30" si="6">ROUND(D37*(1-D38),-3)</f>
        <v>18936000</v>
      </c>
      <c r="E30" s="1732">
        <f t="shared" si="6"/>
        <v>28690000</v>
      </c>
      <c r="F30" s="1732">
        <f t="shared" si="6"/>
        <v>46464000</v>
      </c>
      <c r="G30" s="1732">
        <f t="shared" si="6"/>
        <v>46464000</v>
      </c>
      <c r="H30" s="1732">
        <f t="shared" si="6"/>
        <v>46464000</v>
      </c>
      <c r="I30" s="1732">
        <f t="shared" si="6"/>
        <v>46464000</v>
      </c>
      <c r="J30" s="1732">
        <f t="shared" si="6"/>
        <v>49391000</v>
      </c>
      <c r="K30" s="1732">
        <f t="shared" si="6"/>
        <v>52355000</v>
      </c>
      <c r="L30" s="1732">
        <f t="shared" si="6"/>
        <v>55319000</v>
      </c>
    </row>
    <row r="31" spans="1:14" ht="11.25" customHeight="1">
      <c r="A31" s="362" t="s">
        <v>1352</v>
      </c>
      <c r="B31" s="150"/>
      <c r="C31" s="1732">
        <f>-'A6-FinPos'!C32</f>
        <v>-425460066</v>
      </c>
      <c r="D31" s="1732">
        <f>-'A6-FinPos'!D32</f>
        <v>-439780744</v>
      </c>
      <c r="E31" s="1732">
        <f>-'A6-FinPos'!E32</f>
        <v>-489319115</v>
      </c>
      <c r="F31" s="1732">
        <f>-'A6-FinPos'!F32</f>
        <v>-338712000</v>
      </c>
      <c r="G31" s="1732">
        <f>-'A6-FinPos'!G32</f>
        <v>-339412000</v>
      </c>
      <c r="H31" s="1732">
        <f>-'A6-FinPos'!H32</f>
        <v>-339412000</v>
      </c>
      <c r="I31" s="1732">
        <f>-'A6-FinPos'!I32</f>
        <v>-339412000</v>
      </c>
      <c r="J31" s="1732">
        <f>-'A6-FinPos'!J32</f>
        <v>-269450000</v>
      </c>
      <c r="K31" s="1732">
        <f>-'A6-FinPos'!K32</f>
        <v>-281458850</v>
      </c>
      <c r="L31" s="1732">
        <f>-'A6-FinPos'!L32</f>
        <v>-297674087</v>
      </c>
    </row>
    <row r="32" spans="1:14" ht="11.25" customHeight="1" thickBot="1">
      <c r="A32" s="362" t="s">
        <v>822</v>
      </c>
      <c r="B32" s="150"/>
      <c r="C32" s="363">
        <f>IF(ISERROR(SUM(C29:C31)),0,(SUM(C29:C31)))</f>
        <v>-193035066</v>
      </c>
      <c r="D32" s="363">
        <f t="shared" ref="D32:L32" si="7">SUM(D29:D31)</f>
        <v>-7441744</v>
      </c>
      <c r="E32" s="363">
        <f t="shared" si="7"/>
        <v>-303267115</v>
      </c>
      <c r="F32" s="363">
        <f t="shared" si="7"/>
        <v>89702000</v>
      </c>
      <c r="G32" s="363">
        <f t="shared" si="7"/>
        <v>167196000</v>
      </c>
      <c r="H32" s="363">
        <f t="shared" si="7"/>
        <v>167196000</v>
      </c>
      <c r="I32" s="363">
        <f t="shared" si="7"/>
        <v>167196000</v>
      </c>
      <c r="J32" s="363">
        <f t="shared" si="7"/>
        <v>263451000</v>
      </c>
      <c r="K32" s="363">
        <f t="shared" si="7"/>
        <v>399445150</v>
      </c>
      <c r="L32" s="363">
        <f t="shared" si="7"/>
        <v>458348913</v>
      </c>
    </row>
    <row r="33" spans="1:12" ht="6" customHeight="1" thickTop="1">
      <c r="B33" s="150"/>
      <c r="C33" s="364"/>
      <c r="D33" s="364"/>
      <c r="E33" s="364"/>
      <c r="F33" s="364"/>
      <c r="G33" s="364"/>
      <c r="H33" s="364"/>
      <c r="I33" s="364"/>
      <c r="J33" s="364"/>
      <c r="K33" s="364"/>
      <c r="L33" s="364"/>
    </row>
    <row r="34" spans="1:12" ht="11.25" customHeight="1">
      <c r="A34" s="361" t="s">
        <v>311</v>
      </c>
      <c r="B34" s="150"/>
      <c r="C34" s="364"/>
      <c r="D34" s="364"/>
      <c r="E34" s="364"/>
      <c r="F34" s="364"/>
      <c r="G34" s="364"/>
      <c r="H34" s="364"/>
      <c r="I34" s="364"/>
      <c r="J34" s="364"/>
      <c r="K34" s="364"/>
      <c r="L34" s="364"/>
    </row>
    <row r="35" spans="1:12" ht="11.25" customHeight="1">
      <c r="A35" s="362" t="s">
        <v>1353</v>
      </c>
      <c r="B35" s="150"/>
      <c r="C35" s="211">
        <f>'A6-FinPos'!C8</f>
        <v>256839290</v>
      </c>
      <c r="D35" s="211">
        <f>'A6-FinPos'!D8</f>
        <v>320310000</v>
      </c>
      <c r="E35" s="211">
        <f>'A6-FinPos'!E8</f>
        <v>214803293</v>
      </c>
      <c r="F35" s="211">
        <f>'A6-FinPos'!F8</f>
        <v>539380640</v>
      </c>
      <c r="G35" s="211">
        <f>'A6-FinPos'!G8</f>
        <v>738193000</v>
      </c>
      <c r="H35" s="211">
        <f>'A6-FinPos'!H8</f>
        <v>738193000</v>
      </c>
      <c r="I35" s="211">
        <f>'A6-FinPos'!I8</f>
        <v>738193000</v>
      </c>
      <c r="J35" s="211">
        <f>'A6-FinPos'!J8</f>
        <v>763275800</v>
      </c>
      <c r="K35" s="211">
        <f>'A6-FinPos'!K8</f>
        <v>844747188</v>
      </c>
      <c r="L35" s="211">
        <f>'A6-FinPos'!L8</f>
        <v>925427669</v>
      </c>
    </row>
    <row r="36" spans="1:12" ht="11.25" customHeight="1">
      <c r="A36" s="362" t="s">
        <v>1365</v>
      </c>
      <c r="B36" s="150"/>
      <c r="C36" s="365">
        <f>IF(ISERROR('SA10'!D10),0,('SA10'!D10))</f>
        <v>0.73246706412043328</v>
      </c>
      <c r="D36" s="365">
        <f>IF(ISERROR('SA10'!E10),0,('SA10'!E10))</f>
        <v>1.2906338039933059</v>
      </c>
      <c r="E36" s="365">
        <f>IF(ISERROR('SA10'!F10),0,('SA10'!F10))</f>
        <v>0.73258526992345085</v>
      </c>
      <c r="F36" s="365">
        <f>IF(ISERROR('SA10'!G10),0,('SA10'!G10))</f>
        <v>0.70812749716966639</v>
      </c>
      <c r="G36" s="365">
        <f>IF(ISERROR('SA10'!H10),0,('SA10'!H10))</f>
        <v>0.62333775712809492</v>
      </c>
      <c r="H36" s="365">
        <f>IF(ISERROR('SA10'!I10),0,('SA10'!I10))</f>
        <v>0.62333775751173515</v>
      </c>
      <c r="I36" s="365">
        <f>IF(ISERROR('SA10'!J10),0,('SA10'!J10))</f>
        <v>0.62333775789537538</v>
      </c>
      <c r="J36" s="365">
        <f>IF(ISERROR('SA10'!K10),0,('SA10'!K10))</f>
        <v>0.63346705637084</v>
      </c>
      <c r="K36" s="365">
        <f>IF(ISERROR('SA10'!L10),0,('SA10'!L10))</f>
        <v>0.74406803332457083</v>
      </c>
      <c r="L36" s="365">
        <f>IF(ISERROR('SA10'!M10),0,('SA10'!M10))</f>
        <v>0.75716828374791023</v>
      </c>
    </row>
    <row r="37" spans="1:12" ht="11.25" customHeight="1">
      <c r="A37" s="362" t="s">
        <v>1989</v>
      </c>
      <c r="B37" s="150"/>
      <c r="C37" s="211">
        <f>'A6-FinPos'!C9</f>
        <v>44299357</v>
      </c>
      <c r="D37" s="211">
        <f>'A6-FinPos'!D9</f>
        <v>18936000</v>
      </c>
      <c r="E37" s="211">
        <f>'A6-FinPos'!E9</f>
        <v>28690000</v>
      </c>
      <c r="F37" s="211">
        <f>'A6-FinPos'!F9</f>
        <v>46464000</v>
      </c>
      <c r="G37" s="211">
        <f>'A6-FinPos'!G9</f>
        <v>46464000</v>
      </c>
      <c r="H37" s="211">
        <f>'A6-FinPos'!H9</f>
        <v>46464000</v>
      </c>
      <c r="I37" s="211">
        <f>'A6-FinPos'!I9</f>
        <v>46464000</v>
      </c>
      <c r="J37" s="211">
        <f>'A6-FinPos'!J9</f>
        <v>49391000</v>
      </c>
      <c r="K37" s="211">
        <f>'A6-FinPos'!K9</f>
        <v>52355000</v>
      </c>
      <c r="L37" s="211">
        <f>'A6-FinPos'!L9</f>
        <v>55319000</v>
      </c>
    </row>
    <row r="38" spans="1:12" ht="11.25" customHeight="1">
      <c r="A38" s="362" t="s">
        <v>1032</v>
      </c>
      <c r="B38" s="150"/>
      <c r="C38" s="1750">
        <v>0</v>
      </c>
      <c r="D38" s="365">
        <f>$C$38</f>
        <v>0</v>
      </c>
      <c r="E38" s="365">
        <f t="shared" ref="E38:L38" si="8">$C$38</f>
        <v>0</v>
      </c>
      <c r="F38" s="365">
        <f t="shared" si="8"/>
        <v>0</v>
      </c>
      <c r="G38" s="365">
        <f t="shared" si="8"/>
        <v>0</v>
      </c>
      <c r="H38" s="365">
        <f t="shared" si="8"/>
        <v>0</v>
      </c>
      <c r="I38" s="365">
        <f t="shared" si="8"/>
        <v>0</v>
      </c>
      <c r="J38" s="365">
        <f t="shared" si="8"/>
        <v>0</v>
      </c>
      <c r="K38" s="365">
        <f t="shared" si="8"/>
        <v>0</v>
      </c>
      <c r="L38" s="365">
        <f t="shared" si="8"/>
        <v>0</v>
      </c>
    </row>
    <row r="39" spans="1:12" ht="11.25" customHeight="1">
      <c r="B39" s="150"/>
    </row>
    <row r="40" spans="1:12" ht="11.25" customHeight="1">
      <c r="A40" s="468" t="str">
        <f>A16</f>
        <v>Long term investments committed</v>
      </c>
      <c r="B40" s="150"/>
      <c r="I40" s="366"/>
    </row>
    <row r="41" spans="1:12" ht="11.25" customHeight="1">
      <c r="A41" s="1751" t="s">
        <v>1031</v>
      </c>
      <c r="B41" s="150"/>
      <c r="C41" s="1732"/>
      <c r="D41" s="1732"/>
      <c r="E41" s="1732"/>
      <c r="F41" s="1732"/>
      <c r="G41" s="1732"/>
      <c r="H41" s="1732"/>
      <c r="I41" s="1732"/>
      <c r="J41" s="1732"/>
      <c r="K41" s="1732"/>
      <c r="L41" s="1732"/>
    </row>
    <row r="42" spans="1:12" ht="11.25" customHeight="1">
      <c r="A42" s="1752"/>
      <c r="B42" s="150"/>
      <c r="C42" s="1732"/>
      <c r="D42" s="1732"/>
      <c r="E42" s="1732"/>
      <c r="F42" s="1732"/>
      <c r="G42" s="1732"/>
      <c r="H42" s="1732"/>
      <c r="I42" s="1732"/>
      <c r="J42" s="1732"/>
      <c r="K42" s="1732"/>
      <c r="L42" s="1732"/>
    </row>
    <row r="43" spans="1:12" ht="11.25" customHeight="1">
      <c r="A43" s="1752"/>
      <c r="B43" s="150"/>
      <c r="C43" s="1732"/>
      <c r="D43" s="1732"/>
      <c r="E43" s="1732"/>
      <c r="F43" s="1732"/>
      <c r="G43" s="1732"/>
      <c r="H43" s="1732"/>
      <c r="I43" s="1732"/>
      <c r="J43" s="1732"/>
      <c r="K43" s="1732"/>
      <c r="L43" s="1732"/>
    </row>
    <row r="44" spans="1:12" ht="11.25" customHeight="1">
      <c r="A44" s="1752"/>
      <c r="B44" s="150"/>
      <c r="C44" s="1732"/>
      <c r="D44" s="1732"/>
      <c r="E44" s="1732"/>
      <c r="F44" s="1732"/>
      <c r="G44" s="1732"/>
      <c r="H44" s="1732"/>
      <c r="I44" s="1732"/>
      <c r="J44" s="1732"/>
      <c r="K44" s="1732"/>
      <c r="L44" s="1732"/>
    </row>
    <row r="45" spans="1:12" ht="11.25" customHeight="1">
      <c r="A45" s="1752"/>
      <c r="B45" s="150"/>
      <c r="C45" s="1732"/>
      <c r="D45" s="1732"/>
      <c r="E45" s="1732"/>
      <c r="F45" s="1732"/>
      <c r="G45" s="1732"/>
      <c r="H45" s="1732"/>
      <c r="I45" s="1732"/>
      <c r="J45" s="1732"/>
      <c r="K45" s="1732"/>
      <c r="L45" s="1732"/>
    </row>
    <row r="46" spans="1:12" ht="11.25" customHeight="1">
      <c r="A46" s="1752"/>
      <c r="B46" s="150"/>
      <c r="C46" s="1732"/>
      <c r="D46" s="1732"/>
      <c r="E46" s="1732"/>
      <c r="F46" s="1732"/>
      <c r="G46" s="1732"/>
      <c r="H46" s="1732"/>
      <c r="I46" s="1732"/>
      <c r="J46" s="1732"/>
      <c r="K46" s="1732"/>
      <c r="L46" s="1732"/>
    </row>
    <row r="47" spans="1:12" ht="11.25" customHeight="1">
      <c r="A47" s="1752"/>
      <c r="B47" s="150"/>
      <c r="C47" s="1732"/>
      <c r="D47" s="1732"/>
      <c r="E47" s="1732"/>
      <c r="F47" s="1732"/>
      <c r="G47" s="1732"/>
      <c r="H47" s="1732"/>
      <c r="I47" s="1732"/>
      <c r="J47" s="1732"/>
      <c r="K47" s="1732"/>
      <c r="L47" s="1732"/>
    </row>
    <row r="48" spans="1:12" ht="11.25" customHeight="1">
      <c r="A48" s="1752"/>
      <c r="B48" s="150"/>
      <c r="C48" s="1732"/>
      <c r="D48" s="1732"/>
      <c r="E48" s="1732"/>
      <c r="F48" s="1732"/>
      <c r="G48" s="1732"/>
      <c r="H48" s="1732"/>
      <c r="I48" s="1732"/>
      <c r="J48" s="1732"/>
      <c r="K48" s="1732"/>
      <c r="L48" s="1732"/>
    </row>
    <row r="49" spans="1:12" ht="11.25" customHeight="1">
      <c r="A49" s="1752"/>
      <c r="B49" s="150"/>
      <c r="C49" s="1732"/>
      <c r="D49" s="1732"/>
      <c r="E49" s="1732"/>
      <c r="F49" s="1732"/>
      <c r="G49" s="1732"/>
      <c r="H49" s="1732"/>
      <c r="I49" s="1732"/>
      <c r="J49" s="1732"/>
      <c r="K49" s="1732"/>
      <c r="L49" s="1732"/>
    </row>
    <row r="50" spans="1:12" ht="11.25" customHeight="1">
      <c r="A50" s="1752"/>
      <c r="B50" s="150"/>
      <c r="C50" s="1732"/>
      <c r="D50" s="1732"/>
      <c r="E50" s="1732"/>
      <c r="F50" s="1732"/>
      <c r="G50" s="1732"/>
      <c r="H50" s="1732"/>
      <c r="I50" s="1732"/>
      <c r="J50" s="1732"/>
      <c r="K50" s="1732"/>
      <c r="L50" s="1732"/>
    </row>
    <row r="51" spans="1:12" ht="11.25" customHeight="1">
      <c r="A51" s="1752"/>
      <c r="B51" s="150"/>
      <c r="C51" s="1732"/>
      <c r="D51" s="1732"/>
      <c r="E51" s="1732"/>
      <c r="F51" s="1732"/>
      <c r="G51" s="1732"/>
      <c r="H51" s="1732"/>
      <c r="I51" s="1732"/>
      <c r="J51" s="1732"/>
      <c r="K51" s="1732"/>
      <c r="L51" s="1732"/>
    </row>
    <row r="52" spans="1:12" ht="11.25" customHeight="1" thickBot="1">
      <c r="A52" s="468"/>
      <c r="B52" s="150"/>
      <c r="C52" s="363">
        <f>SUM(C41:C51)</f>
        <v>0</v>
      </c>
      <c r="D52" s="363">
        <f t="shared" ref="D52:L52" si="9">SUM(D41:D51)</f>
        <v>0</v>
      </c>
      <c r="E52" s="363">
        <f t="shared" si="9"/>
        <v>0</v>
      </c>
      <c r="F52" s="363">
        <f t="shared" si="9"/>
        <v>0</v>
      </c>
      <c r="G52" s="363">
        <f t="shared" si="9"/>
        <v>0</v>
      </c>
      <c r="H52" s="363">
        <f t="shared" si="9"/>
        <v>0</v>
      </c>
      <c r="I52" s="363">
        <f t="shared" si="9"/>
        <v>0</v>
      </c>
      <c r="J52" s="363">
        <f t="shared" si="9"/>
        <v>0</v>
      </c>
      <c r="K52" s="363">
        <f t="shared" si="9"/>
        <v>0</v>
      </c>
      <c r="L52" s="363">
        <f t="shared" si="9"/>
        <v>0</v>
      </c>
    </row>
    <row r="53" spans="1:12" ht="11.25" customHeight="1" thickTop="1">
      <c r="A53" s="468" t="str">
        <f>A17</f>
        <v>Reserves to be backed by cash/investments</v>
      </c>
      <c r="B53" s="150"/>
      <c r="I53" s="366"/>
    </row>
    <row r="54" spans="1:12" ht="11.25" customHeight="1">
      <c r="A54" s="150" t="str">
        <f>'SA3'!A64</f>
        <v>Housing Development Fund</v>
      </c>
      <c r="B54" s="150"/>
      <c r="C54" s="211">
        <f>'SA3'!C64</f>
        <v>54756079</v>
      </c>
      <c r="D54" s="211">
        <f>'SA3'!D64</f>
        <v>89586575</v>
      </c>
      <c r="E54" s="211">
        <f>'SA3'!E64</f>
        <v>56968224.591600001</v>
      </c>
      <c r="F54" s="211">
        <f>'SA3'!F64</f>
        <v>55605000</v>
      </c>
      <c r="G54" s="211">
        <f>'SA3'!G64</f>
        <v>55605000</v>
      </c>
      <c r="H54" s="211">
        <f>'SA3'!H64</f>
        <v>55605000</v>
      </c>
      <c r="I54" s="211">
        <f>'SA3'!I64</f>
        <v>55605000</v>
      </c>
      <c r="J54" s="211">
        <f>'SA3'!J64</f>
        <v>59108000</v>
      </c>
      <c r="K54" s="211">
        <f>'SA3'!K64</f>
        <v>62655000</v>
      </c>
      <c r="L54" s="211">
        <f>'SA3'!L64</f>
        <v>66202000</v>
      </c>
    </row>
    <row r="55" spans="1:12" ht="11.25" customHeight="1">
      <c r="A55" s="150" t="str">
        <f>'SA3'!A65</f>
        <v>Capital replacement</v>
      </c>
      <c r="B55" s="150"/>
      <c r="C55" s="1083">
        <v>41036000</v>
      </c>
      <c r="D55" s="1083">
        <v>56219000</v>
      </c>
      <c r="E55" s="1083">
        <v>43535000</v>
      </c>
      <c r="F55" s="1732"/>
      <c r="G55" s="1732"/>
      <c r="H55" s="1732"/>
      <c r="I55" s="1732"/>
      <c r="J55" s="1083">
        <v>46186000</v>
      </c>
      <c r="K55" s="1732"/>
      <c r="L55" s="1732"/>
    </row>
    <row r="56" spans="1:12" ht="11.25" customHeight="1">
      <c r="A56" s="150" t="str">
        <f>'SA3'!A69</f>
        <v>Self-insurance</v>
      </c>
      <c r="B56" s="150"/>
      <c r="C56" s="1083">
        <v>24618000</v>
      </c>
      <c r="D56" s="1083">
        <v>33753000</v>
      </c>
      <c r="E56" s="1083">
        <v>26627000</v>
      </c>
      <c r="F56" s="1732"/>
      <c r="G56" s="1732"/>
      <c r="H56" s="1732"/>
      <c r="I56" s="1732"/>
      <c r="J56" s="1083">
        <v>28800000</v>
      </c>
      <c r="K56" s="1732"/>
      <c r="L56" s="1732"/>
    </row>
    <row r="57" spans="1:12" ht="11.25" customHeight="1">
      <c r="A57" s="1751" t="s">
        <v>1539</v>
      </c>
      <c r="B57" s="1751"/>
      <c r="C57" s="1083"/>
      <c r="D57" s="1083"/>
      <c r="E57" s="1083"/>
      <c r="F57" s="1732"/>
      <c r="G57" s="1732"/>
      <c r="H57" s="1732"/>
      <c r="I57" s="1732"/>
      <c r="J57" s="1083"/>
      <c r="K57" s="1732"/>
      <c r="L57" s="1732"/>
    </row>
    <row r="58" spans="1:12" ht="11.25" customHeight="1">
      <c r="A58" s="1753"/>
      <c r="B58" s="1753"/>
      <c r="C58" s="1732"/>
      <c r="D58" s="1732"/>
      <c r="E58" s="1732"/>
      <c r="F58" s="1732"/>
      <c r="G58" s="1732"/>
      <c r="H58" s="1732"/>
      <c r="I58" s="1732"/>
      <c r="J58" s="1732"/>
      <c r="K58" s="1732"/>
      <c r="L58" s="1732"/>
    </row>
    <row r="59" spans="1:12" ht="11.25" customHeight="1">
      <c r="A59" s="1753"/>
      <c r="B59" s="1753"/>
      <c r="C59" s="1732"/>
      <c r="D59" s="1732"/>
      <c r="E59" s="1732"/>
      <c r="F59" s="1732"/>
      <c r="G59" s="1732"/>
      <c r="H59" s="1732"/>
      <c r="I59" s="1732"/>
      <c r="J59" s="1732"/>
      <c r="K59" s="1732"/>
      <c r="L59" s="1732"/>
    </row>
    <row r="60" spans="1:12" ht="11.25" customHeight="1">
      <c r="A60" s="1753"/>
      <c r="B60" s="1753"/>
      <c r="C60" s="1732"/>
      <c r="D60" s="1732"/>
      <c r="E60" s="1732"/>
      <c r="F60" s="1732"/>
      <c r="G60" s="1732"/>
      <c r="H60" s="1732"/>
      <c r="I60" s="1732"/>
      <c r="J60" s="1732"/>
      <c r="K60" s="1732"/>
      <c r="L60" s="1732"/>
    </row>
    <row r="61" spans="1:12" ht="11.25" customHeight="1">
      <c r="A61" s="1753"/>
      <c r="B61" s="1753"/>
      <c r="C61" s="1732"/>
      <c r="D61" s="1732"/>
      <c r="E61" s="1732"/>
      <c r="F61" s="1732"/>
      <c r="G61" s="1732"/>
      <c r="H61" s="1732"/>
      <c r="I61" s="1732"/>
      <c r="J61" s="1732"/>
      <c r="K61" s="1732"/>
      <c r="L61" s="1732"/>
    </row>
    <row r="62" spans="1:12" ht="11.25" customHeight="1">
      <c r="A62" s="1753"/>
      <c r="B62" s="1753"/>
      <c r="C62" s="1732"/>
      <c r="D62" s="1732"/>
      <c r="E62" s="1732"/>
      <c r="F62" s="1732"/>
      <c r="G62" s="1732"/>
      <c r="H62" s="1732"/>
      <c r="I62" s="1732"/>
      <c r="J62" s="1732"/>
      <c r="K62" s="1732"/>
      <c r="L62" s="1732"/>
    </row>
    <row r="63" spans="1:12" ht="11.25" customHeight="1">
      <c r="A63" s="1753"/>
      <c r="B63" s="1753"/>
      <c r="C63" s="1732"/>
      <c r="D63" s="1732"/>
      <c r="E63" s="1732"/>
      <c r="F63" s="1732"/>
      <c r="G63" s="1732"/>
      <c r="H63" s="1732"/>
      <c r="I63" s="1732"/>
      <c r="J63" s="1732"/>
      <c r="K63" s="1732"/>
      <c r="L63" s="1732"/>
    </row>
    <row r="64" spans="1:12" ht="11.25" customHeight="1">
      <c r="A64" s="1753"/>
      <c r="B64" s="1753"/>
      <c r="C64" s="1732"/>
      <c r="D64" s="1732"/>
      <c r="E64" s="1732"/>
      <c r="F64" s="1732"/>
      <c r="G64" s="1732"/>
      <c r="H64" s="1732"/>
      <c r="I64" s="1732"/>
      <c r="J64" s="1732"/>
      <c r="K64" s="1732"/>
      <c r="L64" s="1732"/>
    </row>
    <row r="65" spans="1:12" ht="11.25" customHeight="1">
      <c r="A65" s="1753"/>
      <c r="B65" s="1753"/>
      <c r="C65" s="1732"/>
      <c r="D65" s="1732"/>
      <c r="E65" s="1732"/>
      <c r="F65" s="1732"/>
      <c r="G65" s="1732"/>
      <c r="H65" s="1732"/>
      <c r="I65" s="1732"/>
      <c r="J65" s="1732"/>
      <c r="K65" s="1732"/>
      <c r="L65" s="1732"/>
    </row>
    <row r="67" spans="1:12" ht="11.25" customHeight="1" thickBot="1">
      <c r="B67" s="150"/>
      <c r="C67" s="363">
        <f t="shared" ref="C67:L67" si="10">SUM(C54:C65)</f>
        <v>120410079</v>
      </c>
      <c r="D67" s="363">
        <f t="shared" si="10"/>
        <v>179558575</v>
      </c>
      <c r="E67" s="363">
        <f t="shared" si="10"/>
        <v>127130224.5916</v>
      </c>
      <c r="F67" s="363">
        <f t="shared" si="10"/>
        <v>55605000</v>
      </c>
      <c r="G67" s="363">
        <f t="shared" si="10"/>
        <v>55605000</v>
      </c>
      <c r="H67" s="363">
        <f t="shared" si="10"/>
        <v>55605000</v>
      </c>
      <c r="I67" s="363">
        <f t="shared" si="10"/>
        <v>55605000</v>
      </c>
      <c r="J67" s="363">
        <f t="shared" si="10"/>
        <v>134094000</v>
      </c>
      <c r="K67" s="363">
        <f t="shared" si="10"/>
        <v>62655000</v>
      </c>
      <c r="L67" s="363">
        <f t="shared" si="10"/>
        <v>66202000</v>
      </c>
    </row>
    <row r="68" spans="1:12" ht="11.25" customHeight="1" thickTop="1">
      <c r="B68" s="150"/>
    </row>
    <row r="69" spans="1:12" ht="11.25" customHeight="1">
      <c r="B69" s="150"/>
    </row>
    <row r="70" spans="1:12" ht="11.25" customHeight="1">
      <c r="B70" s="150"/>
    </row>
    <row r="71" spans="1:12" ht="11.25" customHeight="1">
      <c r="B71" s="150"/>
    </row>
    <row r="72" spans="1:12" ht="11.25" customHeight="1">
      <c r="B72" s="150"/>
    </row>
    <row r="73" spans="1:12" ht="11.25" customHeight="1">
      <c r="B73" s="150"/>
    </row>
    <row r="74" spans="1:12" ht="11.25" customHeight="1">
      <c r="B74" s="150"/>
    </row>
    <row r="75" spans="1:12" ht="11.25" customHeight="1">
      <c r="B75" s="150"/>
    </row>
    <row r="76" spans="1:12" ht="11.25" customHeight="1">
      <c r="B76" s="150"/>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A35B" sheet="1" objects="1" scenarios="1"/>
  <mergeCells count="2">
    <mergeCell ref="J2:L2"/>
    <mergeCell ref="F2:I2"/>
  </mergeCells>
  <phoneticPr fontId="2" type="noConversion"/>
  <dataValidations count="1">
    <dataValidation type="whole" allowBlank="1" showInputMessage="1" showErrorMessage="1" sqref="C12:L13 C15:L15 C17:L17 C29:L31 C41:L51 C55:L65">
      <formula1>-999999999999999000</formula1>
      <formula2>999999999999999000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workbookViewId="0">
      <pane xSplit="2" ySplit="3" topLeftCell="C46" activePane="bottomRight" state="frozen"/>
      <selection activeCell="O37" sqref="A1:IV65536"/>
      <selection pane="topRight" activeCell="O37" sqref="A1:IV65536"/>
      <selection pane="bottomLeft" activeCell="O37" sqref="A1:IV65536"/>
      <selection pane="bottomRight" activeCell="I30" sqref="I30"/>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s="180" customFormat="1">
      <c r="A1" s="148" t="str">
        <f>muni&amp;" - "&amp;Approve9</f>
        <v>KZN225 Msunduzi - Table A9 Asset Management</v>
      </c>
      <c r="B1" s="148"/>
      <c r="C1" s="148"/>
      <c r="D1" s="148"/>
      <c r="E1" s="148"/>
      <c r="F1" s="148"/>
      <c r="G1" s="148"/>
      <c r="H1" s="148"/>
      <c r="I1" s="148"/>
      <c r="J1" s="148"/>
      <c r="K1" s="148"/>
    </row>
    <row r="2" spans="1:11" ht="28.5" customHeight="1">
      <c r="A2" s="1001" t="str">
        <f>desc</f>
        <v>Description</v>
      </c>
      <c r="B2" s="422" t="str">
        <f>head27</f>
        <v>Ref</v>
      </c>
      <c r="C2" s="151"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1" ht="25.5">
      <c r="A3" s="1475" t="s">
        <v>703</v>
      </c>
      <c r="B3" s="1016"/>
      <c r="C3" s="393" t="str">
        <f>Head5</f>
        <v>Audited Outcome</v>
      </c>
      <c r="D3" s="393"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1.25" customHeight="1">
      <c r="A4" s="1631" t="s">
        <v>1561</v>
      </c>
      <c r="B4" s="183"/>
      <c r="C4" s="219"/>
      <c r="D4" s="219"/>
      <c r="E4" s="220"/>
      <c r="F4" s="221"/>
      <c r="G4" s="219"/>
      <c r="H4" s="218"/>
      <c r="I4" s="222"/>
      <c r="J4" s="219"/>
      <c r="K4" s="220"/>
    </row>
    <row r="5" spans="1:11" ht="11.25" customHeight="1">
      <c r="A5" s="1632" t="s">
        <v>1156</v>
      </c>
      <c r="B5" s="183">
        <v>1</v>
      </c>
      <c r="C5" s="219">
        <f>SUM(C11:C18)</f>
        <v>197073901</v>
      </c>
      <c r="D5" s="219">
        <f>SUM(D11:D18)</f>
        <v>236817045</v>
      </c>
      <c r="E5" s="220">
        <f t="shared" ref="E5:K5" si="0">SUM(E11:E18)</f>
        <v>176033120</v>
      </c>
      <c r="F5" s="221">
        <f t="shared" si="0"/>
        <v>267850000</v>
      </c>
      <c r="G5" s="219">
        <f t="shared" si="0"/>
        <v>360507068</v>
      </c>
      <c r="H5" s="218">
        <f t="shared" si="0"/>
        <v>360507068</v>
      </c>
      <c r="I5" s="222">
        <f t="shared" si="0"/>
        <v>258710000</v>
      </c>
      <c r="J5" s="219">
        <f t="shared" si="0"/>
        <v>164500000</v>
      </c>
      <c r="K5" s="220">
        <f t="shared" si="0"/>
        <v>32000000</v>
      </c>
    </row>
    <row r="6" spans="1:11" ht="11.25" customHeight="1">
      <c r="A6" s="1633" t="s">
        <v>408</v>
      </c>
      <c r="B6" s="351"/>
      <c r="C6" s="1091">
        <f>SA34a!C7</f>
        <v>62842123</v>
      </c>
      <c r="D6" s="1091">
        <f>SA34a!D7</f>
        <v>134591834</v>
      </c>
      <c r="E6" s="1092">
        <f>SA34a!E7</f>
        <v>32581294</v>
      </c>
      <c r="F6" s="1093">
        <f>SA34a!F7</f>
        <v>79813000</v>
      </c>
      <c r="G6" s="1091">
        <f>SA34a!G7</f>
        <v>99813000</v>
      </c>
      <c r="H6" s="1094">
        <f>SA34a!H7</f>
        <v>99813000</v>
      </c>
      <c r="I6" s="1095">
        <f>SA34a!I7</f>
        <v>4500000</v>
      </c>
      <c r="J6" s="1091">
        <f>SA34a!J7</f>
        <v>4500000</v>
      </c>
      <c r="K6" s="1092">
        <f>SA34a!K7</f>
        <v>0</v>
      </c>
    </row>
    <row r="7" spans="1:11" ht="11.25" customHeight="1">
      <c r="A7" s="1633" t="s">
        <v>794</v>
      </c>
      <c r="B7" s="351"/>
      <c r="C7" s="1091">
        <f>SA34a!C10</f>
        <v>37577398</v>
      </c>
      <c r="D7" s="1091">
        <f>SA34a!D10</f>
        <v>7000000</v>
      </c>
      <c r="E7" s="1092">
        <f>SA34a!E10</f>
        <v>21458564</v>
      </c>
      <c r="F7" s="1093">
        <f>SA34a!F10</f>
        <v>8419000</v>
      </c>
      <c r="G7" s="1091">
        <f>SA34a!G10</f>
        <v>61729068</v>
      </c>
      <c r="H7" s="1094">
        <f>SA34a!H10</f>
        <v>61729068</v>
      </c>
      <c r="I7" s="1095">
        <f>SA34a!I10</f>
        <v>34000000</v>
      </c>
      <c r="J7" s="1091">
        <f>SA34a!J10</f>
        <v>0</v>
      </c>
      <c r="K7" s="1092">
        <f>SA34a!K10</f>
        <v>0</v>
      </c>
    </row>
    <row r="8" spans="1:11" ht="11.25" customHeight="1">
      <c r="A8" s="1633" t="s">
        <v>409</v>
      </c>
      <c r="B8" s="351"/>
      <c r="C8" s="1091">
        <f>SA34a!C14</f>
        <v>7624456</v>
      </c>
      <c r="D8" s="1091">
        <f>SA34a!D14</f>
        <v>9723252</v>
      </c>
      <c r="E8" s="1092">
        <f>SA34a!E14</f>
        <v>16849925</v>
      </c>
      <c r="F8" s="1093">
        <f>SA34a!F14</f>
        <v>4000000</v>
      </c>
      <c r="G8" s="1091">
        <f>SA34a!G14</f>
        <v>4000000</v>
      </c>
      <c r="H8" s="1094">
        <f>SA34a!H14</f>
        <v>4000000</v>
      </c>
      <c r="I8" s="1095">
        <f>SA34a!I14</f>
        <v>43429406</v>
      </c>
      <c r="J8" s="1091">
        <f>SA34a!J14</f>
        <v>31000000</v>
      </c>
      <c r="K8" s="1092">
        <f>SA34a!K14</f>
        <v>0</v>
      </c>
    </row>
    <row r="9" spans="1:11" ht="11.25" customHeight="1">
      <c r="A9" s="1633" t="s">
        <v>410</v>
      </c>
      <c r="B9" s="351"/>
      <c r="C9" s="1091">
        <f>SA34a!C18</f>
        <v>27010629</v>
      </c>
      <c r="D9" s="1091">
        <f>SA34a!D18</f>
        <v>54221252</v>
      </c>
      <c r="E9" s="1092">
        <f>SA34a!E18</f>
        <v>0</v>
      </c>
      <c r="F9" s="1093">
        <f>SA34a!F18</f>
        <v>68445000</v>
      </c>
      <c r="G9" s="1091">
        <f>SA34a!G18</f>
        <v>68445000</v>
      </c>
      <c r="H9" s="1094">
        <f>SA34a!H18</f>
        <v>68445000</v>
      </c>
      <c r="I9" s="1095">
        <f>SA34a!I18</f>
        <v>0</v>
      </c>
      <c r="J9" s="1091">
        <f>SA34a!J18</f>
        <v>0</v>
      </c>
      <c r="K9" s="1092">
        <f>SA34a!K18</f>
        <v>0</v>
      </c>
    </row>
    <row r="10" spans="1:11" ht="11.25" customHeight="1">
      <c r="A10" s="1633" t="s">
        <v>729</v>
      </c>
      <c r="B10" s="351"/>
      <c r="C10" s="1091">
        <f>SA34a!C21</f>
        <v>6885295</v>
      </c>
      <c r="D10" s="1091">
        <f>SA34a!D21</f>
        <v>2205707</v>
      </c>
      <c r="E10" s="1092">
        <f>SA34a!E21</f>
        <v>55604151</v>
      </c>
      <c r="F10" s="1093">
        <f>SA34a!F21</f>
        <v>2571000</v>
      </c>
      <c r="G10" s="1091">
        <f>SA34a!G21</f>
        <v>17571000</v>
      </c>
      <c r="H10" s="1094">
        <f>SA34a!H21</f>
        <v>17571000</v>
      </c>
      <c r="I10" s="1095">
        <f>SA34a!I21</f>
        <v>59903594</v>
      </c>
      <c r="J10" s="1091">
        <f>SA34a!J21</f>
        <v>11500000</v>
      </c>
      <c r="K10" s="1092">
        <f>SA34a!K21</f>
        <v>0</v>
      </c>
    </row>
    <row r="11" spans="1:11" ht="11.25" customHeight="1">
      <c r="A11" s="1476" t="s">
        <v>1059</v>
      </c>
      <c r="B11" s="351"/>
      <c r="C11" s="1052">
        <f>SUM(C6:C10)</f>
        <v>141939901</v>
      </c>
      <c r="D11" s="1052">
        <f>SUM(D6:D10)</f>
        <v>207742045</v>
      </c>
      <c r="E11" s="1053">
        <f t="shared" ref="E11:K11" si="1">SUM(E6:E10)</f>
        <v>126493934</v>
      </c>
      <c r="F11" s="1054">
        <f t="shared" si="1"/>
        <v>163248000</v>
      </c>
      <c r="G11" s="1052">
        <f t="shared" si="1"/>
        <v>251558068</v>
      </c>
      <c r="H11" s="1055">
        <f t="shared" si="1"/>
        <v>251558068</v>
      </c>
      <c r="I11" s="1056">
        <f t="shared" si="1"/>
        <v>141833000</v>
      </c>
      <c r="J11" s="1052">
        <f t="shared" si="1"/>
        <v>47000000</v>
      </c>
      <c r="K11" s="1053">
        <f t="shared" si="1"/>
        <v>0</v>
      </c>
    </row>
    <row r="12" spans="1:11" ht="11.25" customHeight="1">
      <c r="A12" s="1477" t="str">
        <f>$A$42</f>
        <v>Community</v>
      </c>
      <c r="B12" s="183"/>
      <c r="C12" s="1091">
        <f>SA34a!C27</f>
        <v>6892000</v>
      </c>
      <c r="D12" s="1091">
        <f>SA34a!D27</f>
        <v>10637000</v>
      </c>
      <c r="E12" s="1092">
        <f>SA34a!E27</f>
        <v>33174849</v>
      </c>
      <c r="F12" s="1093">
        <f>SA34a!F27</f>
        <v>64474000</v>
      </c>
      <c r="G12" s="1091">
        <f>SA34a!G27</f>
        <v>65774000</v>
      </c>
      <c r="H12" s="1094">
        <f>SA34a!H27</f>
        <v>65774000</v>
      </c>
      <c r="I12" s="1095">
        <f>SA34a!I27</f>
        <v>97377000</v>
      </c>
      <c r="J12" s="1091">
        <f>SA34a!J27</f>
        <v>113000000</v>
      </c>
      <c r="K12" s="1092">
        <f>SA34a!K27</f>
        <v>32000000</v>
      </c>
    </row>
    <row r="13" spans="1:11" ht="11.25" customHeight="1">
      <c r="A13" s="1477" t="str">
        <f>$A$43</f>
        <v>Heritage assets</v>
      </c>
      <c r="B13" s="183"/>
      <c r="C13" s="1549">
        <f>SA34a!C43</f>
        <v>0</v>
      </c>
      <c r="D13" s="1549">
        <f>SA34a!D43</f>
        <v>10000000</v>
      </c>
      <c r="E13" s="1550">
        <f>SA34a!E43</f>
        <v>5710667</v>
      </c>
      <c r="F13" s="1551">
        <f>SA34a!F43</f>
        <v>0</v>
      </c>
      <c r="G13" s="1549">
        <f>SA34a!G43</f>
        <v>0</v>
      </c>
      <c r="H13" s="1552">
        <f>SA34a!H43</f>
        <v>0</v>
      </c>
      <c r="I13" s="1553">
        <f>SA34a!I43</f>
        <v>0</v>
      </c>
      <c r="J13" s="1549">
        <f>SA34a!J43</f>
        <v>0</v>
      </c>
      <c r="K13" s="1550">
        <f>SA34a!K43</f>
        <v>0</v>
      </c>
    </row>
    <row r="14" spans="1:11" ht="11.25" customHeight="1">
      <c r="A14" s="1477" t="str">
        <f>$A$44</f>
        <v>Investment properties</v>
      </c>
      <c r="B14" s="183"/>
      <c r="C14" s="1091">
        <f>SA34a!C47</f>
        <v>0</v>
      </c>
      <c r="D14" s="1091">
        <f>SA34a!D47</f>
        <v>0</v>
      </c>
      <c r="E14" s="1092">
        <f>SA34a!E47</f>
        <v>0</v>
      </c>
      <c r="F14" s="1093">
        <f>SA34a!F47</f>
        <v>0</v>
      </c>
      <c r="G14" s="1091">
        <f>SA34a!G47</f>
        <v>0</v>
      </c>
      <c r="H14" s="1094">
        <f>SA34a!H47</f>
        <v>0</v>
      </c>
      <c r="I14" s="1095">
        <f>SA34a!I47</f>
        <v>0</v>
      </c>
      <c r="J14" s="1091">
        <f>SA34a!J47</f>
        <v>0</v>
      </c>
      <c r="K14" s="1092">
        <f>SA34a!K47</f>
        <v>0</v>
      </c>
    </row>
    <row r="15" spans="1:11" ht="11.25" customHeight="1">
      <c r="A15" s="1477" t="str">
        <f>$A$45</f>
        <v>Other assets</v>
      </c>
      <c r="B15" s="183">
        <v>6</v>
      </c>
      <c r="C15" s="1091">
        <f>SA34a!C51</f>
        <v>48242000</v>
      </c>
      <c r="D15" s="1091">
        <f>SA34a!D51</f>
        <v>8438000</v>
      </c>
      <c r="E15" s="1092">
        <f>SA34a!E51</f>
        <v>10653670</v>
      </c>
      <c r="F15" s="1093">
        <f>SA34a!F51</f>
        <v>40128000</v>
      </c>
      <c r="G15" s="1091">
        <f>SA34a!G51</f>
        <v>43175000</v>
      </c>
      <c r="H15" s="1094">
        <f>SA34a!H51</f>
        <v>43175000</v>
      </c>
      <c r="I15" s="1095">
        <f>SA34a!I51</f>
        <v>19500000</v>
      </c>
      <c r="J15" s="1091">
        <f>SA34a!J51</f>
        <v>4500000</v>
      </c>
      <c r="K15" s="1092">
        <f>SA34a!K51</f>
        <v>0</v>
      </c>
    </row>
    <row r="16" spans="1:11">
      <c r="A16" s="1634" t="s">
        <v>1682</v>
      </c>
      <c r="B16" s="570"/>
      <c r="C16" s="1091">
        <f>SA34a!C65</f>
        <v>0</v>
      </c>
      <c r="D16" s="1091">
        <f>SA34a!D65</f>
        <v>0</v>
      </c>
      <c r="E16" s="1092">
        <f>SA34a!E65</f>
        <v>0</v>
      </c>
      <c r="F16" s="1093">
        <f>SA34a!F65</f>
        <v>0</v>
      </c>
      <c r="G16" s="1091">
        <f>SA34a!G65</f>
        <v>0</v>
      </c>
      <c r="H16" s="1094">
        <f>SA34a!H65</f>
        <v>0</v>
      </c>
      <c r="I16" s="1095">
        <f>SA34a!I65</f>
        <v>0</v>
      </c>
      <c r="J16" s="1091">
        <f>SA34a!J65</f>
        <v>0</v>
      </c>
      <c r="K16" s="1092">
        <f>SA34a!K65</f>
        <v>0</v>
      </c>
    </row>
    <row r="17" spans="1:11" ht="11.25" customHeight="1">
      <c r="A17" s="1477" t="str">
        <f>SA34a!A69</f>
        <v>Biological assets</v>
      </c>
      <c r="B17" s="183"/>
      <c r="C17" s="1091">
        <f>SA34a!C69</f>
        <v>0</v>
      </c>
      <c r="D17" s="1091">
        <f>SA34a!D69</f>
        <v>0</v>
      </c>
      <c r="E17" s="1092">
        <f>SA34a!E69</f>
        <v>0</v>
      </c>
      <c r="F17" s="1093">
        <f>SA34a!F69</f>
        <v>0</v>
      </c>
      <c r="G17" s="1091">
        <f>SA34a!G69</f>
        <v>0</v>
      </c>
      <c r="H17" s="1094">
        <f>SA34a!H69</f>
        <v>0</v>
      </c>
      <c r="I17" s="1095">
        <f>SA34a!I69</f>
        <v>0</v>
      </c>
      <c r="J17" s="1091">
        <f>SA34a!J69</f>
        <v>0</v>
      </c>
      <c r="K17" s="1092">
        <f>SA34a!K69</f>
        <v>0</v>
      </c>
    </row>
    <row r="18" spans="1:11" ht="11.25" customHeight="1">
      <c r="A18" s="1477" t="str">
        <f>SA34a!A73</f>
        <v>Intangibles</v>
      </c>
      <c r="B18" s="183"/>
      <c r="C18" s="1183">
        <f>SA34a!C73</f>
        <v>0</v>
      </c>
      <c r="D18" s="1183">
        <f>SA34a!D73</f>
        <v>0</v>
      </c>
      <c r="E18" s="1184">
        <f>SA34a!E73</f>
        <v>0</v>
      </c>
      <c r="F18" s="1185">
        <f>SA34a!F73</f>
        <v>0</v>
      </c>
      <c r="G18" s="1183">
        <f>SA34a!G73</f>
        <v>0</v>
      </c>
      <c r="H18" s="1186">
        <f>SA34a!H73</f>
        <v>0</v>
      </c>
      <c r="I18" s="1187">
        <f>SA34a!I73</f>
        <v>0</v>
      </c>
      <c r="J18" s="1183">
        <f>SA34a!J73</f>
        <v>0</v>
      </c>
      <c r="K18" s="1184">
        <f>SA34a!K73</f>
        <v>0</v>
      </c>
    </row>
    <row r="19" spans="1:11" ht="5.0999999999999996" customHeight="1">
      <c r="A19" s="1478"/>
      <c r="B19" s="183"/>
      <c r="C19" s="208"/>
      <c r="D19" s="208"/>
      <c r="E19" s="265"/>
      <c r="F19" s="252"/>
      <c r="G19" s="208"/>
      <c r="H19" s="211"/>
      <c r="I19" s="212"/>
      <c r="J19" s="208"/>
      <c r="K19" s="265"/>
    </row>
    <row r="20" spans="1:11" ht="11.25" customHeight="1">
      <c r="A20" s="1632" t="s">
        <v>464</v>
      </c>
      <c r="B20" s="183">
        <v>2</v>
      </c>
      <c r="C20" s="397">
        <f>SUM(C26:C33)</f>
        <v>13213941</v>
      </c>
      <c r="D20" s="397">
        <f>SUM(D26:D33)</f>
        <v>76982173</v>
      </c>
      <c r="E20" s="346">
        <f t="shared" ref="E20:K20" si="2">SUM(E26:E33)</f>
        <v>95810000</v>
      </c>
      <c r="F20" s="398">
        <f t="shared" si="2"/>
        <v>28087000</v>
      </c>
      <c r="G20" s="397">
        <f t="shared" si="2"/>
        <v>34040673</v>
      </c>
      <c r="H20" s="399">
        <f t="shared" si="2"/>
        <v>34040673</v>
      </c>
      <c r="I20" s="1554">
        <f t="shared" si="2"/>
        <v>152603300</v>
      </c>
      <c r="J20" s="397">
        <f t="shared" si="2"/>
        <v>146319300</v>
      </c>
      <c r="K20" s="346">
        <f t="shared" si="2"/>
        <v>182215000</v>
      </c>
    </row>
    <row r="21" spans="1:11" ht="11.25" customHeight="1">
      <c r="A21" s="1633" t="s">
        <v>408</v>
      </c>
      <c r="B21" s="351"/>
      <c r="C21" s="1091">
        <f>SA34b!C7</f>
        <v>0</v>
      </c>
      <c r="D21" s="1091">
        <f>SA34b!D7</f>
        <v>20496473</v>
      </c>
      <c r="E21" s="1092">
        <f>SA34b!E7</f>
        <v>25990000</v>
      </c>
      <c r="F21" s="1093">
        <f>SA34b!F7</f>
        <v>12087000</v>
      </c>
      <c r="G21" s="1091">
        <f>SA34b!G7</f>
        <v>12087000</v>
      </c>
      <c r="H21" s="1094">
        <f>SA34b!H7</f>
        <v>12087000</v>
      </c>
      <c r="I21" s="1095">
        <f>SA34b!I7</f>
        <v>27275000</v>
      </c>
      <c r="J21" s="1091">
        <f>SA34b!J7</f>
        <v>96970300</v>
      </c>
      <c r="K21" s="1092">
        <f>SA34b!K7</f>
        <v>162215000</v>
      </c>
    </row>
    <row r="22" spans="1:11" ht="11.25" customHeight="1">
      <c r="A22" s="1633" t="s">
        <v>794</v>
      </c>
      <c r="B22" s="351"/>
      <c r="C22" s="1091">
        <f>SA34b!C10</f>
        <v>784406</v>
      </c>
      <c r="D22" s="1091">
        <f>SA34b!D10</f>
        <v>0</v>
      </c>
      <c r="E22" s="1092">
        <f>SA34b!E10</f>
        <v>4900000</v>
      </c>
      <c r="F22" s="1093">
        <f>SA34b!F10</f>
        <v>0</v>
      </c>
      <c r="G22" s="1091">
        <f>SA34b!G10</f>
        <v>4063673</v>
      </c>
      <c r="H22" s="1094">
        <f>SA34b!H10</f>
        <v>4063673</v>
      </c>
      <c r="I22" s="1095">
        <f>SA34b!I10</f>
        <v>26361300</v>
      </c>
      <c r="J22" s="1091">
        <f>SA34b!J10</f>
        <v>0</v>
      </c>
      <c r="K22" s="1092">
        <f>SA34b!K10</f>
        <v>0</v>
      </c>
    </row>
    <row r="23" spans="1:11" ht="11.25" customHeight="1">
      <c r="A23" s="1633" t="s">
        <v>409</v>
      </c>
      <c r="B23" s="351"/>
      <c r="C23" s="1091">
        <f>SA34b!C14</f>
        <v>387947</v>
      </c>
      <c r="D23" s="1091">
        <f>SA34b!D14</f>
        <v>19811183</v>
      </c>
      <c r="E23" s="1092">
        <f>SA34b!E14</f>
        <v>27507000</v>
      </c>
      <c r="F23" s="1093">
        <f>SA34b!F14</f>
        <v>10000000</v>
      </c>
      <c r="G23" s="1091">
        <f>SA34b!G14</f>
        <v>10000000</v>
      </c>
      <c r="H23" s="1094">
        <f>SA34b!H14</f>
        <v>10000000</v>
      </c>
      <c r="I23" s="1095">
        <f>SA34b!I14</f>
        <v>0</v>
      </c>
      <c r="J23" s="1091">
        <f>SA34b!J14</f>
        <v>0</v>
      </c>
      <c r="K23" s="1092">
        <f>SA34b!K14</f>
        <v>0</v>
      </c>
    </row>
    <row r="24" spans="1:11" ht="11.25" customHeight="1">
      <c r="A24" s="1633" t="s">
        <v>410</v>
      </c>
      <c r="B24" s="351"/>
      <c r="C24" s="1091">
        <f>SA34b!C18</f>
        <v>581922</v>
      </c>
      <c r="D24" s="1091">
        <f>SA34b!D18</f>
        <v>29716775</v>
      </c>
      <c r="E24" s="1092">
        <f>SA34b!E18</f>
        <v>37413000</v>
      </c>
      <c r="F24" s="1093">
        <f>SA34b!F18</f>
        <v>6000000</v>
      </c>
      <c r="G24" s="1091">
        <f>SA34b!G18</f>
        <v>6300000</v>
      </c>
      <c r="H24" s="1094">
        <f>SA34b!H18</f>
        <v>6300000</v>
      </c>
      <c r="I24" s="1095">
        <f>SA34b!I18</f>
        <v>0</v>
      </c>
      <c r="J24" s="1091">
        <f>SA34b!J18</f>
        <v>0</v>
      </c>
      <c r="K24" s="1092">
        <f>SA34b!K18</f>
        <v>0</v>
      </c>
    </row>
    <row r="25" spans="1:11" ht="11.25" customHeight="1">
      <c r="A25" s="1633" t="s">
        <v>729</v>
      </c>
      <c r="B25" s="351"/>
      <c r="C25" s="1091">
        <f>SA34b!C21</f>
        <v>0</v>
      </c>
      <c r="D25" s="1091">
        <f>SA34b!D21</f>
        <v>0</v>
      </c>
      <c r="E25" s="1092">
        <f>SA34b!E21</f>
        <v>0</v>
      </c>
      <c r="F25" s="1093">
        <f>SA34b!F21</f>
        <v>0</v>
      </c>
      <c r="G25" s="1091">
        <f>SA34b!G21</f>
        <v>0</v>
      </c>
      <c r="H25" s="1094">
        <f>SA34b!H21</f>
        <v>0</v>
      </c>
      <c r="I25" s="1095">
        <f>SA34b!I21</f>
        <v>0</v>
      </c>
      <c r="J25" s="1091">
        <f>SA34b!J21</f>
        <v>0</v>
      </c>
      <c r="K25" s="1092">
        <f>SA34b!K21</f>
        <v>0</v>
      </c>
    </row>
    <row r="26" spans="1:11" ht="11.25" customHeight="1">
      <c r="A26" s="1476" t="str">
        <f>$A$11</f>
        <v>Infrastructure</v>
      </c>
      <c r="B26" s="372"/>
      <c r="C26" s="1052">
        <f>SUM(C21:C25)</f>
        <v>1754275</v>
      </c>
      <c r="D26" s="1052">
        <f>SUM(D21:D25)</f>
        <v>70024431</v>
      </c>
      <c r="E26" s="1053">
        <f t="shared" ref="E26:K26" si="3">SUM(E21:E25)</f>
        <v>95810000</v>
      </c>
      <c r="F26" s="1054">
        <f t="shared" si="3"/>
        <v>28087000</v>
      </c>
      <c r="G26" s="1052">
        <f t="shared" si="3"/>
        <v>32450673</v>
      </c>
      <c r="H26" s="1055">
        <f t="shared" si="3"/>
        <v>32450673</v>
      </c>
      <c r="I26" s="1056">
        <f t="shared" si="3"/>
        <v>53636300</v>
      </c>
      <c r="J26" s="1052">
        <f t="shared" si="3"/>
        <v>96970300</v>
      </c>
      <c r="K26" s="1053">
        <f t="shared" si="3"/>
        <v>162215000</v>
      </c>
    </row>
    <row r="27" spans="1:11" ht="11.25" customHeight="1">
      <c r="A27" s="1477" t="str">
        <f>A12</f>
        <v>Community</v>
      </c>
      <c r="B27" s="275"/>
      <c r="C27" s="1091">
        <f>SA34b!C27</f>
        <v>0</v>
      </c>
      <c r="D27" s="1091">
        <f>SA34b!D27</f>
        <v>6957742</v>
      </c>
      <c r="E27" s="1092">
        <f>SA34b!E27</f>
        <v>0</v>
      </c>
      <c r="F27" s="1093">
        <f>SA34b!F27</f>
        <v>0</v>
      </c>
      <c r="G27" s="1091">
        <f>SA34b!G27</f>
        <v>0</v>
      </c>
      <c r="H27" s="1094">
        <f>SA34b!H27</f>
        <v>0</v>
      </c>
      <c r="I27" s="1095">
        <f>SA34b!I27</f>
        <v>43067000</v>
      </c>
      <c r="J27" s="1091">
        <f>SA34b!J27</f>
        <v>23480000</v>
      </c>
      <c r="K27" s="1092">
        <f>SA34b!K27</f>
        <v>0</v>
      </c>
    </row>
    <row r="28" spans="1:11" ht="11.25" customHeight="1">
      <c r="A28" s="1477" t="str">
        <f>A13</f>
        <v>Heritage assets</v>
      </c>
      <c r="B28" s="275"/>
      <c r="C28" s="1549">
        <f>SA34b!C43</f>
        <v>0</v>
      </c>
      <c r="D28" s="1549">
        <f>SA34b!D43</f>
        <v>0</v>
      </c>
      <c r="E28" s="1550">
        <f>SA34b!E43</f>
        <v>0</v>
      </c>
      <c r="F28" s="1551">
        <f>SA34b!F43</f>
        <v>0</v>
      </c>
      <c r="G28" s="1549">
        <f>SA34b!G43</f>
        <v>0</v>
      </c>
      <c r="H28" s="1552">
        <f>SA34b!H43</f>
        <v>0</v>
      </c>
      <c r="I28" s="1553">
        <f>SA34b!I43</f>
        <v>0</v>
      </c>
      <c r="J28" s="1549">
        <f>SA34b!J43</f>
        <v>0</v>
      </c>
      <c r="K28" s="1550">
        <f>SA34b!K43</f>
        <v>0</v>
      </c>
    </row>
    <row r="29" spans="1:11" ht="11.25" customHeight="1">
      <c r="A29" s="1477" t="str">
        <f>A14</f>
        <v>Investment properties</v>
      </c>
      <c r="B29" s="275"/>
      <c r="C29" s="1091">
        <f>SA34b!C47</f>
        <v>0</v>
      </c>
      <c r="D29" s="1091">
        <f>SA34b!D47</f>
        <v>0</v>
      </c>
      <c r="E29" s="1092">
        <f>SA34b!E47</f>
        <v>0</v>
      </c>
      <c r="F29" s="1093">
        <f>SA34b!F47</f>
        <v>0</v>
      </c>
      <c r="G29" s="1091">
        <f>SA34b!G47</f>
        <v>0</v>
      </c>
      <c r="H29" s="1094">
        <f>SA34b!H47</f>
        <v>0</v>
      </c>
      <c r="I29" s="1095">
        <f>SA34b!I47</f>
        <v>0</v>
      </c>
      <c r="J29" s="1091">
        <f>SA34b!J47</f>
        <v>0</v>
      </c>
      <c r="K29" s="1092">
        <f>SA34b!K47</f>
        <v>0</v>
      </c>
    </row>
    <row r="30" spans="1:11" ht="11.25" customHeight="1">
      <c r="A30" s="1477" t="str">
        <f>A15</f>
        <v>Other assets</v>
      </c>
      <c r="B30" s="183">
        <v>6</v>
      </c>
      <c r="C30" s="1091">
        <f>SA34b!C51</f>
        <v>11459666</v>
      </c>
      <c r="D30" s="1091">
        <f>SA34b!D51</f>
        <v>0</v>
      </c>
      <c r="E30" s="1092">
        <f>SA34b!E51</f>
        <v>0</v>
      </c>
      <c r="F30" s="1093">
        <f>SA34b!F51</f>
        <v>0</v>
      </c>
      <c r="G30" s="1091">
        <f>SA34b!G51</f>
        <v>1590000</v>
      </c>
      <c r="H30" s="1094">
        <f>SA34b!H51</f>
        <v>1590000</v>
      </c>
      <c r="I30" s="1095">
        <f>SA34b!I51</f>
        <v>55900000</v>
      </c>
      <c r="J30" s="1091">
        <f>SA34b!J51</f>
        <v>25869000</v>
      </c>
      <c r="K30" s="1092">
        <f>SA34b!K51</f>
        <v>20000000</v>
      </c>
    </row>
    <row r="31" spans="1:11">
      <c r="A31" s="1634" t="s">
        <v>1682</v>
      </c>
      <c r="B31" s="570"/>
      <c r="C31" s="1091">
        <f>SA34b!C65</f>
        <v>0</v>
      </c>
      <c r="D31" s="1091">
        <f>SA34b!D65</f>
        <v>0</v>
      </c>
      <c r="E31" s="1092">
        <f>SA34b!E65</f>
        <v>0</v>
      </c>
      <c r="F31" s="1093">
        <f>SA34b!F65</f>
        <v>0</v>
      </c>
      <c r="G31" s="1091">
        <f>SA34b!G65</f>
        <v>0</v>
      </c>
      <c r="H31" s="1094">
        <f>SA34b!H65</f>
        <v>0</v>
      </c>
      <c r="I31" s="1095">
        <f>SA34b!I65</f>
        <v>0</v>
      </c>
      <c r="J31" s="1091">
        <f>SA34b!J65</f>
        <v>0</v>
      </c>
      <c r="K31" s="1092">
        <f>SA34b!K65</f>
        <v>0</v>
      </c>
    </row>
    <row r="32" spans="1:11" ht="11.25" customHeight="1">
      <c r="A32" s="1477" t="str">
        <f>A17</f>
        <v>Biological assets</v>
      </c>
      <c r="B32" s="183"/>
      <c r="C32" s="1091">
        <f>SA34b!C69</f>
        <v>0</v>
      </c>
      <c r="D32" s="1091">
        <f>SA34b!D69</f>
        <v>0</v>
      </c>
      <c r="E32" s="1092">
        <f>SA34b!E69</f>
        <v>0</v>
      </c>
      <c r="F32" s="1093">
        <f>SA34b!F69</f>
        <v>0</v>
      </c>
      <c r="G32" s="1091">
        <f>SA34b!G69</f>
        <v>0</v>
      </c>
      <c r="H32" s="1094">
        <f>SA34b!H69</f>
        <v>0</v>
      </c>
      <c r="I32" s="1095">
        <f>SA34b!I69</f>
        <v>0</v>
      </c>
      <c r="J32" s="1091">
        <f>SA34b!J69</f>
        <v>0</v>
      </c>
      <c r="K32" s="1092">
        <f>SA34b!K69</f>
        <v>0</v>
      </c>
    </row>
    <row r="33" spans="1:11" ht="11.25" customHeight="1">
      <c r="A33" s="1477" t="str">
        <f>A18</f>
        <v>Intangibles</v>
      </c>
      <c r="B33" s="183"/>
      <c r="C33" s="1183">
        <f>SA34b!C73</f>
        <v>0</v>
      </c>
      <c r="D33" s="1183">
        <f>SA34b!D73</f>
        <v>0</v>
      </c>
      <c r="E33" s="1184">
        <f>SA34b!E73</f>
        <v>0</v>
      </c>
      <c r="F33" s="1185">
        <f>SA34b!F73</f>
        <v>0</v>
      </c>
      <c r="G33" s="1183">
        <f>SA34b!G73</f>
        <v>0</v>
      </c>
      <c r="H33" s="1186">
        <f>SA34b!H73</f>
        <v>0</v>
      </c>
      <c r="I33" s="1187">
        <f>SA34b!I73</f>
        <v>0</v>
      </c>
      <c r="J33" s="1183">
        <f>SA34b!J73</f>
        <v>0</v>
      </c>
      <c r="K33" s="1184">
        <f>SA34b!K73</f>
        <v>0</v>
      </c>
    </row>
    <row r="34" spans="1:11" ht="5.0999999999999996" customHeight="1">
      <c r="A34" s="1478"/>
      <c r="B34" s="183"/>
      <c r="C34" s="208"/>
      <c r="D34" s="208"/>
      <c r="E34" s="265"/>
      <c r="F34" s="252"/>
      <c r="G34" s="208"/>
      <c r="H34" s="211"/>
      <c r="I34" s="212"/>
      <c r="J34" s="208"/>
      <c r="K34" s="265"/>
    </row>
    <row r="35" spans="1:11" ht="11.25" customHeight="1">
      <c r="A35" s="1632" t="s">
        <v>634</v>
      </c>
      <c r="B35" s="183">
        <v>4</v>
      </c>
      <c r="C35" s="204"/>
      <c r="D35" s="204"/>
      <c r="E35" s="205"/>
      <c r="F35" s="206"/>
      <c r="G35" s="204"/>
      <c r="H35" s="203"/>
      <c r="I35" s="207"/>
      <c r="J35" s="204"/>
      <c r="K35" s="205"/>
    </row>
    <row r="36" spans="1:11" ht="11.25" customHeight="1">
      <c r="A36" s="1633" t="s">
        <v>408</v>
      </c>
      <c r="B36" s="351"/>
      <c r="C36" s="208">
        <f>C6+C21</f>
        <v>62842123</v>
      </c>
      <c r="D36" s="208">
        <f t="shared" ref="D36:K36" si="4">D6+D21</f>
        <v>155088307</v>
      </c>
      <c r="E36" s="265">
        <f t="shared" si="4"/>
        <v>58571294</v>
      </c>
      <c r="F36" s="252">
        <f t="shared" si="4"/>
        <v>91900000</v>
      </c>
      <c r="G36" s="208">
        <f t="shared" si="4"/>
        <v>111900000</v>
      </c>
      <c r="H36" s="211">
        <f t="shared" si="4"/>
        <v>111900000</v>
      </c>
      <c r="I36" s="212">
        <f t="shared" si="4"/>
        <v>31775000</v>
      </c>
      <c r="J36" s="208">
        <f t="shared" si="4"/>
        <v>101470300</v>
      </c>
      <c r="K36" s="265">
        <f t="shared" si="4"/>
        <v>162215000</v>
      </c>
    </row>
    <row r="37" spans="1:11" ht="11.25" customHeight="1">
      <c r="A37" s="1633" t="s">
        <v>794</v>
      </c>
      <c r="B37" s="351"/>
      <c r="C37" s="208">
        <f>C7+C22</f>
        <v>38361804</v>
      </c>
      <c r="D37" s="208">
        <f t="shared" ref="D37:K38" si="5">D7+D22</f>
        <v>7000000</v>
      </c>
      <c r="E37" s="265">
        <f t="shared" si="5"/>
        <v>26358564</v>
      </c>
      <c r="F37" s="252">
        <f t="shared" si="5"/>
        <v>8419000</v>
      </c>
      <c r="G37" s="208">
        <f t="shared" si="5"/>
        <v>65792741</v>
      </c>
      <c r="H37" s="211">
        <f t="shared" si="5"/>
        <v>65792741</v>
      </c>
      <c r="I37" s="212">
        <f t="shared" si="5"/>
        <v>60361300</v>
      </c>
      <c r="J37" s="208">
        <f t="shared" si="5"/>
        <v>0</v>
      </c>
      <c r="K37" s="265">
        <f t="shared" si="5"/>
        <v>0</v>
      </c>
    </row>
    <row r="38" spans="1:11" ht="11.25" customHeight="1">
      <c r="A38" s="1633" t="s">
        <v>409</v>
      </c>
      <c r="B38" s="351"/>
      <c r="C38" s="208">
        <f>C8+C23</f>
        <v>8012403</v>
      </c>
      <c r="D38" s="208">
        <f t="shared" si="5"/>
        <v>29534435</v>
      </c>
      <c r="E38" s="265">
        <f t="shared" si="5"/>
        <v>44356925</v>
      </c>
      <c r="F38" s="252">
        <f t="shared" si="5"/>
        <v>14000000</v>
      </c>
      <c r="G38" s="208">
        <f t="shared" si="5"/>
        <v>14000000</v>
      </c>
      <c r="H38" s="211">
        <f t="shared" si="5"/>
        <v>14000000</v>
      </c>
      <c r="I38" s="212">
        <f t="shared" si="5"/>
        <v>43429406</v>
      </c>
      <c r="J38" s="208">
        <f t="shared" si="5"/>
        <v>31000000</v>
      </c>
      <c r="K38" s="265">
        <f t="shared" si="5"/>
        <v>0</v>
      </c>
    </row>
    <row r="39" spans="1:11" ht="11.25" customHeight="1">
      <c r="A39" s="1633" t="s">
        <v>410</v>
      </c>
      <c r="B39" s="351"/>
      <c r="C39" s="208">
        <f>C9+C24</f>
        <v>27592551</v>
      </c>
      <c r="D39" s="208">
        <f t="shared" ref="D39:K39" si="6">D9+D24</f>
        <v>83938027</v>
      </c>
      <c r="E39" s="265">
        <f>E9+E24</f>
        <v>37413000</v>
      </c>
      <c r="F39" s="252">
        <f t="shared" si="6"/>
        <v>74445000</v>
      </c>
      <c r="G39" s="208">
        <f t="shared" si="6"/>
        <v>74745000</v>
      </c>
      <c r="H39" s="211">
        <f t="shared" si="6"/>
        <v>74745000</v>
      </c>
      <c r="I39" s="212">
        <f t="shared" si="6"/>
        <v>0</v>
      </c>
      <c r="J39" s="208">
        <f t="shared" si="6"/>
        <v>0</v>
      </c>
      <c r="K39" s="265">
        <f t="shared" si="6"/>
        <v>0</v>
      </c>
    </row>
    <row r="40" spans="1:11" ht="11.25" customHeight="1">
      <c r="A40" s="1633" t="s">
        <v>729</v>
      </c>
      <c r="B40" s="351"/>
      <c r="C40" s="208">
        <f t="shared" ref="C40:K40" si="7">C10+C25</f>
        <v>6885295</v>
      </c>
      <c r="D40" s="208">
        <f t="shared" si="7"/>
        <v>2205707</v>
      </c>
      <c r="E40" s="265">
        <f t="shared" si="7"/>
        <v>55604151</v>
      </c>
      <c r="F40" s="252">
        <f t="shared" si="7"/>
        <v>2571000</v>
      </c>
      <c r="G40" s="208">
        <f t="shared" si="7"/>
        <v>17571000</v>
      </c>
      <c r="H40" s="211">
        <f t="shared" si="7"/>
        <v>17571000</v>
      </c>
      <c r="I40" s="212">
        <f t="shared" si="7"/>
        <v>59903594</v>
      </c>
      <c r="J40" s="208">
        <f t="shared" si="7"/>
        <v>11500000</v>
      </c>
      <c r="K40" s="265">
        <f t="shared" si="7"/>
        <v>0</v>
      </c>
    </row>
    <row r="41" spans="1:11" ht="11.25" customHeight="1">
      <c r="A41" s="1476" t="str">
        <f>$A$11</f>
        <v>Infrastructure</v>
      </c>
      <c r="B41" s="351"/>
      <c r="C41" s="1052">
        <f>SUM(C36:C40)</f>
        <v>143694176</v>
      </c>
      <c r="D41" s="1052">
        <f t="shared" ref="D41:K41" si="8">SUM(D36:D40)</f>
        <v>277766476</v>
      </c>
      <c r="E41" s="1053">
        <f t="shared" si="8"/>
        <v>222303934</v>
      </c>
      <c r="F41" s="1054">
        <f t="shared" si="8"/>
        <v>191335000</v>
      </c>
      <c r="G41" s="1052">
        <f t="shared" si="8"/>
        <v>284008741</v>
      </c>
      <c r="H41" s="1055">
        <f t="shared" si="8"/>
        <v>284008741</v>
      </c>
      <c r="I41" s="1056">
        <f t="shared" si="8"/>
        <v>195469300</v>
      </c>
      <c r="J41" s="1052">
        <f t="shared" si="8"/>
        <v>143970300</v>
      </c>
      <c r="K41" s="1053">
        <f t="shared" si="8"/>
        <v>162215000</v>
      </c>
    </row>
    <row r="42" spans="1:11" ht="11.25" customHeight="1">
      <c r="A42" s="1477" t="str">
        <f>SA34a!A27</f>
        <v>Community</v>
      </c>
      <c r="B42" s="183"/>
      <c r="C42" s="208">
        <f t="shared" ref="C42:C48" si="9">C12+C27</f>
        <v>6892000</v>
      </c>
      <c r="D42" s="208">
        <f t="shared" ref="D42:K42" si="10">D12+D27</f>
        <v>17594742</v>
      </c>
      <c r="E42" s="205">
        <f t="shared" si="10"/>
        <v>33174849</v>
      </c>
      <c r="F42" s="206">
        <f t="shared" si="10"/>
        <v>64474000</v>
      </c>
      <c r="G42" s="204">
        <f t="shared" si="10"/>
        <v>65774000</v>
      </c>
      <c r="H42" s="203">
        <f t="shared" si="10"/>
        <v>65774000</v>
      </c>
      <c r="I42" s="207">
        <f t="shared" si="10"/>
        <v>140444000</v>
      </c>
      <c r="J42" s="204">
        <f t="shared" si="10"/>
        <v>136480000</v>
      </c>
      <c r="K42" s="205">
        <f t="shared" si="10"/>
        <v>32000000</v>
      </c>
    </row>
    <row r="43" spans="1:11" ht="11.25" customHeight="1">
      <c r="A43" s="1477" t="str">
        <f>SA34a!A43</f>
        <v>Heritage assets</v>
      </c>
      <c r="B43" s="183"/>
      <c r="C43" s="257">
        <f t="shared" si="9"/>
        <v>0</v>
      </c>
      <c r="D43" s="257">
        <f t="shared" ref="D43:K43" si="11">D13+D28</f>
        <v>10000000</v>
      </c>
      <c r="E43" s="258">
        <f t="shared" si="11"/>
        <v>5710667</v>
      </c>
      <c r="F43" s="297">
        <f t="shared" si="11"/>
        <v>0</v>
      </c>
      <c r="G43" s="260">
        <f t="shared" si="11"/>
        <v>0</v>
      </c>
      <c r="H43" s="256">
        <f t="shared" si="11"/>
        <v>0</v>
      </c>
      <c r="I43" s="261">
        <f t="shared" si="11"/>
        <v>0</v>
      </c>
      <c r="J43" s="260">
        <f t="shared" si="11"/>
        <v>0</v>
      </c>
      <c r="K43" s="258">
        <f t="shared" si="11"/>
        <v>0</v>
      </c>
    </row>
    <row r="44" spans="1:11" ht="11.25" customHeight="1">
      <c r="A44" s="1477" t="str">
        <f>SA34a!A47</f>
        <v>Investment properties</v>
      </c>
      <c r="B44" s="183"/>
      <c r="C44" s="208">
        <f t="shared" si="9"/>
        <v>0</v>
      </c>
      <c r="D44" s="208">
        <f t="shared" ref="D44:K44" si="12">D14+D29</f>
        <v>0</v>
      </c>
      <c r="E44" s="205">
        <f t="shared" si="12"/>
        <v>0</v>
      </c>
      <c r="F44" s="206">
        <f t="shared" si="12"/>
        <v>0</v>
      </c>
      <c r="G44" s="204">
        <f t="shared" si="12"/>
        <v>0</v>
      </c>
      <c r="H44" s="203">
        <f t="shared" si="12"/>
        <v>0</v>
      </c>
      <c r="I44" s="207">
        <f t="shared" si="12"/>
        <v>0</v>
      </c>
      <c r="J44" s="204">
        <f t="shared" si="12"/>
        <v>0</v>
      </c>
      <c r="K44" s="205">
        <f t="shared" si="12"/>
        <v>0</v>
      </c>
    </row>
    <row r="45" spans="1:11" ht="11.25" customHeight="1">
      <c r="A45" s="1477" t="str">
        <f>SA34a!A51</f>
        <v>Other assets</v>
      </c>
      <c r="B45" s="183"/>
      <c r="C45" s="208">
        <f t="shared" si="9"/>
        <v>59701666</v>
      </c>
      <c r="D45" s="208">
        <f t="shared" ref="D45:K45" si="13">D15+D30</f>
        <v>8438000</v>
      </c>
      <c r="E45" s="205">
        <f t="shared" si="13"/>
        <v>10653670</v>
      </c>
      <c r="F45" s="206">
        <f t="shared" si="13"/>
        <v>40128000</v>
      </c>
      <c r="G45" s="204">
        <f t="shared" si="13"/>
        <v>44765000</v>
      </c>
      <c r="H45" s="203">
        <f t="shared" si="13"/>
        <v>44765000</v>
      </c>
      <c r="I45" s="207">
        <f t="shared" si="13"/>
        <v>75400000</v>
      </c>
      <c r="J45" s="204">
        <f t="shared" si="13"/>
        <v>30369000</v>
      </c>
      <c r="K45" s="205">
        <f t="shared" si="13"/>
        <v>20000000</v>
      </c>
    </row>
    <row r="46" spans="1:11">
      <c r="A46" s="1634" t="s">
        <v>1682</v>
      </c>
      <c r="B46" s="183"/>
      <c r="C46" s="208">
        <f t="shared" si="9"/>
        <v>0</v>
      </c>
      <c r="D46" s="208">
        <f t="shared" ref="D46:K46" si="14">D16+D31</f>
        <v>0</v>
      </c>
      <c r="E46" s="205">
        <f t="shared" si="14"/>
        <v>0</v>
      </c>
      <c r="F46" s="206">
        <f t="shared" si="14"/>
        <v>0</v>
      </c>
      <c r="G46" s="204">
        <f t="shared" si="14"/>
        <v>0</v>
      </c>
      <c r="H46" s="203">
        <f t="shared" si="14"/>
        <v>0</v>
      </c>
      <c r="I46" s="207">
        <f t="shared" si="14"/>
        <v>0</v>
      </c>
      <c r="J46" s="204">
        <f t="shared" si="14"/>
        <v>0</v>
      </c>
      <c r="K46" s="205">
        <f t="shared" si="14"/>
        <v>0</v>
      </c>
    </row>
    <row r="47" spans="1:11" ht="11.25" customHeight="1">
      <c r="A47" s="1477" t="str">
        <f>A32</f>
        <v>Biological assets</v>
      </c>
      <c r="B47" s="183"/>
      <c r="C47" s="208">
        <f t="shared" si="9"/>
        <v>0</v>
      </c>
      <c r="D47" s="208">
        <f t="shared" ref="D47:K47" si="15">D17+D32</f>
        <v>0</v>
      </c>
      <c r="E47" s="205">
        <f t="shared" si="15"/>
        <v>0</v>
      </c>
      <c r="F47" s="206">
        <f t="shared" si="15"/>
        <v>0</v>
      </c>
      <c r="G47" s="204">
        <f t="shared" si="15"/>
        <v>0</v>
      </c>
      <c r="H47" s="203">
        <f t="shared" si="15"/>
        <v>0</v>
      </c>
      <c r="I47" s="207">
        <f t="shared" si="15"/>
        <v>0</v>
      </c>
      <c r="J47" s="204">
        <f t="shared" si="15"/>
        <v>0</v>
      </c>
      <c r="K47" s="205">
        <f t="shared" si="15"/>
        <v>0</v>
      </c>
    </row>
    <row r="48" spans="1:11" ht="11.25" customHeight="1">
      <c r="A48" s="1477" t="str">
        <f>A33</f>
        <v>Intangibles</v>
      </c>
      <c r="B48" s="183"/>
      <c r="C48" s="208">
        <f t="shared" si="9"/>
        <v>0</v>
      </c>
      <c r="D48" s="208">
        <f t="shared" ref="D48:K48" si="16">D18+D33</f>
        <v>0</v>
      </c>
      <c r="E48" s="205">
        <f t="shared" si="16"/>
        <v>0</v>
      </c>
      <c r="F48" s="206">
        <f t="shared" si="16"/>
        <v>0</v>
      </c>
      <c r="G48" s="204">
        <f t="shared" si="16"/>
        <v>0</v>
      </c>
      <c r="H48" s="203">
        <f t="shared" si="16"/>
        <v>0</v>
      </c>
      <c r="I48" s="207">
        <f t="shared" si="16"/>
        <v>0</v>
      </c>
      <c r="J48" s="204">
        <f t="shared" si="16"/>
        <v>0</v>
      </c>
      <c r="K48" s="205">
        <f t="shared" si="16"/>
        <v>0</v>
      </c>
    </row>
    <row r="49" spans="1:11">
      <c r="A49" s="1635" t="s">
        <v>1562</v>
      </c>
      <c r="B49" s="226">
        <v>2</v>
      </c>
      <c r="C49" s="231">
        <f t="shared" ref="C49:K49" si="17">SUM(C41:C48)</f>
        <v>210287842</v>
      </c>
      <c r="D49" s="231">
        <f t="shared" si="17"/>
        <v>313799218</v>
      </c>
      <c r="E49" s="229">
        <f t="shared" si="17"/>
        <v>271843120</v>
      </c>
      <c r="F49" s="230">
        <f t="shared" si="17"/>
        <v>295937000</v>
      </c>
      <c r="G49" s="231">
        <f t="shared" si="17"/>
        <v>394547741</v>
      </c>
      <c r="H49" s="232">
        <f t="shared" si="17"/>
        <v>394547741</v>
      </c>
      <c r="I49" s="233">
        <f t="shared" si="17"/>
        <v>411313300</v>
      </c>
      <c r="J49" s="231">
        <f t="shared" si="17"/>
        <v>310819300</v>
      </c>
      <c r="K49" s="229">
        <f t="shared" si="17"/>
        <v>214215000</v>
      </c>
    </row>
    <row r="50" spans="1:11" ht="5.0999999999999996" customHeight="1">
      <c r="A50" s="251"/>
      <c r="B50" s="183"/>
      <c r="C50" s="204"/>
      <c r="D50" s="204"/>
      <c r="E50" s="205"/>
      <c r="F50" s="206"/>
      <c r="G50" s="204"/>
      <c r="H50" s="203"/>
      <c r="I50" s="207"/>
      <c r="J50" s="204"/>
      <c r="K50" s="205"/>
    </row>
    <row r="51" spans="1:11" ht="11.25" customHeight="1">
      <c r="A51" s="327" t="s">
        <v>1566</v>
      </c>
      <c r="B51" s="183">
        <v>5</v>
      </c>
      <c r="C51" s="204"/>
      <c r="D51" s="204"/>
      <c r="E51" s="205"/>
      <c r="F51" s="206"/>
      <c r="G51" s="204"/>
      <c r="H51" s="203"/>
      <c r="I51" s="207"/>
      <c r="J51" s="204"/>
      <c r="K51" s="205"/>
    </row>
    <row r="52" spans="1:11" ht="11.25" customHeight="1">
      <c r="A52" s="1555" t="s">
        <v>408</v>
      </c>
      <c r="B52" s="351"/>
      <c r="C52" s="1080">
        <v>69761352</v>
      </c>
      <c r="D52" s="1080">
        <v>140615790</v>
      </c>
      <c r="E52" s="1080">
        <v>1727921398</v>
      </c>
      <c r="F52" s="1712">
        <v>1715217127</v>
      </c>
      <c r="G52" s="1708">
        <v>1810444575.0400841</v>
      </c>
      <c r="H52" s="1732">
        <v>1810444575.0400841</v>
      </c>
      <c r="I52" s="1080">
        <v>1822866502.3188062</v>
      </c>
      <c r="J52" s="1708">
        <v>1787039984.3836679</v>
      </c>
      <c r="K52" s="1730">
        <v>1749540695.4609556</v>
      </c>
    </row>
    <row r="53" spans="1:11" ht="11.25" customHeight="1">
      <c r="A53" s="1555" t="s">
        <v>794</v>
      </c>
      <c r="B53" s="351"/>
      <c r="C53" s="1080">
        <v>35339781</v>
      </c>
      <c r="D53" s="1080">
        <v>34171431</v>
      </c>
      <c r="E53" s="1080">
        <v>1339526408</v>
      </c>
      <c r="F53" s="1712">
        <v>1277158318</v>
      </c>
      <c r="G53" s="1708">
        <v>1382880116.6639099</v>
      </c>
      <c r="H53" s="1732">
        <v>1382880116.6639099</v>
      </c>
      <c r="I53" s="1080">
        <v>1366071273.359884</v>
      </c>
      <c r="J53" s="1708">
        <v>1339222583.7199965</v>
      </c>
      <c r="K53" s="1730">
        <v>1311120305.630199</v>
      </c>
    </row>
    <row r="54" spans="1:11" ht="11.25" customHeight="1">
      <c r="A54" s="1555" t="s">
        <v>409</v>
      </c>
      <c r="B54" s="351"/>
      <c r="C54" s="1080">
        <v>45339833</v>
      </c>
      <c r="D54" s="1080">
        <v>74632195</v>
      </c>
      <c r="E54" s="1080">
        <v>838634281</v>
      </c>
      <c r="F54" s="1712">
        <v>846180267</v>
      </c>
      <c r="G54" s="1708">
        <v>839020086.51910067</v>
      </c>
      <c r="H54" s="1732">
        <v>839020086.51910067</v>
      </c>
      <c r="I54" s="1080">
        <v>891685947.06427085</v>
      </c>
      <c r="J54" s="1708">
        <v>874160800.52481151</v>
      </c>
      <c r="K54" s="1730">
        <v>855817389.79519939</v>
      </c>
    </row>
    <row r="55" spans="1:11" ht="11.25" customHeight="1">
      <c r="A55" s="1555" t="s">
        <v>410</v>
      </c>
      <c r="B55" s="351"/>
      <c r="C55" s="1081"/>
      <c r="D55" s="1082"/>
      <c r="E55" s="1084">
        <v>488306995</v>
      </c>
      <c r="F55" s="1712">
        <v>506267839</v>
      </c>
      <c r="G55" s="1708">
        <v>554061623.00393391</v>
      </c>
      <c r="H55" s="1732">
        <v>554061623.00393391</v>
      </c>
      <c r="I55" s="1081">
        <v>543765235.71164978</v>
      </c>
      <c r="J55" s="1708">
        <v>533078103.68912005</v>
      </c>
      <c r="K55" s="1730">
        <v>521891980.26530409</v>
      </c>
    </row>
    <row r="56" spans="1:11" ht="11.25" customHeight="1">
      <c r="A56" s="1555" t="s">
        <v>729</v>
      </c>
      <c r="B56" s="351"/>
      <c r="C56" s="1080">
        <v>5282223</v>
      </c>
      <c r="D56" s="1080">
        <v>31661543</v>
      </c>
      <c r="E56" s="1080">
        <v>470758243</v>
      </c>
      <c r="F56" s="1712">
        <v>624976609</v>
      </c>
      <c r="G56" s="1708">
        <v>480531985.21543723</v>
      </c>
      <c r="H56" s="1732">
        <v>480531985.21543723</v>
      </c>
      <c r="I56" s="1080">
        <v>473564866.76793271</v>
      </c>
      <c r="J56" s="1708">
        <v>464257448.93391657</v>
      </c>
      <c r="K56" s="1730">
        <v>454515459.74272418</v>
      </c>
    </row>
    <row r="57" spans="1:11" ht="11.25" customHeight="1">
      <c r="A57" s="255" t="str">
        <f>A41</f>
        <v>Infrastructure</v>
      </c>
      <c r="B57" s="351"/>
      <c r="C57" s="1336">
        <f>SUM(C52:C56)</f>
        <v>155723189</v>
      </c>
      <c r="D57" s="1336">
        <f t="shared" ref="D57:K57" si="18">SUM(D52:D56)</f>
        <v>281080959</v>
      </c>
      <c r="E57" s="1337">
        <f t="shared" si="18"/>
        <v>4865147325</v>
      </c>
      <c r="F57" s="1338">
        <f t="shared" si="18"/>
        <v>4969800160</v>
      </c>
      <c r="G57" s="1336">
        <f t="shared" si="18"/>
        <v>5066938386.4424648</v>
      </c>
      <c r="H57" s="1339">
        <f t="shared" si="18"/>
        <v>5066938386.4424648</v>
      </c>
      <c r="I57" s="1340">
        <f t="shared" si="18"/>
        <v>5097953825.2225437</v>
      </c>
      <c r="J57" s="1336">
        <f t="shared" si="18"/>
        <v>4997758921.2515125</v>
      </c>
      <c r="K57" s="1337">
        <f t="shared" si="18"/>
        <v>4892885830.8943825</v>
      </c>
    </row>
    <row r="58" spans="1:11" ht="11.25" customHeight="1">
      <c r="A58" s="251" t="str">
        <f>A12</f>
        <v>Community</v>
      </c>
      <c r="B58" s="183"/>
      <c r="C58" s="1081">
        <v>13904231</v>
      </c>
      <c r="D58" s="1082">
        <v>46959696</v>
      </c>
      <c r="E58" s="1084">
        <v>528327036</v>
      </c>
      <c r="F58" s="1712">
        <v>527711982</v>
      </c>
      <c r="G58" s="1708">
        <v>584614897.09931695</v>
      </c>
      <c r="H58" s="1732">
        <v>584614897.09931695</v>
      </c>
      <c r="I58" s="1081">
        <v>573750723.95821285</v>
      </c>
      <c r="J58" s="1708">
        <v>562474258.78856945</v>
      </c>
      <c r="K58" s="1730">
        <v>550671285.74528015</v>
      </c>
    </row>
    <row r="59" spans="1:11" ht="11.25" customHeight="1">
      <c r="A59" s="251" t="str">
        <f>A13</f>
        <v>Heritage assets</v>
      </c>
      <c r="B59" s="183"/>
      <c r="C59" s="2243"/>
      <c r="D59" s="2244"/>
      <c r="E59" s="2244"/>
      <c r="F59" s="1735"/>
      <c r="G59" s="1733"/>
      <c r="H59" s="1736"/>
      <c r="I59" s="2242"/>
      <c r="J59" s="1733"/>
      <c r="K59" s="1734"/>
    </row>
    <row r="60" spans="1:11" ht="11.25" customHeight="1">
      <c r="A60" s="251" t="str">
        <f>A14</f>
        <v>Investment properties</v>
      </c>
      <c r="B60" s="183"/>
      <c r="C60" s="1091">
        <f>'A6-FinPos'!C17</f>
        <v>0</v>
      </c>
      <c r="D60" s="1091">
        <f>'A6-FinPos'!D17</f>
        <v>534167000</v>
      </c>
      <c r="E60" s="1092">
        <f>'A6-FinPos'!E17</f>
        <v>534167000</v>
      </c>
      <c r="F60" s="1093">
        <f>'A6-FinPos'!F17</f>
        <v>534167000</v>
      </c>
      <c r="G60" s="1091">
        <f>'A6-FinPos'!G17</f>
        <v>534167000</v>
      </c>
      <c r="H60" s="1094">
        <f>'A6-FinPos'!H17</f>
        <v>534167000</v>
      </c>
      <c r="I60" s="1095">
        <f>'A6-FinPos'!J17</f>
        <v>534167000</v>
      </c>
      <c r="J60" s="1091">
        <f>'A6-FinPos'!K17</f>
        <v>534167000</v>
      </c>
      <c r="K60" s="1092">
        <f>'A6-FinPos'!L17</f>
        <v>534167000</v>
      </c>
    </row>
    <row r="61" spans="1:11" ht="11.25" customHeight="1">
      <c r="A61" s="251" t="str">
        <f>A15</f>
        <v>Other assets</v>
      </c>
      <c r="B61" s="183"/>
      <c r="C61" s="1081">
        <v>26611671</v>
      </c>
      <c r="D61" s="1082">
        <v>9864981</v>
      </c>
      <c r="E61" s="1084">
        <v>827701246</v>
      </c>
      <c r="F61" s="1712">
        <v>1006846211</v>
      </c>
      <c r="G61" s="1708">
        <v>858535390.73821723</v>
      </c>
      <c r="H61" s="1732">
        <v>858535390.73821723</v>
      </c>
      <c r="I61" s="1081">
        <v>914487250.09924364</v>
      </c>
      <c r="J61" s="1708">
        <v>990137016.23991787</v>
      </c>
      <c r="K61" s="1730">
        <v>1020268788.6403375</v>
      </c>
    </row>
    <row r="62" spans="1:11">
      <c r="A62" s="191" t="s">
        <v>1682</v>
      </c>
      <c r="B62" s="183"/>
      <c r="C62" s="1091">
        <f>'A6-FinPos'!C20</f>
        <v>602670</v>
      </c>
      <c r="D62" s="1091">
        <f>'A6-FinPos'!D20</f>
        <v>0</v>
      </c>
      <c r="E62" s="1092">
        <f>'A6-FinPos'!E20</f>
        <v>0</v>
      </c>
      <c r="F62" s="1093">
        <f>'A6-FinPos'!F20</f>
        <v>0</v>
      </c>
      <c r="G62" s="1091">
        <f>'A6-FinPos'!G20</f>
        <v>0</v>
      </c>
      <c r="H62" s="1094">
        <f>'A6-FinPos'!H20</f>
        <v>0</v>
      </c>
      <c r="I62" s="1095">
        <f>'A6-FinPos'!J20</f>
        <v>0</v>
      </c>
      <c r="J62" s="1091">
        <f>'A6-FinPos'!K20</f>
        <v>0</v>
      </c>
      <c r="K62" s="1092">
        <f>'A6-FinPos'!L20</f>
        <v>0</v>
      </c>
    </row>
    <row r="63" spans="1:11" ht="11.25" customHeight="1">
      <c r="A63" s="251" t="str">
        <f>A17</f>
        <v>Biological assets</v>
      </c>
      <c r="B63" s="183"/>
      <c r="C63" s="1091">
        <f>'A6-FinPos'!C21</f>
        <v>0</v>
      </c>
      <c r="D63" s="1091">
        <f>'A6-FinPos'!D21</f>
        <v>0</v>
      </c>
      <c r="E63" s="1092">
        <f>'A6-FinPos'!E21</f>
        <v>0</v>
      </c>
      <c r="F63" s="1093">
        <f>'A6-FinPos'!F21</f>
        <v>0</v>
      </c>
      <c r="G63" s="1091">
        <f>'A6-FinPos'!G21</f>
        <v>543000</v>
      </c>
      <c r="H63" s="1094">
        <f>'A6-FinPos'!H21</f>
        <v>543000</v>
      </c>
      <c r="I63" s="1095">
        <f>'A6-FinPos'!J21</f>
        <v>543000</v>
      </c>
      <c r="J63" s="1091">
        <f>'A6-FinPos'!K21</f>
        <v>543000</v>
      </c>
      <c r="K63" s="1092">
        <f>'A6-FinPos'!L21</f>
        <v>543000</v>
      </c>
    </row>
    <row r="64" spans="1:11" ht="11.25" customHeight="1">
      <c r="A64" s="251" t="str">
        <f>A18</f>
        <v>Intangibles</v>
      </c>
      <c r="B64" s="183"/>
      <c r="C64" s="1091">
        <f>'A6-FinPos'!C22</f>
        <v>903696</v>
      </c>
      <c r="D64" s="1091">
        <f>'A6-FinPos'!D22</f>
        <v>3770000</v>
      </c>
      <c r="E64" s="1092">
        <f>'A6-FinPos'!E22</f>
        <v>6465000</v>
      </c>
      <c r="F64" s="1093">
        <f>'A6-FinPos'!F22</f>
        <v>1085000</v>
      </c>
      <c r="G64" s="1091">
        <f>'A6-FinPos'!G22</f>
        <v>6465000</v>
      </c>
      <c r="H64" s="1094">
        <f>'A6-FinPos'!H22</f>
        <v>6465000</v>
      </c>
      <c r="I64" s="1095">
        <f>'A6-FinPos'!J22</f>
        <v>6465000</v>
      </c>
      <c r="J64" s="1091">
        <f>'A6-FinPos'!K22</f>
        <v>6465000</v>
      </c>
      <c r="K64" s="1092">
        <f>'A6-FinPos'!L22</f>
        <v>6465000</v>
      </c>
    </row>
    <row r="65" spans="1:11" ht="11.25" customHeight="1">
      <c r="A65" s="1635" t="s">
        <v>1567</v>
      </c>
      <c r="B65" s="226">
        <v>5</v>
      </c>
      <c r="C65" s="231">
        <f t="shared" ref="C65:K65" si="19">SUM(C57:C64)</f>
        <v>197745457</v>
      </c>
      <c r="D65" s="231">
        <f t="shared" si="19"/>
        <v>875842636</v>
      </c>
      <c r="E65" s="229">
        <f t="shared" si="19"/>
        <v>6761807607</v>
      </c>
      <c r="F65" s="230">
        <f t="shared" si="19"/>
        <v>7039610353</v>
      </c>
      <c r="G65" s="231">
        <f t="shared" si="19"/>
        <v>7051263674.2799988</v>
      </c>
      <c r="H65" s="232">
        <f t="shared" si="19"/>
        <v>7051263674.2799988</v>
      </c>
      <c r="I65" s="356">
        <f t="shared" si="19"/>
        <v>7127366799.2800007</v>
      </c>
      <c r="J65" s="231">
        <f t="shared" si="19"/>
        <v>7091545196.2799997</v>
      </c>
      <c r="K65" s="229">
        <f t="shared" si="19"/>
        <v>7005000905.2800007</v>
      </c>
    </row>
    <row r="66" spans="1:11" ht="5.0999999999999996" customHeight="1">
      <c r="A66" s="251"/>
      <c r="B66" s="183"/>
      <c r="C66" s="204"/>
      <c r="D66" s="204"/>
      <c r="E66" s="205"/>
      <c r="F66" s="206"/>
      <c r="G66" s="204"/>
      <c r="H66" s="203"/>
      <c r="I66" s="207"/>
      <c r="J66" s="204"/>
      <c r="K66" s="205"/>
    </row>
    <row r="67" spans="1:11" ht="11.25" customHeight="1">
      <c r="A67" s="375" t="s">
        <v>1563</v>
      </c>
      <c r="B67" s="183"/>
      <c r="C67" s="219"/>
      <c r="D67" s="219"/>
      <c r="E67" s="220"/>
      <c r="F67" s="221"/>
      <c r="G67" s="219"/>
      <c r="H67" s="218"/>
      <c r="I67" s="222"/>
      <c r="J67" s="219"/>
      <c r="K67" s="220"/>
    </row>
    <row r="68" spans="1:11" ht="11.25" customHeight="1">
      <c r="A68" s="1346" t="str">
        <f>'A4-FinPerf RE'!A28</f>
        <v>Depreciation &amp; asset impairment</v>
      </c>
      <c r="B68" s="183"/>
      <c r="C68" s="204">
        <f>'A4-FinPerf RE'!C28</f>
        <v>96408758</v>
      </c>
      <c r="D68" s="204">
        <f>'A4-FinPerf RE'!D28</f>
        <v>50736350</v>
      </c>
      <c r="E68" s="205">
        <f>'A4-FinPerf RE'!E28</f>
        <v>123646386</v>
      </c>
      <c r="F68" s="206">
        <f>'A4-FinPerf RE'!F28</f>
        <v>115834000</v>
      </c>
      <c r="G68" s="204">
        <f>'A4-FinPerf RE'!G28</f>
        <v>105634674</v>
      </c>
      <c r="H68" s="203">
        <f>'A4-FinPerf RE'!H28</f>
        <v>105634674</v>
      </c>
      <c r="I68" s="207">
        <f>'A4-FinPerf RE'!J28</f>
        <v>124711874</v>
      </c>
      <c r="J68" s="204">
        <f>'A4-FinPerf RE'!K28</f>
        <v>85999663</v>
      </c>
      <c r="K68" s="205">
        <f>'A4-FinPerf RE'!L28</f>
        <v>91593636</v>
      </c>
    </row>
    <row r="69" spans="1:11" ht="11.25" customHeight="1">
      <c r="A69" s="1346" t="s">
        <v>411</v>
      </c>
      <c r="B69" s="183">
        <v>3</v>
      </c>
      <c r="C69" s="204">
        <f>SUM(C75:C79)</f>
        <v>60481535</v>
      </c>
      <c r="D69" s="204">
        <f t="shared" ref="D69:K69" si="20">SUM(D75:D79)</f>
        <v>71701171</v>
      </c>
      <c r="E69" s="205">
        <f t="shared" si="20"/>
        <v>126447143</v>
      </c>
      <c r="F69" s="206">
        <f t="shared" si="20"/>
        <v>72509000</v>
      </c>
      <c r="G69" s="204">
        <f t="shared" si="20"/>
        <v>72509000</v>
      </c>
      <c r="H69" s="203">
        <f t="shared" si="20"/>
        <v>72509000</v>
      </c>
      <c r="I69" s="207">
        <f t="shared" si="20"/>
        <v>99213711</v>
      </c>
      <c r="J69" s="204">
        <f t="shared" si="20"/>
        <v>113409416.12799999</v>
      </c>
      <c r="K69" s="205">
        <f t="shared" si="20"/>
        <v>118870875.742144</v>
      </c>
    </row>
    <row r="70" spans="1:11" ht="11.25" customHeight="1">
      <c r="A70" s="1555" t="s">
        <v>408</v>
      </c>
      <c r="B70" s="351"/>
      <c r="C70" s="1091">
        <f>SA34c!C7</f>
        <v>2581671</v>
      </c>
      <c r="D70" s="1091">
        <f>SA34c!D7</f>
        <v>3857921</v>
      </c>
      <c r="E70" s="1092">
        <f>SA34c!E7</f>
        <v>32918500</v>
      </c>
      <c r="F70" s="1093">
        <f>SA34c!F7</f>
        <v>3869000</v>
      </c>
      <c r="G70" s="1091">
        <f>SA34c!G7</f>
        <v>3869000</v>
      </c>
      <c r="H70" s="1094">
        <f>SA34c!H7</f>
        <v>3869000</v>
      </c>
      <c r="I70" s="1095">
        <f>SA34c!I7</f>
        <v>4792516</v>
      </c>
      <c r="J70" s="1091">
        <f>SA34c!J7</f>
        <v>5034581.9519999996</v>
      </c>
      <c r="K70" s="1092">
        <f>SA34c!K7</f>
        <v>5293968.9896959998</v>
      </c>
    </row>
    <row r="71" spans="1:11" ht="11.25" customHeight="1">
      <c r="A71" s="1555" t="s">
        <v>794</v>
      </c>
      <c r="B71" s="351"/>
      <c r="C71" s="1091">
        <f>SA34c!C10</f>
        <v>24316770</v>
      </c>
      <c r="D71" s="1091">
        <f>SA34c!D10</f>
        <v>32729204</v>
      </c>
      <c r="E71" s="1092">
        <f>SA34c!E10</f>
        <v>23195034</v>
      </c>
      <c r="F71" s="1093">
        <f>SA34c!F10</f>
        <v>34537000</v>
      </c>
      <c r="G71" s="1091">
        <f>SA34c!G10</f>
        <v>34537000</v>
      </c>
      <c r="H71" s="1094">
        <f>SA34c!H10</f>
        <v>34537000</v>
      </c>
      <c r="I71" s="1095">
        <f>SA34c!I10</f>
        <v>17028588</v>
      </c>
      <c r="J71" s="1091">
        <f>SA34c!J10</f>
        <v>17575678.831999999</v>
      </c>
      <c r="K71" s="1092">
        <f>SA34c!K10</f>
        <v>18419311.391936</v>
      </c>
    </row>
    <row r="72" spans="1:11" ht="11.25" customHeight="1">
      <c r="A72" s="1555" t="s">
        <v>409</v>
      </c>
      <c r="B72" s="351"/>
      <c r="C72" s="1091">
        <f>SA34c!C14</f>
        <v>43318</v>
      </c>
      <c r="D72" s="1091">
        <f>SA34c!D14</f>
        <v>419341</v>
      </c>
      <c r="E72" s="1092">
        <f>SA34c!E14</f>
        <v>19258444</v>
      </c>
      <c r="F72" s="1093">
        <f>SA34c!F14</f>
        <v>498000</v>
      </c>
      <c r="G72" s="1091">
        <f>SA34c!G14</f>
        <v>498000</v>
      </c>
      <c r="H72" s="1094">
        <f>SA34c!H14</f>
        <v>498000</v>
      </c>
      <c r="I72" s="1095">
        <f>SA34c!I14</f>
        <v>2075760</v>
      </c>
      <c r="J72" s="1091">
        <f>SA34c!J14</f>
        <v>2175396</v>
      </c>
      <c r="K72" s="1092">
        <f>SA34c!K14</f>
        <v>2279896</v>
      </c>
    </row>
    <row r="73" spans="1:11" ht="11.25" customHeight="1">
      <c r="A73" s="1555" t="s">
        <v>410</v>
      </c>
      <c r="B73" s="351"/>
      <c r="C73" s="1091">
        <f>SA34c!C18</f>
        <v>10717</v>
      </c>
      <c r="D73" s="1091">
        <f>SA34c!D18</f>
        <v>266187</v>
      </c>
      <c r="E73" s="1092">
        <f>SA34c!E18</f>
        <v>8253621</v>
      </c>
      <c r="F73" s="1093">
        <f>SA34c!F18</f>
        <v>6263000</v>
      </c>
      <c r="G73" s="1091">
        <f>SA34c!G18</f>
        <v>6263000</v>
      </c>
      <c r="H73" s="1094">
        <f>SA34c!H18</f>
        <v>6263000</v>
      </c>
      <c r="I73" s="1095">
        <f>SA34c!I18</f>
        <v>0</v>
      </c>
      <c r="J73" s="1091">
        <f>SA34c!J18</f>
        <v>0</v>
      </c>
      <c r="K73" s="1092">
        <f>SA34c!K18</f>
        <v>0</v>
      </c>
    </row>
    <row r="74" spans="1:11" ht="11.25" customHeight="1">
      <c r="A74" s="1555" t="s">
        <v>729</v>
      </c>
      <c r="B74" s="351"/>
      <c r="C74" s="1091">
        <f>SA34c!C21</f>
        <v>365850</v>
      </c>
      <c r="D74" s="1091">
        <f>SA34c!D21</f>
        <v>13744122</v>
      </c>
      <c r="E74" s="1092">
        <f>SA34c!E21</f>
        <v>435019</v>
      </c>
      <c r="F74" s="1093">
        <f>SA34c!F21</f>
        <v>9204000</v>
      </c>
      <c r="G74" s="1091">
        <f>SA34c!G21</f>
        <v>9204000</v>
      </c>
      <c r="H74" s="1094">
        <f>SA34c!H21</f>
        <v>9204000</v>
      </c>
      <c r="I74" s="1095">
        <f>SA34c!I21</f>
        <v>134244</v>
      </c>
      <c r="J74" s="1091">
        <f>SA34c!J21</f>
        <v>140688</v>
      </c>
      <c r="K74" s="1092">
        <f>SA34c!K21</f>
        <v>147441</v>
      </c>
    </row>
    <row r="75" spans="1:11" ht="11.25" customHeight="1">
      <c r="A75" s="367" t="str">
        <f>$A$11</f>
        <v>Infrastructure</v>
      </c>
      <c r="B75" s="351"/>
      <c r="C75" s="1052">
        <f>SUM(C70:C74)</f>
        <v>27318326</v>
      </c>
      <c r="D75" s="1052">
        <f t="shared" ref="D75:K75" si="21">SUM(D70:D74)</f>
        <v>51016775</v>
      </c>
      <c r="E75" s="1053">
        <f t="shared" si="21"/>
        <v>84060618</v>
      </c>
      <c r="F75" s="1054">
        <f t="shared" si="21"/>
        <v>54371000</v>
      </c>
      <c r="G75" s="1052">
        <f t="shared" si="21"/>
        <v>54371000</v>
      </c>
      <c r="H75" s="1055">
        <f t="shared" si="21"/>
        <v>54371000</v>
      </c>
      <c r="I75" s="1056">
        <f t="shared" si="21"/>
        <v>24031108</v>
      </c>
      <c r="J75" s="1052">
        <f t="shared" si="21"/>
        <v>24926344.783999998</v>
      </c>
      <c r="K75" s="1053">
        <f t="shared" si="21"/>
        <v>26140617.381632</v>
      </c>
    </row>
    <row r="76" spans="1:11" ht="11.25" customHeight="1">
      <c r="A76" s="371" t="str">
        <f>A12</f>
        <v>Community</v>
      </c>
      <c r="B76" s="183"/>
      <c r="C76" s="1091">
        <f>SA34c!C27</f>
        <v>1847713</v>
      </c>
      <c r="D76" s="1091">
        <f>SA34c!D27</f>
        <v>8474447</v>
      </c>
      <c r="E76" s="1092">
        <f>SA34c!E27</f>
        <v>1973762</v>
      </c>
      <c r="F76" s="1093">
        <f>SA34c!F27</f>
        <v>9062000</v>
      </c>
      <c r="G76" s="1091">
        <f>SA34c!G27</f>
        <v>9062000</v>
      </c>
      <c r="H76" s="1094">
        <f>SA34c!H27</f>
        <v>9062000</v>
      </c>
      <c r="I76" s="1095">
        <f>SA34c!I27</f>
        <v>13804299</v>
      </c>
      <c r="J76" s="1091">
        <f>SA34c!J27</f>
        <v>14417733.344000001</v>
      </c>
      <c r="K76" s="1092">
        <f>SA34c!K27</f>
        <v>15109783.360512001</v>
      </c>
    </row>
    <row r="77" spans="1:11" ht="11.25" customHeight="1">
      <c r="A77" s="371" t="str">
        <f>A13</f>
        <v>Heritage assets</v>
      </c>
      <c r="B77" s="183"/>
      <c r="C77" s="1549">
        <f>SA34c!C43</f>
        <v>0</v>
      </c>
      <c r="D77" s="1549">
        <f>SA34c!D43</f>
        <v>0</v>
      </c>
      <c r="E77" s="1550">
        <f>SA34c!E43</f>
        <v>0</v>
      </c>
      <c r="F77" s="1551">
        <f>SA34c!F43</f>
        <v>0</v>
      </c>
      <c r="G77" s="1549">
        <f>SA34c!G43</f>
        <v>0</v>
      </c>
      <c r="H77" s="1552">
        <f>SA34c!H43</f>
        <v>0</v>
      </c>
      <c r="I77" s="1553">
        <f>SA34c!I43</f>
        <v>0</v>
      </c>
      <c r="J77" s="1549">
        <f>SA34c!J43</f>
        <v>0</v>
      </c>
      <c r="K77" s="1550">
        <f>SA34c!K43</f>
        <v>0</v>
      </c>
    </row>
    <row r="78" spans="1:11" ht="11.25" customHeight="1">
      <c r="A78" s="371" t="str">
        <f>A14</f>
        <v>Investment properties</v>
      </c>
      <c r="B78" s="183"/>
      <c r="C78" s="1091">
        <f>SA34c!C47</f>
        <v>0</v>
      </c>
      <c r="D78" s="1091">
        <f>SA34c!D47</f>
        <v>0</v>
      </c>
      <c r="E78" s="1092">
        <f>SA34c!E47</f>
        <v>0</v>
      </c>
      <c r="F78" s="1093">
        <f>SA34c!F47</f>
        <v>0</v>
      </c>
      <c r="G78" s="1091">
        <f>SA34c!G47</f>
        <v>0</v>
      </c>
      <c r="H78" s="1094">
        <f>SA34c!H47</f>
        <v>0</v>
      </c>
      <c r="I78" s="1095">
        <f>SA34c!I47</f>
        <v>0</v>
      </c>
      <c r="J78" s="1091">
        <f>SA34c!J47</f>
        <v>0</v>
      </c>
      <c r="K78" s="1092">
        <f>SA34c!K47</f>
        <v>0</v>
      </c>
    </row>
    <row r="79" spans="1:11" ht="11.25" customHeight="1">
      <c r="A79" s="371" t="str">
        <f>A15</f>
        <v>Other assets</v>
      </c>
      <c r="B79" s="183" t="s">
        <v>1330</v>
      </c>
      <c r="C79" s="1091">
        <f>SA34c!C51+SA34c!C65+SA34c!C69+SA34c!C73</f>
        <v>31315496</v>
      </c>
      <c r="D79" s="1091">
        <f>SA34c!D51+SA34c!D65+SA34c!D69+SA34c!D73</f>
        <v>12209949</v>
      </c>
      <c r="E79" s="1092">
        <f>SA34c!E51+SA34c!E65+SA34c!E69+SA34c!E73</f>
        <v>40412763</v>
      </c>
      <c r="F79" s="1093">
        <f>SA34c!F51+SA34c!F65+SA34c!F69+SA34c!F73</f>
        <v>9076000</v>
      </c>
      <c r="G79" s="1091">
        <f>SA34c!G51+SA34c!G65+SA34c!G69+SA34c!G73</f>
        <v>9076000</v>
      </c>
      <c r="H79" s="1094">
        <f>SA34c!H51+SA34c!H65+SA34c!H69+SA34c!H73</f>
        <v>9076000</v>
      </c>
      <c r="I79" s="1095">
        <f>SA34c!I51+SA34c!I65+SA34c!I69+SA34c!I73</f>
        <v>61378304</v>
      </c>
      <c r="J79" s="1091">
        <f>SA34c!J51+SA34c!J65+SA34c!J69+SA34c!J73</f>
        <v>74065338</v>
      </c>
      <c r="K79" s="1092">
        <f>SA34c!K51+SA34c!K65+SA34c!K69+SA34c!K73</f>
        <v>77620475</v>
      </c>
    </row>
    <row r="80" spans="1:11" ht="11.25" customHeight="1">
      <c r="A80" s="225" t="s">
        <v>1564</v>
      </c>
      <c r="B80" s="226"/>
      <c r="C80" s="214">
        <f t="shared" ref="C80:K80" si="22">SUM(C68:C69)</f>
        <v>156890293</v>
      </c>
      <c r="D80" s="214">
        <f t="shared" si="22"/>
        <v>122437521</v>
      </c>
      <c r="E80" s="215">
        <f t="shared" si="22"/>
        <v>250093529</v>
      </c>
      <c r="F80" s="216">
        <f t="shared" si="22"/>
        <v>188343000</v>
      </c>
      <c r="G80" s="214">
        <f t="shared" si="22"/>
        <v>178143674</v>
      </c>
      <c r="H80" s="213">
        <f t="shared" si="22"/>
        <v>178143674</v>
      </c>
      <c r="I80" s="217">
        <f t="shared" si="22"/>
        <v>223925585</v>
      </c>
      <c r="J80" s="214">
        <f t="shared" si="22"/>
        <v>199409079.12799999</v>
      </c>
      <c r="K80" s="215">
        <f t="shared" si="22"/>
        <v>210464511.74214399</v>
      </c>
    </row>
    <row r="81" spans="1:11" ht="6.75" customHeight="1">
      <c r="A81" s="1636"/>
      <c r="B81" s="762"/>
      <c r="C81" s="1341"/>
      <c r="D81" s="1341"/>
      <c r="E81" s="1342"/>
      <c r="F81" s="1343"/>
      <c r="G81" s="1341"/>
      <c r="H81" s="1344"/>
      <c r="I81" s="1345"/>
      <c r="J81" s="1341"/>
      <c r="K81" s="1342"/>
    </row>
    <row r="82" spans="1:11" ht="11.25" customHeight="1">
      <c r="A82" s="377" t="s">
        <v>1002</v>
      </c>
      <c r="B82" s="378"/>
      <c r="C82" s="379">
        <f t="shared" ref="C82:K82" si="23">IF(ISERROR(C20/C5),0,(C20/C5))</f>
        <v>6.7050689781596201E-2</v>
      </c>
      <c r="D82" s="379">
        <f t="shared" si="23"/>
        <v>0.32507023723735762</v>
      </c>
      <c r="E82" s="380">
        <f t="shared" si="23"/>
        <v>0.54427257779672367</v>
      </c>
      <c r="F82" s="381">
        <f t="shared" si="23"/>
        <v>0.10486092962478999</v>
      </c>
      <c r="G82" s="379">
        <f t="shared" si="23"/>
        <v>9.4424426097521066E-2</v>
      </c>
      <c r="H82" s="382">
        <f t="shared" si="23"/>
        <v>9.4424426097521066E-2</v>
      </c>
      <c r="I82" s="383">
        <f t="shared" si="23"/>
        <v>0.58986239418654096</v>
      </c>
      <c r="J82" s="379">
        <f t="shared" si="23"/>
        <v>0.88947902735562312</v>
      </c>
      <c r="K82" s="380">
        <f t="shared" si="23"/>
        <v>5.6942187500000001</v>
      </c>
    </row>
    <row r="83" spans="1:11" ht="11.25" customHeight="1">
      <c r="A83" s="377" t="s">
        <v>1565</v>
      </c>
      <c r="B83" s="378"/>
      <c r="C83" s="379">
        <f t="shared" ref="C83:K83" si="24">IF(ISERROR(C20/C68),0,(C20/C68))</f>
        <v>0.13706162462957983</v>
      </c>
      <c r="D83" s="379">
        <f t="shared" si="24"/>
        <v>1.5172982092720506</v>
      </c>
      <c r="E83" s="380">
        <f t="shared" si="24"/>
        <v>0.7748710099784073</v>
      </c>
      <c r="F83" s="381">
        <f t="shared" si="24"/>
        <v>0.24247630229466305</v>
      </c>
      <c r="G83" s="379">
        <f t="shared" si="24"/>
        <v>0.32224904674766164</v>
      </c>
      <c r="H83" s="382">
        <f t="shared" si="24"/>
        <v>0.32224904674766164</v>
      </c>
      <c r="I83" s="383">
        <f t="shared" si="24"/>
        <v>1.2236469159303949</v>
      </c>
      <c r="J83" s="379">
        <f t="shared" si="24"/>
        <v>1.7013938763922831</v>
      </c>
      <c r="K83" s="380">
        <f t="shared" si="24"/>
        <v>1.9893849393641279</v>
      </c>
    </row>
    <row r="84" spans="1:11" ht="11.25" customHeight="1">
      <c r="A84" s="377" t="s">
        <v>1000</v>
      </c>
      <c r="B84" s="378"/>
      <c r="C84" s="379">
        <f>IF(ISERROR(ROUND(C69/'A6-FinPos'!C19,3)),0,(ROUND(C69/'A6-FinPos'!C19,3)))</f>
        <v>4.9000000000000002E-2</v>
      </c>
      <c r="D84" s="379">
        <f>IF(ISERROR(ROUND(D69/'A6-FinPos'!D19,3)),0,(ROUND(D69/'A6-FinPos'!D19,3)))</f>
        <v>4.9000000000000002E-2</v>
      </c>
      <c r="E84" s="380">
        <f>IF(ISERROR(ROUND(E69/'A6-FinPos'!E19,3)),0,(ROUND(E69/'A6-FinPos'!E19,3)))</f>
        <v>0.02</v>
      </c>
      <c r="F84" s="381">
        <f>IF(ISERROR(ROUND(F69/'A6-FinPos'!F19,3)),0,(ROUND(F69/'A6-FinPos'!F19,3)))</f>
        <v>0.01</v>
      </c>
      <c r="G84" s="379">
        <f>IF(ISERROR(ROUND(G69/'A6-FinPos'!G19,3)),0,(ROUND(G69/'A6-FinPos'!G19,3)))</f>
        <v>1.0999999999999999E-2</v>
      </c>
      <c r="H84" s="382">
        <f>IF(ISERROR(ROUND(H69/'A6-FinPos'!H19,3)),0,(ROUND(H69/'A6-FinPos'!H19,3)))</f>
        <v>1.0999999999999999E-2</v>
      </c>
      <c r="I84" s="383">
        <f>IF(ISERROR(ROUND(I69/'A6-FinPos'!J19,3)),0,(ROUND(I69/'A6-FinPos'!J19,3)))</f>
        <v>1.4999999999999999E-2</v>
      </c>
      <c r="J84" s="379">
        <f>IF(ISERROR(ROUND(J69/'A6-FinPos'!K19,3)),0,(ROUND(J69/'A6-FinPos'!K19,3)))</f>
        <v>1.7000000000000001E-2</v>
      </c>
      <c r="K84" s="380">
        <f>IF(ISERROR(ROUND(K69/'A6-FinPos'!L19,3)),0,(ROUND(K69/'A6-FinPos'!L19,3)))</f>
        <v>1.7999999999999999E-2</v>
      </c>
    </row>
    <row r="85" spans="1:11" ht="11.25" customHeight="1">
      <c r="A85" s="377" t="s">
        <v>569</v>
      </c>
      <c r="B85" s="378"/>
      <c r="C85" s="379">
        <f t="shared" ref="C85:K85" si="25">IF(ISERROR(ROUND((C20+C69)/C65,2)),0,(ROUND((C20+C69)/C65,2)))</f>
        <v>0.37</v>
      </c>
      <c r="D85" s="379">
        <f t="shared" si="25"/>
        <v>0.17</v>
      </c>
      <c r="E85" s="380">
        <f t="shared" si="25"/>
        <v>0.03</v>
      </c>
      <c r="F85" s="381">
        <f t="shared" si="25"/>
        <v>0.01</v>
      </c>
      <c r="G85" s="379">
        <f t="shared" si="25"/>
        <v>0.02</v>
      </c>
      <c r="H85" s="382">
        <f t="shared" si="25"/>
        <v>0.02</v>
      </c>
      <c r="I85" s="383">
        <f t="shared" si="25"/>
        <v>0.04</v>
      </c>
      <c r="J85" s="379">
        <f t="shared" si="25"/>
        <v>0.04</v>
      </c>
      <c r="K85" s="380">
        <f t="shared" si="25"/>
        <v>0.04</v>
      </c>
    </row>
    <row r="86" spans="1:11" ht="5.0999999999999996" customHeight="1">
      <c r="A86" s="384"/>
      <c r="B86" s="385"/>
      <c r="C86" s="386"/>
      <c r="D86" s="386"/>
      <c r="E86" s="387"/>
      <c r="F86" s="388"/>
      <c r="G86" s="386"/>
      <c r="H86" s="389"/>
      <c r="I86" s="390"/>
      <c r="J86" s="386"/>
      <c r="K86" s="387"/>
    </row>
    <row r="87" spans="1:11" s="722" customFormat="1">
      <c r="A87" s="1276" t="str">
        <f>head27a</f>
        <v>References</v>
      </c>
      <c r="B87" s="1277"/>
      <c r="C87" s="1281"/>
      <c r="D87" s="1281"/>
      <c r="E87" s="1281"/>
      <c r="F87" s="1281"/>
      <c r="G87" s="1281"/>
      <c r="H87" s="1281"/>
      <c r="I87" s="1281"/>
      <c r="J87" s="1281"/>
      <c r="K87" s="1281"/>
    </row>
    <row r="88" spans="1:11" s="722" customFormat="1">
      <c r="A88" s="1241" t="s">
        <v>477</v>
      </c>
      <c r="B88" s="1277"/>
      <c r="C88" s="1281"/>
      <c r="D88" s="1281"/>
      <c r="E88" s="1281"/>
      <c r="F88" s="1281"/>
      <c r="G88" s="1281"/>
      <c r="H88" s="1281"/>
      <c r="I88" s="1281"/>
      <c r="J88" s="1281"/>
      <c r="K88" s="1281"/>
    </row>
    <row r="89" spans="1:11" s="722" customFormat="1">
      <c r="A89" s="1241" t="s">
        <v>478</v>
      </c>
      <c r="B89" s="1277"/>
      <c r="C89" s="1281"/>
      <c r="D89" s="1281"/>
      <c r="E89" s="1281"/>
      <c r="F89" s="1281"/>
      <c r="G89" s="1281"/>
      <c r="H89" s="1281"/>
      <c r="I89" s="1281"/>
      <c r="J89" s="1281"/>
      <c r="K89" s="1281"/>
    </row>
    <row r="90" spans="1:11" s="722" customFormat="1">
      <c r="A90" s="1241" t="s">
        <v>479</v>
      </c>
      <c r="B90" s="1277"/>
      <c r="C90" s="1281"/>
      <c r="D90" s="1281"/>
      <c r="E90" s="1281"/>
      <c r="F90" s="1281"/>
      <c r="G90" s="1281"/>
      <c r="H90" s="1281"/>
      <c r="I90" s="1281"/>
      <c r="J90" s="1281"/>
      <c r="K90" s="1281"/>
    </row>
    <row r="91" spans="1:11" s="722" customFormat="1">
      <c r="A91" s="1238" t="s">
        <v>480</v>
      </c>
      <c r="B91" s="1277"/>
      <c r="C91" s="1281"/>
      <c r="D91" s="1281"/>
      <c r="E91" s="1281"/>
      <c r="F91" s="1281"/>
      <c r="G91" s="1281"/>
      <c r="H91" s="1281"/>
      <c r="I91" s="1281"/>
      <c r="J91" s="1281"/>
      <c r="K91" s="1281"/>
    </row>
    <row r="92" spans="1:11" s="722" customFormat="1">
      <c r="A92" s="1241" t="s">
        <v>481</v>
      </c>
      <c r="B92" s="1277"/>
      <c r="C92" s="1281"/>
      <c r="D92" s="1281"/>
      <c r="E92" s="1281"/>
      <c r="F92" s="1281"/>
      <c r="G92" s="1281"/>
      <c r="H92" s="1281"/>
      <c r="I92" s="1281"/>
      <c r="J92" s="1281"/>
      <c r="K92" s="1281"/>
    </row>
    <row r="93" spans="1:11" s="722" customFormat="1">
      <c r="A93" s="1238" t="s">
        <v>482</v>
      </c>
      <c r="B93" s="1308"/>
      <c r="C93" s="1308"/>
      <c r="D93" s="1308"/>
      <c r="E93" s="1308"/>
      <c r="F93" s="1308"/>
      <c r="G93" s="1308"/>
      <c r="H93" s="1308"/>
      <c r="I93" s="1308"/>
      <c r="J93" s="1308"/>
      <c r="K93" s="1308"/>
    </row>
    <row r="94" spans="1:11" ht="11.25" customHeight="1">
      <c r="A94" s="1308" t="s">
        <v>529</v>
      </c>
      <c r="B94" s="1277"/>
      <c r="C94" s="1308"/>
      <c r="D94" s="1308"/>
      <c r="E94" s="1308"/>
      <c r="F94" s="1308"/>
      <c r="G94" s="1308"/>
      <c r="H94" s="720"/>
      <c r="I94" s="720"/>
      <c r="J94" s="720"/>
      <c r="K94" s="720"/>
    </row>
    <row r="95" spans="1:11" ht="11.25" customHeight="1">
      <c r="A95" s="1313" t="s">
        <v>328</v>
      </c>
      <c r="B95" s="1308"/>
      <c r="C95" s="1311">
        <f>C65-'A6-FinPos'!C17-'A6-FinPos'!C19-'A6-FinPos'!C21-'A6-FinPos'!C22</f>
        <v>-1044442874</v>
      </c>
      <c r="D95" s="1311">
        <f>D65-'A6-FinPos'!D17-'A6-FinPos'!D19-'A6-FinPos'!D21-'A6-FinPos'!D22</f>
        <v>-1117781363</v>
      </c>
      <c r="E95" s="1311">
        <f>E65-'A6-FinPos'!E17-'A6-FinPos'!E19-'A6-FinPos'!E21-'A6-FinPos'!E22</f>
        <v>-543713</v>
      </c>
      <c r="F95" s="1311">
        <f>F65-'A6-FinPos'!F17-'A6-FinPos'!F19-'A6-FinPos'!F21-'A6-FinPos'!F22</f>
        <v>-535251647</v>
      </c>
      <c r="G95" s="1311">
        <f>G65-'A6-FinPos'!G17-'A6-FinPos'!G19-'A6-FinPos'!G21-'A6-FinPos'!G22</f>
        <v>5.279998779296875</v>
      </c>
      <c r="H95" s="1311">
        <f>H65-'A6-FinPos'!H17-'A6-FinPos'!H19-'A6-FinPos'!H21-'A6-FinPos'!H22</f>
        <v>5.279998779296875</v>
      </c>
      <c r="I95" s="1311">
        <f>I65-'A6-FinPos'!J17-'A6-FinPos'!J19-'A6-FinPos'!J21-'A6-FinPos'!J22</f>
        <v>331.28000068664551</v>
      </c>
      <c r="J95" s="1311">
        <f>J65-'A6-FinPos'!K17-'A6-FinPos'!K19-'A6-FinPos'!K21-'A6-FinPos'!K22</f>
        <v>331.27999973297119</v>
      </c>
      <c r="K95" s="1311">
        <f>K65-'A6-FinPos'!L17-'A6-FinPos'!L19-'A6-FinPos'!L21-'A6-FinPos'!L22</f>
        <v>331.28000068664551</v>
      </c>
    </row>
    <row r="96" spans="1:11" ht="11.25" customHeight="1">
      <c r="A96" s="247"/>
      <c r="B96" s="247"/>
      <c r="C96" s="247"/>
      <c r="D96" s="247"/>
      <c r="E96" s="247"/>
      <c r="F96" s="247"/>
      <c r="G96" s="247"/>
    </row>
    <row r="97" spans="1:7" ht="11.25" customHeight="1">
      <c r="A97" s="247"/>
      <c r="B97" s="247"/>
      <c r="C97" s="247"/>
      <c r="D97" s="247"/>
      <c r="E97" s="247"/>
      <c r="F97" s="247"/>
      <c r="G97" s="247"/>
    </row>
    <row r="98" spans="1:7" ht="11.25" customHeight="1">
      <c r="A98" s="247"/>
      <c r="B98" s="247"/>
      <c r="C98" s="247"/>
      <c r="D98" s="247"/>
      <c r="E98" s="247"/>
      <c r="F98" s="247"/>
      <c r="G98" s="247"/>
    </row>
    <row r="99" spans="1:7" ht="11.25" customHeight="1">
      <c r="A99" s="247"/>
      <c r="B99" s="237"/>
      <c r="C99" s="247"/>
      <c r="D99" s="247"/>
      <c r="E99" s="247"/>
      <c r="F99" s="247"/>
      <c r="G99" s="247"/>
    </row>
    <row r="100" spans="1:7" ht="11.25" customHeight="1"/>
    <row r="101" spans="1:7" ht="11.25" customHeight="1"/>
    <row r="102" spans="1:7" ht="11.25" customHeight="1"/>
    <row r="103" spans="1:7" ht="11.25" customHeight="1"/>
    <row r="104" spans="1:7" ht="11.25" customHeight="1"/>
    <row r="105" spans="1:7" ht="11.25" customHeight="1"/>
    <row r="106" spans="1:7" ht="11.25" customHeight="1"/>
    <row r="107" spans="1:7" ht="11.25" customHeight="1"/>
    <row r="108" spans="1:7" ht="11.25" customHeight="1"/>
    <row r="109" spans="1:7" ht="11.25" customHeight="1"/>
    <row r="110" spans="1:7" ht="11.25" customHeight="1"/>
    <row r="111" spans="1:7" ht="11.25" customHeight="1"/>
    <row r="112" spans="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sheetData>
  <sheetProtection password="A35B" sheet="1" objects="1" scenarios="1"/>
  <mergeCells count="2">
    <mergeCell ref="F2:H2"/>
    <mergeCell ref="I2:K2"/>
  </mergeCells>
  <phoneticPr fontId="2" type="noConversion"/>
  <printOptions horizontalCentered="1"/>
  <pageMargins left="0.37" right="0.2" top="0.6" bottom="0.5" header="0.511811023622047" footer="0.39370078740157499"/>
  <pageSetup paperSize="9" scale="7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M13" sqref="M13"/>
    </sheetView>
  </sheetViews>
  <sheetFormatPr defaultRowHeight="12.75"/>
  <cols>
    <col min="1" max="1" width="30.7109375" style="720" customWidth="1"/>
    <col min="2" max="2" width="3" style="717" customWidth="1"/>
    <col min="3" max="11" width="9.28515625" style="720" customWidth="1"/>
    <col min="12" max="12" width="9.85546875" style="720" customWidth="1"/>
    <col min="13" max="13" width="9.5703125" style="720" customWidth="1"/>
    <col min="14" max="14" width="9.85546875" style="720" customWidth="1"/>
    <col min="15" max="17" width="9.5703125" style="720" customWidth="1"/>
    <col min="18" max="18" width="9.85546875" style="720" customWidth="1"/>
    <col min="19" max="21" width="9.5703125" style="720" customWidth="1"/>
    <col min="22" max="23" width="9.85546875" style="720" customWidth="1"/>
    <col min="24" max="16384" width="9.140625" style="720"/>
  </cols>
  <sheetData>
    <row r="1" spans="1:13" s="1160" customFormat="1">
      <c r="A1" s="1159" t="str">
        <f>muni&amp;" - "&amp;Approve10</f>
        <v>KZN225 Msunduzi - Table A10 Basic service delivery measurement</v>
      </c>
      <c r="B1" s="1159"/>
      <c r="C1" s="1159"/>
      <c r="D1" s="1159"/>
      <c r="E1" s="1159"/>
      <c r="F1" s="1159"/>
      <c r="G1" s="1159"/>
      <c r="H1" s="1159"/>
      <c r="I1" s="1159"/>
      <c r="J1" s="1159"/>
      <c r="K1" s="1159"/>
    </row>
    <row r="2" spans="1:13" ht="28.5" customHeight="1">
      <c r="A2" s="2435" t="str">
        <f>desc</f>
        <v>Description</v>
      </c>
      <c r="B2" s="2437" t="str">
        <f>head27</f>
        <v>Ref</v>
      </c>
      <c r="C2" s="1161" t="str">
        <f>head1b</f>
        <v>2007/8</v>
      </c>
      <c r="D2" s="1161" t="str">
        <f>head1A</f>
        <v>2008/9</v>
      </c>
      <c r="E2" s="1162" t="str">
        <f>Head1</f>
        <v>2009/10</v>
      </c>
      <c r="F2" s="2421" t="str">
        <f>Head2</f>
        <v>Current Year 2010/11</v>
      </c>
      <c r="G2" s="2422"/>
      <c r="H2" s="2434"/>
      <c r="I2" s="2423" t="str">
        <f>Head3</f>
        <v>2011/12 Medium Term Revenue &amp; Expenditure Framework</v>
      </c>
      <c r="J2" s="2424"/>
      <c r="K2" s="2425"/>
    </row>
    <row r="3" spans="1:13" ht="25.5">
      <c r="A3" s="2436"/>
      <c r="B3" s="2438"/>
      <c r="C3" s="1163" t="str">
        <f>Head5A</f>
        <v>Outcome</v>
      </c>
      <c r="D3" s="1163" t="str">
        <f>Head5A</f>
        <v>Outcome</v>
      </c>
      <c r="E3" s="1164" t="str">
        <f>Head5A</f>
        <v>Outcome</v>
      </c>
      <c r="F3" s="1165" t="str">
        <f>Head6</f>
        <v>Original Budget</v>
      </c>
      <c r="G3" s="1163" t="str">
        <f>Head7</f>
        <v>Adjusted Budget</v>
      </c>
      <c r="H3" s="1164" t="str">
        <f>Head8</f>
        <v>Full Year Forecast</v>
      </c>
      <c r="I3" s="1165" t="str">
        <f>Head9</f>
        <v>Budget Year 2011/12</v>
      </c>
      <c r="J3" s="1163" t="str">
        <f>Head10</f>
        <v>Budget Year +1 2012/13</v>
      </c>
      <c r="K3" s="1164" t="str">
        <f>Head11</f>
        <v>Budget Year +2 2013/14</v>
      </c>
    </row>
    <row r="4" spans="1:13" ht="11.25" customHeight="1">
      <c r="A4" s="1166" t="s">
        <v>207</v>
      </c>
      <c r="B4" s="1167">
        <v>1</v>
      </c>
      <c r="C4" s="1168"/>
      <c r="D4" s="1168"/>
      <c r="E4" s="1169"/>
      <c r="F4" s="1170"/>
      <c r="G4" s="1168"/>
      <c r="H4" s="1171"/>
      <c r="I4" s="1172"/>
      <c r="J4" s="1168"/>
      <c r="K4" s="1169"/>
    </row>
    <row r="5" spans="1:13">
      <c r="A5" s="1173" t="s">
        <v>2027</v>
      </c>
      <c r="B5" s="1167"/>
      <c r="C5" s="1091"/>
      <c r="D5" s="1091"/>
      <c r="E5" s="1092"/>
      <c r="F5" s="1093"/>
      <c r="G5" s="1091"/>
      <c r="H5" s="1094"/>
      <c r="I5" s="1095"/>
      <c r="J5" s="1091"/>
      <c r="K5" s="1092"/>
    </row>
    <row r="6" spans="1:13" ht="11.25" customHeight="1">
      <c r="A6" s="1174" t="s">
        <v>1807</v>
      </c>
      <c r="B6" s="1167"/>
      <c r="C6" s="1081">
        <v>119166</v>
      </c>
      <c r="D6" s="1082">
        <v>52000</v>
      </c>
      <c r="E6" s="1080">
        <v>121055</v>
      </c>
      <c r="F6" s="1080">
        <v>121055</v>
      </c>
      <c r="G6" s="1708">
        <v>121055</v>
      </c>
      <c r="H6" s="1732">
        <v>121055</v>
      </c>
      <c r="I6" s="2338">
        <v>122185.83135375001</v>
      </c>
      <c r="J6" s="1708">
        <v>122613.48176348813</v>
      </c>
      <c r="K6" s="1730">
        <v>122613.48176348813</v>
      </c>
      <c r="L6" s="1548"/>
      <c r="M6" s="1548"/>
    </row>
    <row r="7" spans="1:13" ht="11.25" customHeight="1">
      <c r="A7" s="1174" t="s">
        <v>2026</v>
      </c>
      <c r="B7" s="1167"/>
      <c r="C7" s="1081">
        <v>4220</v>
      </c>
      <c r="D7" s="1082"/>
      <c r="E7" s="2259">
        <v>19139</v>
      </c>
      <c r="F7" s="1080">
        <v>4465</v>
      </c>
      <c r="G7" s="1708">
        <v>4465</v>
      </c>
      <c r="H7" s="1732">
        <v>4465</v>
      </c>
      <c r="I7" s="2338">
        <v>4496.3096962500003</v>
      </c>
      <c r="J7" s="1708">
        <v>4512.0467801868754</v>
      </c>
      <c r="K7" s="1730">
        <v>4527.8389439175298</v>
      </c>
      <c r="L7" s="1548"/>
      <c r="M7" s="1548"/>
    </row>
    <row r="8" spans="1:13" ht="11.25" customHeight="1">
      <c r="A8" s="1174" t="s">
        <v>133</v>
      </c>
      <c r="B8" s="1167">
        <v>2</v>
      </c>
      <c r="C8" s="1081">
        <v>4291</v>
      </c>
      <c r="D8" s="1082"/>
      <c r="E8" s="2259">
        <v>565</v>
      </c>
      <c r="F8" s="1080">
        <v>4311</v>
      </c>
      <c r="G8" s="1708">
        <v>565</v>
      </c>
      <c r="H8" s="1732">
        <v>565</v>
      </c>
      <c r="I8" s="2338">
        <v>504.51313725000006</v>
      </c>
      <c r="J8" s="1708">
        <v>506.27893323037506</v>
      </c>
      <c r="K8" s="1730">
        <v>508.05090949668141</v>
      </c>
      <c r="L8" s="1548"/>
      <c r="M8" s="1548"/>
    </row>
    <row r="9" spans="1:13" ht="11.25" customHeight="1">
      <c r="A9" s="1174" t="s">
        <v>134</v>
      </c>
      <c r="B9" s="1167">
        <v>4</v>
      </c>
      <c r="C9" s="1081"/>
      <c r="D9" s="1082"/>
      <c r="E9" s="1084"/>
      <c r="F9" s="1731"/>
      <c r="G9" s="1708"/>
      <c r="H9" s="1732"/>
      <c r="I9" s="1081"/>
      <c r="J9" s="1708"/>
      <c r="K9" s="1730"/>
      <c r="L9" s="1548"/>
      <c r="M9" s="1548"/>
    </row>
    <row r="10" spans="1:13" ht="11.25" customHeight="1">
      <c r="A10" s="1630" t="s">
        <v>396</v>
      </c>
      <c r="B10" s="1167"/>
      <c r="C10" s="1139">
        <f>SUM(C6:C9)</f>
        <v>127677</v>
      </c>
      <c r="D10" s="1139">
        <f t="shared" ref="D10:K10" si="0">SUM(D6:D9)</f>
        <v>52000</v>
      </c>
      <c r="E10" s="1140">
        <f t="shared" si="0"/>
        <v>140759</v>
      </c>
      <c r="F10" s="1141">
        <f t="shared" si="0"/>
        <v>129831</v>
      </c>
      <c r="G10" s="1139">
        <f t="shared" si="0"/>
        <v>126085</v>
      </c>
      <c r="H10" s="1142">
        <f t="shared" si="0"/>
        <v>126085</v>
      </c>
      <c r="I10" s="1143">
        <f t="shared" si="0"/>
        <v>127186.65418725001</v>
      </c>
      <c r="J10" s="1139">
        <f t="shared" si="0"/>
        <v>127631.80747690539</v>
      </c>
      <c r="K10" s="1140">
        <f t="shared" si="0"/>
        <v>127649.37161690234</v>
      </c>
      <c r="L10" s="1548"/>
      <c r="M10" s="1548"/>
    </row>
    <row r="11" spans="1:13" ht="11.25" customHeight="1">
      <c r="A11" s="1174" t="s">
        <v>535</v>
      </c>
      <c r="B11" s="1167">
        <v>3</v>
      </c>
      <c r="C11" s="1081">
        <v>4409</v>
      </c>
      <c r="D11" s="1082"/>
      <c r="E11" s="1084">
        <v>506</v>
      </c>
      <c r="F11" s="1080">
        <v>4876</v>
      </c>
      <c r="G11" s="1080">
        <v>4876</v>
      </c>
      <c r="H11" s="1080">
        <v>4876</v>
      </c>
      <c r="I11" s="1710">
        <v>521</v>
      </c>
      <c r="J11" s="1708">
        <v>521</v>
      </c>
      <c r="K11" s="1730">
        <v>521</v>
      </c>
      <c r="L11" s="1548"/>
      <c r="M11" s="1548"/>
    </row>
    <row r="12" spans="1:13" ht="11.25" customHeight="1">
      <c r="A12" s="1174" t="s">
        <v>536</v>
      </c>
      <c r="B12" s="1167">
        <f>B9</f>
        <v>4</v>
      </c>
      <c r="C12" s="1081">
        <v>633</v>
      </c>
      <c r="D12" s="1082">
        <v>49000</v>
      </c>
      <c r="E12" s="2259">
        <v>1500</v>
      </c>
      <c r="F12" s="1080">
        <v>1004</v>
      </c>
      <c r="G12" s="1080">
        <v>1004</v>
      </c>
      <c r="H12" s="1080">
        <v>1004</v>
      </c>
      <c r="I12" s="1710"/>
      <c r="J12" s="1708"/>
      <c r="K12" s="1730"/>
      <c r="L12" s="1548"/>
      <c r="M12" s="1548"/>
    </row>
    <row r="13" spans="1:13" ht="11.25" customHeight="1">
      <c r="A13" s="1174" t="s">
        <v>1056</v>
      </c>
      <c r="B13" s="1167"/>
      <c r="C13" s="1081"/>
      <c r="D13" s="1082"/>
      <c r="E13" s="1084"/>
      <c r="F13" s="1731"/>
      <c r="G13" s="1708"/>
      <c r="H13" s="1732"/>
      <c r="I13" s="1710"/>
      <c r="J13" s="1708"/>
      <c r="K13" s="1730"/>
      <c r="L13" s="1548"/>
      <c r="M13" s="1548"/>
    </row>
    <row r="14" spans="1:13" ht="11.25" customHeight="1">
      <c r="A14" s="1630" t="s">
        <v>1417</v>
      </c>
      <c r="B14" s="1167"/>
      <c r="C14" s="1144">
        <f>SUM(C11:C13)</f>
        <v>5042</v>
      </c>
      <c r="D14" s="1144">
        <f t="shared" ref="D14:K14" si="1">SUM(D11:D13)</f>
        <v>49000</v>
      </c>
      <c r="E14" s="1145">
        <f t="shared" si="1"/>
        <v>2006</v>
      </c>
      <c r="F14" s="1146">
        <f t="shared" si="1"/>
        <v>5880</v>
      </c>
      <c r="G14" s="1144">
        <f t="shared" si="1"/>
        <v>5880</v>
      </c>
      <c r="H14" s="1147">
        <f t="shared" si="1"/>
        <v>5880</v>
      </c>
      <c r="I14" s="1148">
        <f t="shared" si="1"/>
        <v>521</v>
      </c>
      <c r="J14" s="1144">
        <f t="shared" si="1"/>
        <v>521</v>
      </c>
      <c r="K14" s="1145">
        <f t="shared" si="1"/>
        <v>521</v>
      </c>
      <c r="L14" s="1548"/>
      <c r="M14" s="1548"/>
    </row>
    <row r="15" spans="1:13" ht="11.25" customHeight="1">
      <c r="A15" s="1175" t="s">
        <v>1456</v>
      </c>
      <c r="B15" s="1167">
        <v>5</v>
      </c>
      <c r="C15" s="1176">
        <f>C10+C14</f>
        <v>132719</v>
      </c>
      <c r="D15" s="1176">
        <f t="shared" ref="D15:K15" si="2">D10+D14</f>
        <v>101000</v>
      </c>
      <c r="E15" s="1177">
        <f t="shared" si="2"/>
        <v>142765</v>
      </c>
      <c r="F15" s="1178">
        <f t="shared" si="2"/>
        <v>135711</v>
      </c>
      <c r="G15" s="1176">
        <f t="shared" si="2"/>
        <v>131965</v>
      </c>
      <c r="H15" s="1179">
        <f t="shared" si="2"/>
        <v>131965</v>
      </c>
      <c r="I15" s="1180">
        <f t="shared" si="2"/>
        <v>127707.65418725001</v>
      </c>
      <c r="J15" s="1176">
        <f t="shared" si="2"/>
        <v>128152.80747690539</v>
      </c>
      <c r="K15" s="1177">
        <f t="shared" si="2"/>
        <v>128170.37161690234</v>
      </c>
      <c r="L15" s="1548"/>
      <c r="M15" s="1548"/>
    </row>
    <row r="16" spans="1:13" ht="15.75" customHeight="1">
      <c r="A16" s="1173" t="s">
        <v>1457</v>
      </c>
      <c r="B16" s="1167"/>
      <c r="C16" s="1091"/>
      <c r="D16" s="1091"/>
      <c r="E16" s="1092"/>
      <c r="F16" s="1093"/>
      <c r="G16" s="1091"/>
      <c r="H16" s="1094"/>
      <c r="I16" s="1095"/>
      <c r="J16" s="1091"/>
      <c r="K16" s="1092"/>
      <c r="L16" s="1548"/>
      <c r="M16" s="1548"/>
    </row>
    <row r="17" spans="1:13" ht="11.25" customHeight="1">
      <c r="A17" s="1174" t="s">
        <v>1458</v>
      </c>
      <c r="B17" s="1167"/>
      <c r="C17" s="1081">
        <v>95894</v>
      </c>
      <c r="D17" s="1082">
        <v>52000</v>
      </c>
      <c r="E17" s="2259">
        <v>57147</v>
      </c>
      <c r="F17" s="1080">
        <v>57147</v>
      </c>
      <c r="G17" s="1708">
        <v>57147</v>
      </c>
      <c r="H17" s="1732">
        <v>57147</v>
      </c>
      <c r="I17" s="2338">
        <v>57696.927866879989</v>
      </c>
      <c r="J17" s="1708">
        <v>57973.873120641008</v>
      </c>
      <c r="K17" s="1730">
        <v>57973.873120641008</v>
      </c>
      <c r="L17" s="1548"/>
      <c r="M17" s="1548"/>
    </row>
    <row r="18" spans="1:13" ht="11.25" customHeight="1">
      <c r="A18" s="1174" t="s">
        <v>1459</v>
      </c>
      <c r="B18" s="1167"/>
      <c r="C18" s="1081">
        <v>6825</v>
      </c>
      <c r="D18" s="1082">
        <v>5000</v>
      </c>
      <c r="E18" s="2259">
        <v>5086</v>
      </c>
      <c r="F18" s="1080">
        <v>5086</v>
      </c>
      <c r="G18" s="1708">
        <v>5086</v>
      </c>
      <c r="H18" s="1732">
        <v>5086</v>
      </c>
      <c r="I18" s="2338">
        <v>5000</v>
      </c>
      <c r="J18" s="1708">
        <v>5000</v>
      </c>
      <c r="K18" s="1730">
        <v>5000</v>
      </c>
      <c r="L18" s="1548"/>
      <c r="M18" s="1548"/>
    </row>
    <row r="19" spans="1:13" ht="11.25" customHeight="1">
      <c r="A19" s="1174" t="s">
        <v>1538</v>
      </c>
      <c r="B19" s="1167"/>
      <c r="C19" s="1081"/>
      <c r="D19" s="1082">
        <v>500</v>
      </c>
      <c r="E19" s="2259">
        <v>4379</v>
      </c>
      <c r="F19" s="1080">
        <v>4379</v>
      </c>
      <c r="G19" s="1708">
        <v>4379</v>
      </c>
      <c r="H19" s="1732">
        <v>4379</v>
      </c>
      <c r="I19" s="2338">
        <v>4379</v>
      </c>
      <c r="J19" s="1708">
        <v>4379</v>
      </c>
      <c r="K19" s="1730">
        <v>4379</v>
      </c>
      <c r="L19" s="1548"/>
      <c r="M19" s="1548"/>
    </row>
    <row r="20" spans="1:13" ht="11.25" customHeight="1">
      <c r="A20" s="1174" t="s">
        <v>250</v>
      </c>
      <c r="B20" s="1167"/>
      <c r="C20" s="1081">
        <v>30000</v>
      </c>
      <c r="D20" s="1082">
        <v>18500</v>
      </c>
      <c r="E20" s="2259">
        <v>29446</v>
      </c>
      <c r="F20" s="1080">
        <v>29446</v>
      </c>
      <c r="G20" s="1708">
        <v>29446</v>
      </c>
      <c r="H20" s="1732">
        <v>29446</v>
      </c>
      <c r="I20" s="2338">
        <v>32446</v>
      </c>
      <c r="J20" s="1708">
        <v>35446</v>
      </c>
      <c r="K20" s="1730">
        <v>35446</v>
      </c>
      <c r="L20" s="1548"/>
      <c r="M20" s="1548"/>
    </row>
    <row r="21" spans="1:13" ht="11.25" customHeight="1">
      <c r="A21" s="1174" t="s">
        <v>252</v>
      </c>
      <c r="B21" s="1167"/>
      <c r="C21" s="1081"/>
      <c r="D21" s="1082"/>
      <c r="E21" s="1084"/>
      <c r="F21" s="1080"/>
      <c r="G21" s="1708"/>
      <c r="H21" s="1732"/>
      <c r="I21" s="1081"/>
      <c r="J21" s="1708"/>
      <c r="K21" s="1730"/>
      <c r="L21" s="1548"/>
      <c r="M21" s="1548"/>
    </row>
    <row r="22" spans="1:13" ht="11.25" customHeight="1">
      <c r="A22" s="1630" t="str">
        <f>$A$10</f>
        <v>Minimum Service Level and Above sub-total</v>
      </c>
      <c r="B22" s="1167"/>
      <c r="C22" s="1139">
        <f>SUM(C17:C21)</f>
        <v>132719</v>
      </c>
      <c r="D22" s="1139">
        <f t="shared" ref="D22:K22" si="3">SUM(D17:D21)</f>
        <v>76000</v>
      </c>
      <c r="E22" s="1140">
        <f t="shared" si="3"/>
        <v>96058</v>
      </c>
      <c r="F22" s="1141">
        <f t="shared" si="3"/>
        <v>96058</v>
      </c>
      <c r="G22" s="1139">
        <f t="shared" si="3"/>
        <v>96058</v>
      </c>
      <c r="H22" s="1142">
        <f t="shared" si="3"/>
        <v>96058</v>
      </c>
      <c r="I22" s="1143">
        <f t="shared" si="3"/>
        <v>99521.927866879996</v>
      </c>
      <c r="J22" s="1139">
        <f t="shared" si="3"/>
        <v>102798.87312064102</v>
      </c>
      <c r="K22" s="1140">
        <f t="shared" si="3"/>
        <v>102798.87312064102</v>
      </c>
      <c r="L22" s="1548"/>
      <c r="M22" s="1548"/>
    </row>
    <row r="23" spans="1:13" ht="11.25" customHeight="1">
      <c r="A23" s="1174" t="s">
        <v>251</v>
      </c>
      <c r="B23" s="1167"/>
      <c r="C23" s="1081"/>
      <c r="D23" s="1082"/>
      <c r="E23" s="1730"/>
      <c r="F23" s="1731"/>
      <c r="G23" s="1708"/>
      <c r="H23" s="1732"/>
      <c r="I23" s="1710"/>
      <c r="J23" s="1708"/>
      <c r="K23" s="1730"/>
      <c r="L23" s="1548"/>
      <c r="M23" s="1548"/>
    </row>
    <row r="24" spans="1:13" ht="11.25" customHeight="1">
      <c r="A24" s="1174" t="s">
        <v>1331</v>
      </c>
      <c r="B24" s="1167"/>
      <c r="C24" s="1081"/>
      <c r="D24" s="1082"/>
      <c r="E24" s="1730"/>
      <c r="F24" s="1731"/>
      <c r="G24" s="1708"/>
      <c r="H24" s="1732"/>
      <c r="I24" s="1710"/>
      <c r="J24" s="1708"/>
      <c r="K24" s="1730"/>
      <c r="L24" s="1548"/>
      <c r="M24" s="1548"/>
    </row>
    <row r="25" spans="1:13" ht="11.25" customHeight="1">
      <c r="A25" s="1174" t="s">
        <v>1540</v>
      </c>
      <c r="B25" s="1167"/>
      <c r="C25" s="1081"/>
      <c r="D25" s="1082">
        <v>25000</v>
      </c>
      <c r="E25" s="1730"/>
      <c r="F25" s="1731"/>
      <c r="G25" s="1708"/>
      <c r="H25" s="1732"/>
      <c r="I25" s="1710"/>
      <c r="J25" s="1708"/>
      <c r="K25" s="1730"/>
      <c r="L25" s="1548"/>
      <c r="M25" s="1548"/>
    </row>
    <row r="26" spans="1:13" ht="11.25" customHeight="1">
      <c r="A26" s="1630" t="str">
        <f>$A$14</f>
        <v>Below Minimum Service Level sub-total</v>
      </c>
      <c r="B26" s="1167"/>
      <c r="C26" s="1144">
        <f>SUM(C23:C25)</f>
        <v>0</v>
      </c>
      <c r="D26" s="1144">
        <f t="shared" ref="D26:K26" si="4">SUM(D23:D25)</f>
        <v>25000</v>
      </c>
      <c r="E26" s="1145">
        <f t="shared" si="4"/>
        <v>0</v>
      </c>
      <c r="F26" s="1146">
        <f t="shared" si="4"/>
        <v>0</v>
      </c>
      <c r="G26" s="1144">
        <f t="shared" si="4"/>
        <v>0</v>
      </c>
      <c r="H26" s="1147">
        <f t="shared" si="4"/>
        <v>0</v>
      </c>
      <c r="I26" s="1148">
        <f t="shared" si="4"/>
        <v>0</v>
      </c>
      <c r="J26" s="1144">
        <f t="shared" si="4"/>
        <v>0</v>
      </c>
      <c r="K26" s="1145">
        <f t="shared" si="4"/>
        <v>0</v>
      </c>
      <c r="L26" s="1548"/>
      <c r="M26" s="1548"/>
    </row>
    <row r="27" spans="1:13" ht="11.25" customHeight="1">
      <c r="A27" s="1175" t="str">
        <f>$A$15</f>
        <v>Total number of households</v>
      </c>
      <c r="B27" s="1167">
        <f>$B$15</f>
        <v>5</v>
      </c>
      <c r="C27" s="1176">
        <f>C22+C26</f>
        <v>132719</v>
      </c>
      <c r="D27" s="1176">
        <f t="shared" ref="D27:K27" si="5">D22+D26</f>
        <v>101000</v>
      </c>
      <c r="E27" s="1177">
        <f t="shared" si="5"/>
        <v>96058</v>
      </c>
      <c r="F27" s="1178">
        <f t="shared" si="5"/>
        <v>96058</v>
      </c>
      <c r="G27" s="1176">
        <f t="shared" si="5"/>
        <v>96058</v>
      </c>
      <c r="H27" s="1179">
        <f t="shared" si="5"/>
        <v>96058</v>
      </c>
      <c r="I27" s="1180">
        <f t="shared" si="5"/>
        <v>99521.927866879996</v>
      </c>
      <c r="J27" s="1176">
        <f t="shared" si="5"/>
        <v>102798.87312064102</v>
      </c>
      <c r="K27" s="1177">
        <f t="shared" si="5"/>
        <v>102798.87312064102</v>
      </c>
      <c r="L27" s="1548"/>
      <c r="M27" s="1548"/>
    </row>
    <row r="28" spans="1:13" ht="15.75" customHeight="1">
      <c r="A28" s="1173" t="s">
        <v>727</v>
      </c>
      <c r="B28" s="1167"/>
      <c r="C28" s="1091"/>
      <c r="D28" s="1091"/>
      <c r="E28" s="1092"/>
      <c r="F28" s="1093"/>
      <c r="G28" s="1091"/>
      <c r="H28" s="1094"/>
      <c r="I28" s="1095"/>
      <c r="J28" s="1091"/>
      <c r="K28" s="1092"/>
      <c r="L28" s="1548"/>
      <c r="M28" s="1548"/>
    </row>
    <row r="29" spans="1:13" ht="11.25" customHeight="1">
      <c r="A29" s="1174" t="s">
        <v>1332</v>
      </c>
      <c r="B29" s="1167"/>
      <c r="C29" s="1080">
        <v>48000</v>
      </c>
      <c r="D29" s="1080">
        <v>49000</v>
      </c>
      <c r="E29" s="2259">
        <v>50000</v>
      </c>
      <c r="F29" s="1080">
        <v>48376</v>
      </c>
      <c r="G29" s="1080">
        <v>48376</v>
      </c>
      <c r="H29" s="1080">
        <v>48376</v>
      </c>
      <c r="I29" s="2338">
        <v>49000</v>
      </c>
      <c r="J29" s="1708">
        <v>50000</v>
      </c>
      <c r="K29" s="1730">
        <v>51000</v>
      </c>
      <c r="L29" s="1548"/>
      <c r="M29" s="1548"/>
    </row>
    <row r="30" spans="1:13" ht="11.25" customHeight="1">
      <c r="A30" s="1174" t="s">
        <v>537</v>
      </c>
      <c r="B30" s="1167"/>
      <c r="C30" s="1081"/>
      <c r="D30" s="1082"/>
      <c r="E30" s="1730"/>
      <c r="F30" s="1731"/>
      <c r="G30" s="1708"/>
      <c r="H30" s="1732"/>
      <c r="I30" s="1710"/>
      <c r="J30" s="1708"/>
      <c r="K30" s="1730"/>
      <c r="L30" s="1548"/>
      <c r="M30" s="1548"/>
    </row>
    <row r="31" spans="1:13" ht="11.25" customHeight="1">
      <c r="A31" s="1630" t="str">
        <f>$A$10</f>
        <v>Minimum Service Level and Above sub-total</v>
      </c>
      <c r="B31" s="1167"/>
      <c r="C31" s="1139">
        <f>SUM(C29:C30)</f>
        <v>48000</v>
      </c>
      <c r="D31" s="1139">
        <f t="shared" ref="D31:K31" si="6">SUM(D29:D30)</f>
        <v>49000</v>
      </c>
      <c r="E31" s="1140">
        <f t="shared" si="6"/>
        <v>50000</v>
      </c>
      <c r="F31" s="1141">
        <f t="shared" si="6"/>
        <v>48376</v>
      </c>
      <c r="G31" s="1139">
        <f t="shared" si="6"/>
        <v>48376</v>
      </c>
      <c r="H31" s="1142">
        <f t="shared" si="6"/>
        <v>48376</v>
      </c>
      <c r="I31" s="1143">
        <f t="shared" si="6"/>
        <v>49000</v>
      </c>
      <c r="J31" s="1139">
        <f t="shared" si="6"/>
        <v>50000</v>
      </c>
      <c r="K31" s="1140">
        <f t="shared" si="6"/>
        <v>51000</v>
      </c>
      <c r="L31" s="1548"/>
      <c r="M31" s="1548"/>
    </row>
    <row r="32" spans="1:13" ht="11.25" customHeight="1">
      <c r="A32" s="1174" t="s">
        <v>538</v>
      </c>
      <c r="B32" s="1167"/>
      <c r="C32" s="1708"/>
      <c r="D32" s="1708"/>
      <c r="E32" s="1730"/>
      <c r="F32" s="1731"/>
      <c r="G32" s="1708"/>
      <c r="H32" s="1732"/>
      <c r="I32" s="1710"/>
      <c r="J32" s="1708"/>
      <c r="K32" s="1730"/>
      <c r="L32" s="1548"/>
      <c r="M32" s="1548"/>
    </row>
    <row r="33" spans="1:13" ht="11.25" customHeight="1">
      <c r="A33" s="1174" t="s">
        <v>539</v>
      </c>
      <c r="B33" s="1167"/>
      <c r="C33" s="1708"/>
      <c r="D33" s="1708"/>
      <c r="E33" s="1730"/>
      <c r="F33" s="1731"/>
      <c r="G33" s="1708"/>
      <c r="H33" s="1732"/>
      <c r="I33" s="1710"/>
      <c r="J33" s="1708"/>
      <c r="K33" s="1730"/>
      <c r="L33" s="1548"/>
      <c r="M33" s="1548"/>
    </row>
    <row r="34" spans="1:13" ht="11.25" customHeight="1">
      <c r="A34" s="1174" t="s">
        <v>728</v>
      </c>
      <c r="B34" s="1167"/>
      <c r="C34" s="1708"/>
      <c r="D34" s="1708"/>
      <c r="E34" s="1730"/>
      <c r="F34" s="1731"/>
      <c r="G34" s="1708"/>
      <c r="H34" s="1732"/>
      <c r="I34" s="1710"/>
      <c r="J34" s="1708"/>
      <c r="K34" s="1730"/>
      <c r="L34" s="1548"/>
      <c r="M34" s="1548"/>
    </row>
    <row r="35" spans="1:13" ht="11.25" customHeight="1">
      <c r="A35" s="1630" t="str">
        <f>$A$14</f>
        <v>Below Minimum Service Level sub-total</v>
      </c>
      <c r="B35" s="1167"/>
      <c r="C35" s="1144">
        <f>SUM(C32:C34)</f>
        <v>0</v>
      </c>
      <c r="D35" s="1144">
        <f t="shared" ref="D35:K35" si="7">SUM(D32:D34)</f>
        <v>0</v>
      </c>
      <c r="E35" s="1145">
        <f t="shared" si="7"/>
        <v>0</v>
      </c>
      <c r="F35" s="1146">
        <f t="shared" si="7"/>
        <v>0</v>
      </c>
      <c r="G35" s="1144">
        <f t="shared" si="7"/>
        <v>0</v>
      </c>
      <c r="H35" s="1147">
        <f t="shared" si="7"/>
        <v>0</v>
      </c>
      <c r="I35" s="1148">
        <f t="shared" si="7"/>
        <v>0</v>
      </c>
      <c r="J35" s="1144">
        <f t="shared" si="7"/>
        <v>0</v>
      </c>
      <c r="K35" s="1145">
        <f t="shared" si="7"/>
        <v>0</v>
      </c>
      <c r="L35" s="1548"/>
      <c r="M35" s="1548"/>
    </row>
    <row r="36" spans="1:13" ht="11.25" customHeight="1">
      <c r="A36" s="1175" t="str">
        <f>$A$15</f>
        <v>Total number of households</v>
      </c>
      <c r="B36" s="1167">
        <f>$B$15</f>
        <v>5</v>
      </c>
      <c r="C36" s="1139">
        <f>C31+C35</f>
        <v>48000</v>
      </c>
      <c r="D36" s="1139">
        <f t="shared" ref="D36:K36" si="8">D31+D35</f>
        <v>49000</v>
      </c>
      <c r="E36" s="1140">
        <f t="shared" si="8"/>
        <v>50000</v>
      </c>
      <c r="F36" s="1141">
        <f t="shared" si="8"/>
        <v>48376</v>
      </c>
      <c r="G36" s="1139">
        <f t="shared" si="8"/>
        <v>48376</v>
      </c>
      <c r="H36" s="1142">
        <f t="shared" si="8"/>
        <v>48376</v>
      </c>
      <c r="I36" s="1143">
        <f t="shared" si="8"/>
        <v>49000</v>
      </c>
      <c r="J36" s="1139">
        <f t="shared" si="8"/>
        <v>50000</v>
      </c>
      <c r="K36" s="1140">
        <f t="shared" si="8"/>
        <v>51000</v>
      </c>
      <c r="L36" s="1548"/>
      <c r="M36" s="1548"/>
    </row>
    <row r="37" spans="1:13" ht="15.75" customHeight="1">
      <c r="A37" s="1173" t="s">
        <v>731</v>
      </c>
      <c r="B37" s="1167"/>
      <c r="C37" s="1091"/>
      <c r="D37" s="1091"/>
      <c r="E37" s="1092"/>
      <c r="F37" s="1093"/>
      <c r="G37" s="1091"/>
      <c r="H37" s="1094"/>
      <c r="I37" s="1095"/>
      <c r="J37" s="1091"/>
      <c r="K37" s="1092"/>
      <c r="L37" s="1548"/>
      <c r="M37" s="1548"/>
    </row>
    <row r="38" spans="1:13" ht="11.25" customHeight="1">
      <c r="A38" s="1174" t="s">
        <v>787</v>
      </c>
      <c r="B38" s="1167"/>
      <c r="C38" s="1755">
        <v>78219</v>
      </c>
      <c r="D38" s="1756">
        <v>60740</v>
      </c>
      <c r="E38" s="2260">
        <v>63777</v>
      </c>
      <c r="F38" s="1754">
        <v>57455</v>
      </c>
      <c r="G38" s="1754">
        <v>57455</v>
      </c>
      <c r="H38" s="1754">
        <v>57455</v>
      </c>
      <c r="I38" s="2339">
        <v>62000</v>
      </c>
      <c r="J38" s="1754">
        <v>63000</v>
      </c>
      <c r="K38" s="1755">
        <v>64000</v>
      </c>
      <c r="L38" s="1548"/>
      <c r="M38" s="1548"/>
    </row>
    <row r="39" spans="1:13" ht="11.25" customHeight="1">
      <c r="A39" s="1630" t="str">
        <f>$A$10</f>
        <v>Minimum Service Level and Above sub-total</v>
      </c>
      <c r="B39" s="1167"/>
      <c r="C39" s="1091">
        <f>SUM(C38)</f>
        <v>78219</v>
      </c>
      <c r="D39" s="1091">
        <f t="shared" ref="D39:K39" si="9">SUM(D38)</f>
        <v>60740</v>
      </c>
      <c r="E39" s="1092">
        <f t="shared" si="9"/>
        <v>63777</v>
      </c>
      <c r="F39" s="1093">
        <f t="shared" si="9"/>
        <v>57455</v>
      </c>
      <c r="G39" s="1091">
        <f t="shared" si="9"/>
        <v>57455</v>
      </c>
      <c r="H39" s="1094">
        <f t="shared" si="9"/>
        <v>57455</v>
      </c>
      <c r="I39" s="1095">
        <f t="shared" si="9"/>
        <v>62000</v>
      </c>
      <c r="J39" s="1091">
        <f t="shared" si="9"/>
        <v>63000</v>
      </c>
      <c r="K39" s="1092">
        <f t="shared" si="9"/>
        <v>64000</v>
      </c>
      <c r="L39" s="1548"/>
      <c r="M39" s="1548"/>
    </row>
    <row r="40" spans="1:13" ht="11.25" customHeight="1">
      <c r="A40" s="1174" t="s">
        <v>732</v>
      </c>
      <c r="B40" s="1167"/>
      <c r="C40" s="1081">
        <v>19000</v>
      </c>
      <c r="D40" s="1082">
        <v>19950</v>
      </c>
      <c r="E40" s="2245">
        <v>20947.5</v>
      </c>
      <c r="F40" s="1080">
        <v>41545</v>
      </c>
      <c r="G40" s="1080">
        <v>41545</v>
      </c>
      <c r="H40" s="1080">
        <v>41545</v>
      </c>
      <c r="I40" s="2239">
        <v>47000</v>
      </c>
      <c r="J40" s="2239">
        <v>47000</v>
      </c>
      <c r="K40" s="2239">
        <v>47000</v>
      </c>
      <c r="L40" s="1548"/>
      <c r="M40" s="1548"/>
    </row>
    <row r="41" spans="1:13" ht="11.25" customHeight="1">
      <c r="A41" s="1174" t="s">
        <v>733</v>
      </c>
      <c r="B41" s="1167"/>
      <c r="C41" s="1081"/>
      <c r="D41" s="1082"/>
      <c r="E41" s="1084"/>
      <c r="F41" s="1080"/>
      <c r="G41" s="1708"/>
      <c r="H41" s="1732"/>
      <c r="I41" s="1081"/>
      <c r="J41" s="1708"/>
      <c r="K41" s="1730"/>
      <c r="L41" s="1548"/>
      <c r="M41" s="1548"/>
    </row>
    <row r="42" spans="1:13" ht="11.25" customHeight="1">
      <c r="A42" s="1174" t="s">
        <v>952</v>
      </c>
      <c r="B42" s="1167"/>
      <c r="C42" s="1081"/>
      <c r="D42" s="1082"/>
      <c r="E42" s="1084"/>
      <c r="F42" s="1080"/>
      <c r="G42" s="1708"/>
      <c r="H42" s="1732"/>
      <c r="I42" s="1081"/>
      <c r="J42" s="1708"/>
      <c r="K42" s="1730"/>
      <c r="L42" s="1548"/>
      <c r="M42" s="1548"/>
    </row>
    <row r="43" spans="1:13" ht="11.25" customHeight="1">
      <c r="A43" s="1174" t="s">
        <v>953</v>
      </c>
      <c r="B43" s="1167"/>
      <c r="C43" s="1081"/>
      <c r="D43" s="1082"/>
      <c r="E43" s="1084"/>
      <c r="F43" s="1080"/>
      <c r="G43" s="1708"/>
      <c r="H43" s="1732"/>
      <c r="I43" s="1081"/>
      <c r="J43" s="1708"/>
      <c r="K43" s="1730"/>
      <c r="L43" s="1548"/>
      <c r="M43" s="1548"/>
    </row>
    <row r="44" spans="1:13" ht="11.25" customHeight="1">
      <c r="A44" s="1174" t="s">
        <v>205</v>
      </c>
      <c r="B44" s="1167"/>
      <c r="C44" s="1081">
        <v>35500</v>
      </c>
      <c r="D44" s="1082">
        <v>20310</v>
      </c>
      <c r="E44" s="2245">
        <v>37275</v>
      </c>
      <c r="F44" s="1080">
        <v>37275</v>
      </c>
      <c r="G44" s="1708">
        <v>37275</v>
      </c>
      <c r="H44" s="1732">
        <v>37275</v>
      </c>
      <c r="I44" s="2239">
        <v>38000</v>
      </c>
      <c r="J44" s="1708">
        <v>38000</v>
      </c>
      <c r="K44" s="1730">
        <v>38000</v>
      </c>
      <c r="L44" s="1548"/>
      <c r="M44" s="1548"/>
    </row>
    <row r="45" spans="1:13" ht="11.25" customHeight="1">
      <c r="A45" s="1630" t="str">
        <f>$A$14</f>
        <v>Below Minimum Service Level sub-total</v>
      </c>
      <c r="B45" s="1167"/>
      <c r="C45" s="1144">
        <f t="shared" ref="C45:K45" si="10">SUM(C40:C44)</f>
        <v>54500</v>
      </c>
      <c r="D45" s="1144">
        <f t="shared" si="10"/>
        <v>40260</v>
      </c>
      <c r="E45" s="1145">
        <f t="shared" si="10"/>
        <v>58222.5</v>
      </c>
      <c r="F45" s="1146">
        <f t="shared" si="10"/>
        <v>78820</v>
      </c>
      <c r="G45" s="1144">
        <f t="shared" si="10"/>
        <v>78820</v>
      </c>
      <c r="H45" s="1147">
        <f t="shared" si="10"/>
        <v>78820</v>
      </c>
      <c r="I45" s="1148">
        <f t="shared" si="10"/>
        <v>85000</v>
      </c>
      <c r="J45" s="1144">
        <f t="shared" si="10"/>
        <v>85000</v>
      </c>
      <c r="K45" s="1145">
        <f t="shared" si="10"/>
        <v>85000</v>
      </c>
      <c r="L45" s="1548"/>
      <c r="M45" s="1548"/>
    </row>
    <row r="46" spans="1:13" ht="11.25" customHeight="1">
      <c r="A46" s="1175" t="str">
        <f>$A$15</f>
        <v>Total number of households</v>
      </c>
      <c r="B46" s="1167">
        <f>$B$15</f>
        <v>5</v>
      </c>
      <c r="C46" s="1176">
        <f>C39+C45</f>
        <v>132719</v>
      </c>
      <c r="D46" s="1176">
        <f t="shared" ref="D46:K46" si="11">D39+D45</f>
        <v>101000</v>
      </c>
      <c r="E46" s="1177">
        <f t="shared" si="11"/>
        <v>121999.5</v>
      </c>
      <c r="F46" s="1178">
        <f t="shared" si="11"/>
        <v>136275</v>
      </c>
      <c r="G46" s="1176">
        <f t="shared" si="11"/>
        <v>136275</v>
      </c>
      <c r="H46" s="1179">
        <f t="shared" si="11"/>
        <v>136275</v>
      </c>
      <c r="I46" s="1180">
        <f t="shared" si="11"/>
        <v>147000</v>
      </c>
      <c r="J46" s="1176">
        <f t="shared" si="11"/>
        <v>148000</v>
      </c>
      <c r="K46" s="1177">
        <f t="shared" si="11"/>
        <v>149000</v>
      </c>
      <c r="L46" s="1548"/>
      <c r="M46" s="1548"/>
    </row>
    <row r="47" spans="1:13" ht="5.0999999999999996" customHeight="1">
      <c r="A47" s="1181"/>
      <c r="B47" s="1182"/>
      <c r="C47" s="1183"/>
      <c r="D47" s="1183"/>
      <c r="E47" s="1184"/>
      <c r="F47" s="1185"/>
      <c r="G47" s="1183"/>
      <c r="H47" s="1186"/>
      <c r="I47" s="1187"/>
      <c r="J47" s="1183"/>
      <c r="K47" s="1184"/>
      <c r="L47" s="1548"/>
      <c r="M47" s="1548"/>
    </row>
    <row r="48" spans="1:13" ht="15.75" customHeight="1">
      <c r="A48" s="1166" t="s">
        <v>206</v>
      </c>
      <c r="B48" s="1167">
        <v>7</v>
      </c>
      <c r="C48" s="1091"/>
      <c r="D48" s="1091"/>
      <c r="E48" s="1188"/>
      <c r="F48" s="1143"/>
      <c r="G48" s="1091"/>
      <c r="H48" s="1094"/>
      <c r="I48" s="1095"/>
      <c r="J48" s="1091"/>
      <c r="K48" s="1092"/>
      <c r="L48" s="1548"/>
      <c r="M48" s="1548"/>
    </row>
    <row r="49" spans="1:13" ht="11.25" customHeight="1">
      <c r="A49" s="1174" t="s">
        <v>1439</v>
      </c>
      <c r="B49" s="1167"/>
      <c r="C49" s="2250">
        <v>9365</v>
      </c>
      <c r="D49" s="2251">
        <v>10500</v>
      </c>
      <c r="E49" s="2251">
        <v>18141</v>
      </c>
      <c r="F49" s="1080">
        <v>16096</v>
      </c>
      <c r="G49" s="2251">
        <v>5440</v>
      </c>
      <c r="H49" s="2251">
        <v>5440</v>
      </c>
      <c r="I49" s="2251">
        <v>5440</v>
      </c>
      <c r="J49" s="2251">
        <v>5440</v>
      </c>
      <c r="K49" s="2251">
        <v>5440</v>
      </c>
      <c r="L49" s="1548"/>
      <c r="M49" s="1548"/>
    </row>
    <row r="50" spans="1:13" ht="11.25" customHeight="1">
      <c r="A50" s="1174" t="s">
        <v>397</v>
      </c>
      <c r="B50" s="1167"/>
      <c r="C50" s="2250">
        <v>8954</v>
      </c>
      <c r="D50" s="2251">
        <v>3531</v>
      </c>
      <c r="E50" s="2251">
        <v>16244</v>
      </c>
      <c r="F50" s="1080">
        <v>11286</v>
      </c>
      <c r="G50" s="2251">
        <v>3043</v>
      </c>
      <c r="H50" s="2251">
        <v>3043</v>
      </c>
      <c r="I50" s="2251">
        <v>3043</v>
      </c>
      <c r="J50" s="2251">
        <v>3043</v>
      </c>
      <c r="K50" s="2251">
        <v>3043</v>
      </c>
      <c r="L50" s="1548"/>
      <c r="M50" s="1548"/>
    </row>
    <row r="51" spans="1:13" ht="11.25" customHeight="1">
      <c r="A51" s="1174" t="s">
        <v>1441</v>
      </c>
      <c r="B51" s="1167"/>
      <c r="C51" s="2250">
        <v>2612</v>
      </c>
      <c r="D51" s="2251">
        <v>2364</v>
      </c>
      <c r="E51" s="2251">
        <v>7309</v>
      </c>
      <c r="F51" s="1080">
        <v>3440</v>
      </c>
      <c r="G51" s="2251">
        <v>1631</v>
      </c>
      <c r="H51" s="2251">
        <v>1631</v>
      </c>
      <c r="I51" s="2251">
        <v>1631</v>
      </c>
      <c r="J51" s="2251">
        <v>1631</v>
      </c>
      <c r="K51" s="2251">
        <v>1631</v>
      </c>
      <c r="L51" s="1548"/>
      <c r="M51" s="1548"/>
    </row>
    <row r="52" spans="1:13" ht="11.25" customHeight="1">
      <c r="A52" s="1378" t="s">
        <v>398</v>
      </c>
      <c r="B52" s="1182"/>
      <c r="C52" s="2252">
        <v>6616</v>
      </c>
      <c r="D52" s="2253">
        <v>3146</v>
      </c>
      <c r="E52" s="2253">
        <v>15100</v>
      </c>
      <c r="F52" s="1754">
        <v>10853</v>
      </c>
      <c r="G52" s="2253">
        <v>3289</v>
      </c>
      <c r="H52" s="2253">
        <v>3289</v>
      </c>
      <c r="I52" s="2253">
        <v>3289</v>
      </c>
      <c r="J52" s="2253">
        <v>3289</v>
      </c>
      <c r="K52" s="2253">
        <v>3289</v>
      </c>
      <c r="L52" s="1548"/>
      <c r="M52" s="1548"/>
    </row>
    <row r="53" spans="1:13" ht="4.5" customHeight="1">
      <c r="A53" s="1190"/>
      <c r="B53" s="1167"/>
      <c r="C53" s="1091"/>
      <c r="D53" s="1091"/>
      <c r="E53" s="1191"/>
      <c r="F53" s="1095"/>
      <c r="G53" s="1091"/>
      <c r="H53" s="1094"/>
      <c r="I53" s="1095"/>
      <c r="J53" s="1091"/>
      <c r="K53" s="1191"/>
      <c r="L53" s="1548"/>
      <c r="M53" s="1548"/>
    </row>
    <row r="54" spans="1:13" ht="11.25" customHeight="1">
      <c r="A54" s="1379" t="s">
        <v>412</v>
      </c>
      <c r="B54" s="1167">
        <v>8</v>
      </c>
      <c r="C54" s="1708"/>
      <c r="D54" s="1708"/>
      <c r="E54" s="1730"/>
      <c r="F54" s="2215">
        <v>0</v>
      </c>
      <c r="G54" s="1708"/>
      <c r="H54" s="1732"/>
      <c r="I54" s="2254"/>
      <c r="J54" s="1708"/>
      <c r="K54" s="1730"/>
      <c r="L54" s="1548"/>
      <c r="M54" s="1548"/>
    </row>
    <row r="55" spans="1:13" ht="11.25" customHeight="1">
      <c r="A55" s="1174" t="s">
        <v>1439</v>
      </c>
      <c r="B55" s="1167"/>
      <c r="C55" s="2254">
        <v>43782774</v>
      </c>
      <c r="D55" s="2255">
        <v>48323875</v>
      </c>
      <c r="E55" s="2261">
        <v>7807717</v>
      </c>
      <c r="F55" s="2215">
        <v>91708655.540000007</v>
      </c>
      <c r="G55" s="2215">
        <v>7101898</v>
      </c>
      <c r="H55" s="2215">
        <v>7101898</v>
      </c>
      <c r="I55" s="2254">
        <v>5627362</v>
      </c>
      <c r="J55" s="1708">
        <v>5897476</v>
      </c>
      <c r="K55" s="1730">
        <v>6180555</v>
      </c>
      <c r="L55" s="1548"/>
      <c r="M55" s="1548"/>
    </row>
    <row r="56" spans="1:13" ht="11.25" customHeight="1">
      <c r="A56" s="1174" t="s">
        <v>1440</v>
      </c>
      <c r="B56" s="1167"/>
      <c r="C56" s="2254">
        <v>7144108</v>
      </c>
      <c r="D56" s="2255">
        <v>6297027</v>
      </c>
      <c r="E56" s="2261">
        <v>15266626</v>
      </c>
      <c r="F56" s="2215">
        <v>17145730.800000001</v>
      </c>
      <c r="G56" s="2215">
        <v>9934511</v>
      </c>
      <c r="H56" s="2215">
        <v>9934511</v>
      </c>
      <c r="I56" s="2254">
        <v>5358464</v>
      </c>
      <c r="J56" s="1708">
        <v>5615670</v>
      </c>
      <c r="K56" s="1730">
        <v>5885222</v>
      </c>
      <c r="L56" s="1548"/>
      <c r="M56" s="1548"/>
    </row>
    <row r="57" spans="1:13" ht="11.25" customHeight="1">
      <c r="A57" s="1174" t="s">
        <v>1441</v>
      </c>
      <c r="B57" s="1167"/>
      <c r="C57" s="2254">
        <v>6415454</v>
      </c>
      <c r="D57" s="2255">
        <v>6780130</v>
      </c>
      <c r="E57" s="2261">
        <v>8644666</v>
      </c>
      <c r="F57" s="2215">
        <v>20340821.469999999</v>
      </c>
      <c r="G57" s="2215">
        <v>159196</v>
      </c>
      <c r="H57" s="2215">
        <v>159196</v>
      </c>
      <c r="I57" s="2254">
        <v>200870</v>
      </c>
      <c r="J57" s="1708">
        <v>210512</v>
      </c>
      <c r="K57" s="1730">
        <v>220616</v>
      </c>
      <c r="L57" s="1548"/>
      <c r="M57" s="1548"/>
    </row>
    <row r="58" spans="1:13" ht="11.25" customHeight="1">
      <c r="A58" s="1174" t="s">
        <v>1442</v>
      </c>
      <c r="B58" s="1167"/>
      <c r="C58" s="2254">
        <v>2166799</v>
      </c>
      <c r="D58" s="2255">
        <v>5930533</v>
      </c>
      <c r="E58" s="2261">
        <v>7526270</v>
      </c>
      <c r="F58" s="2215">
        <v>15854234</v>
      </c>
      <c r="G58" s="2215">
        <v>321945</v>
      </c>
      <c r="H58" s="2215">
        <v>321945</v>
      </c>
      <c r="I58" s="2254">
        <v>1763</v>
      </c>
      <c r="J58" s="1708">
        <v>1847</v>
      </c>
      <c r="K58" s="1730">
        <v>1936</v>
      </c>
      <c r="L58" s="1548"/>
      <c r="M58" s="1548"/>
    </row>
    <row r="59" spans="1:13" ht="11.25" customHeight="1">
      <c r="A59" s="1380" t="s">
        <v>788</v>
      </c>
      <c r="B59" s="1182"/>
      <c r="C59" s="1381">
        <f>SUM(C54:C58)</f>
        <v>59509135</v>
      </c>
      <c r="D59" s="1381">
        <f t="shared" ref="D59:K59" si="12">SUM(D54:D58)</f>
        <v>67331565</v>
      </c>
      <c r="E59" s="1382">
        <f t="shared" si="12"/>
        <v>39245279</v>
      </c>
      <c r="F59" s="1383">
        <f t="shared" si="12"/>
        <v>145049441.81</v>
      </c>
      <c r="G59" s="1381">
        <f t="shared" si="12"/>
        <v>17517550</v>
      </c>
      <c r="H59" s="1384">
        <f t="shared" si="12"/>
        <v>17517550</v>
      </c>
      <c r="I59" s="1385">
        <f t="shared" si="12"/>
        <v>11188459</v>
      </c>
      <c r="J59" s="1381">
        <f t="shared" si="12"/>
        <v>11725505</v>
      </c>
      <c r="K59" s="1382">
        <f t="shared" si="12"/>
        <v>12288329</v>
      </c>
      <c r="L59" s="1548"/>
      <c r="M59" s="1548"/>
    </row>
    <row r="60" spans="1:13" ht="3.75" customHeight="1">
      <c r="A60" s="1232"/>
      <c r="B60" s="1167"/>
      <c r="C60" s="1168"/>
      <c r="D60" s="1168"/>
      <c r="E60" s="1169"/>
      <c r="F60" s="1170"/>
      <c r="G60" s="1168"/>
      <c r="H60" s="1171"/>
      <c r="I60" s="1172"/>
      <c r="J60" s="1168"/>
      <c r="K60" s="1169"/>
      <c r="L60" s="1548"/>
      <c r="M60" s="1548"/>
    </row>
    <row r="61" spans="1:13" ht="11.25" customHeight="1">
      <c r="A61" s="1166" t="s">
        <v>785</v>
      </c>
      <c r="B61" s="1167"/>
      <c r="C61" s="1091"/>
      <c r="D61" s="1091"/>
      <c r="E61" s="1092"/>
      <c r="F61" s="1093"/>
      <c r="G61" s="1091"/>
      <c r="H61" s="1094"/>
      <c r="I61" s="1095"/>
      <c r="J61" s="1091"/>
      <c r="K61" s="1092"/>
      <c r="L61" s="1548"/>
      <c r="M61" s="1548"/>
    </row>
    <row r="62" spans="1:13" ht="11.25" customHeight="1">
      <c r="A62" s="1174" t="s">
        <v>2083</v>
      </c>
      <c r="B62" s="1167"/>
      <c r="C62" s="1761">
        <v>30000</v>
      </c>
      <c r="D62" s="2256">
        <v>60000</v>
      </c>
      <c r="E62" s="2262">
        <v>130000</v>
      </c>
      <c r="F62" s="2215">
        <v>150000</v>
      </c>
      <c r="G62" s="2340">
        <v>150000</v>
      </c>
      <c r="H62" s="2340">
        <v>150000</v>
      </c>
      <c r="I62" s="2340">
        <v>150000</v>
      </c>
      <c r="J62" s="2340">
        <v>150000</v>
      </c>
      <c r="K62" s="2340">
        <v>150000</v>
      </c>
      <c r="L62" s="1548"/>
      <c r="M62" s="1548"/>
    </row>
    <row r="63" spans="1:13" ht="11.25" customHeight="1">
      <c r="A63" s="1174" t="s">
        <v>1541</v>
      </c>
      <c r="B63" s="1167"/>
      <c r="C63" s="2257">
        <v>6</v>
      </c>
      <c r="D63" s="2256">
        <v>6</v>
      </c>
      <c r="E63" s="2263">
        <v>6</v>
      </c>
      <c r="F63" s="2215">
        <v>6</v>
      </c>
      <c r="G63" s="2340">
        <v>6</v>
      </c>
      <c r="H63" s="2340">
        <v>6</v>
      </c>
      <c r="I63" s="2340">
        <v>6</v>
      </c>
      <c r="J63" s="2340">
        <v>6</v>
      </c>
      <c r="K63" s="2340">
        <v>6</v>
      </c>
      <c r="L63" s="1548"/>
      <c r="M63" s="1548"/>
    </row>
    <row r="64" spans="1:13" ht="11.25" customHeight="1">
      <c r="A64" s="1174" t="s">
        <v>1542</v>
      </c>
      <c r="B64" s="1167"/>
      <c r="C64" s="1761"/>
      <c r="D64" s="2256"/>
      <c r="E64" s="2262"/>
      <c r="F64" s="2215">
        <v>0</v>
      </c>
      <c r="G64" s="2340">
        <v>0</v>
      </c>
      <c r="H64" s="2340">
        <v>0</v>
      </c>
      <c r="I64" s="2340">
        <v>0</v>
      </c>
      <c r="J64" s="2340">
        <v>0</v>
      </c>
      <c r="K64" s="2340">
        <v>0</v>
      </c>
      <c r="L64" s="1548"/>
      <c r="M64" s="1548"/>
    </row>
    <row r="65" spans="1:13" ht="11.25" customHeight="1">
      <c r="A65" s="1174" t="s">
        <v>726</v>
      </c>
      <c r="B65" s="1167"/>
      <c r="C65" s="1761">
        <v>38.18</v>
      </c>
      <c r="D65" s="2256">
        <v>40.86</v>
      </c>
      <c r="E65" s="2262">
        <v>43.72</v>
      </c>
      <c r="F65" s="2215">
        <v>47.22</v>
      </c>
      <c r="G65" s="2340">
        <v>51</v>
      </c>
      <c r="H65" s="2340">
        <v>51</v>
      </c>
      <c r="I65" s="2340">
        <v>51</v>
      </c>
      <c r="J65" s="2340">
        <v>51</v>
      </c>
      <c r="K65" s="2340">
        <v>51</v>
      </c>
      <c r="L65" s="1548"/>
      <c r="M65" s="1548"/>
    </row>
    <row r="66" spans="1:13" ht="11.25" customHeight="1">
      <c r="A66" s="1174" t="s">
        <v>399</v>
      </c>
      <c r="B66" s="1167"/>
      <c r="C66" s="2257">
        <v>50</v>
      </c>
      <c r="D66" s="2256">
        <v>50</v>
      </c>
      <c r="E66" s="2263">
        <v>50</v>
      </c>
      <c r="F66" s="2215">
        <v>50</v>
      </c>
      <c r="G66" s="2340">
        <v>50</v>
      </c>
      <c r="H66" s="2340">
        <v>50</v>
      </c>
      <c r="I66" s="2340">
        <v>50</v>
      </c>
      <c r="J66" s="2340">
        <v>50</v>
      </c>
      <c r="K66" s="2340">
        <v>50</v>
      </c>
      <c r="L66" s="1548"/>
      <c r="M66" s="1548"/>
    </row>
    <row r="67" spans="1:13" ht="11.25" customHeight="1">
      <c r="A67" s="1189" t="s">
        <v>730</v>
      </c>
      <c r="B67" s="1182"/>
      <c r="C67" s="1766">
        <v>24.71</v>
      </c>
      <c r="D67" s="2258">
        <v>26.43</v>
      </c>
      <c r="E67" s="2264">
        <v>28.28</v>
      </c>
      <c r="F67" s="2216">
        <v>30.54</v>
      </c>
      <c r="G67" s="2341">
        <v>31</v>
      </c>
      <c r="H67" s="2341">
        <v>31</v>
      </c>
      <c r="I67" s="2341">
        <v>31</v>
      </c>
      <c r="J67" s="2341">
        <v>31</v>
      </c>
      <c r="K67" s="2341">
        <v>31</v>
      </c>
      <c r="L67" s="1548"/>
      <c r="M67" s="1548"/>
    </row>
    <row r="68" spans="1:13" ht="15.75" customHeight="1">
      <c r="A68" s="1166" t="s">
        <v>400</v>
      </c>
      <c r="B68" s="1167">
        <v>9</v>
      </c>
      <c r="C68" s="1091"/>
      <c r="D68" s="1091"/>
      <c r="E68" s="1092"/>
      <c r="F68" s="1093"/>
      <c r="G68" s="1091"/>
      <c r="H68" s="1094"/>
      <c r="I68" s="1095"/>
      <c r="J68" s="1091"/>
      <c r="K68" s="1092"/>
      <c r="L68" s="1548"/>
      <c r="M68" s="1548"/>
    </row>
    <row r="69" spans="1:13" ht="11.25" customHeight="1">
      <c r="A69" s="1174" t="s">
        <v>401</v>
      </c>
      <c r="B69" s="1167"/>
      <c r="C69" s="1081"/>
      <c r="D69" s="1082">
        <v>17523281</v>
      </c>
      <c r="E69" s="2261">
        <v>7649578</v>
      </c>
      <c r="F69" s="1080">
        <v>9912254</v>
      </c>
      <c r="G69" s="1080">
        <v>9912254</v>
      </c>
      <c r="H69" s="1080">
        <v>9912254</v>
      </c>
      <c r="I69" s="1710">
        <v>14779143</v>
      </c>
      <c r="J69" s="1708">
        <v>16950200</v>
      </c>
      <c r="K69" s="1730">
        <v>18070450</v>
      </c>
      <c r="L69" s="1548"/>
      <c r="M69" s="1548"/>
    </row>
    <row r="70" spans="1:13" ht="11.25" customHeight="1">
      <c r="A70" s="1174" t="s">
        <v>786</v>
      </c>
      <c r="B70" s="1167"/>
      <c r="C70" s="1081"/>
      <c r="D70" s="1082"/>
      <c r="E70" s="2261">
        <v>24431298</v>
      </c>
      <c r="F70" s="1080">
        <v>112107240.67</v>
      </c>
      <c r="G70" s="1080">
        <v>112107240.67</v>
      </c>
      <c r="H70" s="1080">
        <v>112107240.67</v>
      </c>
      <c r="I70" s="1710">
        <v>0</v>
      </c>
      <c r="J70" s="1708"/>
      <c r="K70" s="1730"/>
      <c r="L70" s="1548"/>
      <c r="M70" s="1548"/>
    </row>
    <row r="71" spans="1:13" ht="11.25" customHeight="1">
      <c r="A71" s="1174" t="s">
        <v>1037</v>
      </c>
      <c r="B71" s="1167"/>
      <c r="C71" s="1081">
        <v>43782774</v>
      </c>
      <c r="D71" s="1082">
        <v>48323875</v>
      </c>
      <c r="E71" s="2261">
        <v>7807717</v>
      </c>
      <c r="F71" s="1080">
        <v>91708655.540000007</v>
      </c>
      <c r="G71" s="1080">
        <v>91708655.540000007</v>
      </c>
      <c r="H71" s="1080">
        <v>91708655.540000007</v>
      </c>
      <c r="I71" s="1710">
        <v>70605098</v>
      </c>
      <c r="J71" s="1708">
        <v>77970920</v>
      </c>
      <c r="K71" s="1730">
        <v>83124070</v>
      </c>
      <c r="L71" s="1548"/>
      <c r="M71" s="1548"/>
    </row>
    <row r="72" spans="1:13" ht="11.25" customHeight="1">
      <c r="A72" s="1174" t="s">
        <v>1038</v>
      </c>
      <c r="B72" s="1167"/>
      <c r="C72" s="1081">
        <v>7144108</v>
      </c>
      <c r="D72" s="1082">
        <v>6297027</v>
      </c>
      <c r="E72" s="2261">
        <v>15266626</v>
      </c>
      <c r="F72" s="1080">
        <v>17145730.800000001</v>
      </c>
      <c r="G72" s="1080">
        <v>17145730.800000001</v>
      </c>
      <c r="H72" s="1080">
        <v>17145730.800000001</v>
      </c>
      <c r="I72" s="1710">
        <v>54066539</v>
      </c>
      <c r="J72" s="1708">
        <v>61020720</v>
      </c>
      <c r="K72" s="1730">
        <v>65053620</v>
      </c>
      <c r="L72" s="1548"/>
      <c r="M72" s="1548"/>
    </row>
    <row r="73" spans="1:13" ht="11.25" customHeight="1">
      <c r="A73" s="1174" t="s">
        <v>1982</v>
      </c>
      <c r="B73" s="1167"/>
      <c r="C73" s="1081">
        <v>6415454</v>
      </c>
      <c r="D73" s="1082">
        <v>6780130</v>
      </c>
      <c r="E73" s="2261">
        <v>8644666</v>
      </c>
      <c r="F73" s="1080">
        <v>20340821.469999999</v>
      </c>
      <c r="G73" s="1080">
        <v>20340821.469999999</v>
      </c>
      <c r="H73" s="1080">
        <v>20340821.469999999</v>
      </c>
      <c r="I73" s="1710">
        <v>111521000</v>
      </c>
      <c r="J73" s="1708">
        <v>122041440</v>
      </c>
      <c r="K73" s="1730">
        <v>130107240</v>
      </c>
      <c r="L73" s="1548"/>
      <c r="M73" s="1548"/>
    </row>
    <row r="74" spans="1:13" ht="11.25" customHeight="1">
      <c r="A74" s="1174" t="s">
        <v>1412</v>
      </c>
      <c r="B74" s="1167"/>
      <c r="C74" s="1081">
        <v>2166799</v>
      </c>
      <c r="D74" s="1082">
        <v>5930533</v>
      </c>
      <c r="E74" s="2261">
        <v>7526270</v>
      </c>
      <c r="F74" s="1080">
        <v>15854234</v>
      </c>
      <c r="G74" s="1080">
        <v>15854234</v>
      </c>
      <c r="H74" s="1080">
        <v>15854234</v>
      </c>
      <c r="I74" s="1710">
        <v>53863122</v>
      </c>
      <c r="J74" s="1708">
        <v>61020720</v>
      </c>
      <c r="K74" s="1730">
        <v>65053620</v>
      </c>
      <c r="L74" s="1548"/>
      <c r="M74" s="1548"/>
    </row>
    <row r="75" spans="1:13" ht="11.25" customHeight="1">
      <c r="A75" s="1174" t="s">
        <v>402</v>
      </c>
      <c r="B75" s="1167"/>
      <c r="C75" s="1708"/>
      <c r="D75" s="1708"/>
      <c r="E75" s="1084"/>
      <c r="F75" s="1080">
        <v>0</v>
      </c>
      <c r="G75" s="1080">
        <v>0</v>
      </c>
      <c r="H75" s="1080">
        <v>0</v>
      </c>
      <c r="I75" s="1710">
        <v>0</v>
      </c>
      <c r="J75" s="1708">
        <v>0</v>
      </c>
      <c r="K75" s="1730">
        <v>0</v>
      </c>
      <c r="L75" s="1548"/>
      <c r="M75" s="1548"/>
    </row>
    <row r="76" spans="1:13" ht="11.25" customHeight="1">
      <c r="A76" s="1174" t="s">
        <v>403</v>
      </c>
      <c r="B76" s="1167">
        <v>6</v>
      </c>
      <c r="C76" s="1708"/>
      <c r="D76" s="1708"/>
      <c r="E76" s="1084"/>
      <c r="F76" s="1080">
        <v>0</v>
      </c>
      <c r="G76" s="1080">
        <v>0</v>
      </c>
      <c r="H76" s="1080">
        <v>0</v>
      </c>
      <c r="I76" s="1710">
        <v>0</v>
      </c>
      <c r="J76" s="1708">
        <v>0</v>
      </c>
      <c r="K76" s="1730">
        <v>0</v>
      </c>
      <c r="L76" s="1548"/>
      <c r="M76" s="1548"/>
    </row>
    <row r="77" spans="1:13" ht="11.25" customHeight="1">
      <c r="A77" s="1174" t="s">
        <v>301</v>
      </c>
      <c r="B77" s="1167"/>
      <c r="C77" s="1708"/>
      <c r="D77" s="1708"/>
      <c r="E77" s="1084"/>
      <c r="F77" s="1080">
        <v>0</v>
      </c>
      <c r="G77" s="1080">
        <v>0</v>
      </c>
      <c r="H77" s="1080">
        <v>0</v>
      </c>
      <c r="I77" s="1710">
        <v>0</v>
      </c>
      <c r="J77" s="1708">
        <v>0</v>
      </c>
      <c r="K77" s="1730">
        <v>0</v>
      </c>
      <c r="L77" s="1548"/>
      <c r="M77" s="1548"/>
    </row>
    <row r="78" spans="1:13" ht="25.5">
      <c r="A78" s="1479" t="s">
        <v>404</v>
      </c>
      <c r="B78" s="1192"/>
      <c r="C78" s="1193">
        <f t="shared" ref="C78:I78" si="13">SUM(C69:C77)</f>
        <v>59509135</v>
      </c>
      <c r="D78" s="1193">
        <f t="shared" si="13"/>
        <v>84854846</v>
      </c>
      <c r="E78" s="1194">
        <f t="shared" si="13"/>
        <v>71326155</v>
      </c>
      <c r="F78" s="1195">
        <f t="shared" si="13"/>
        <v>267068936.48000002</v>
      </c>
      <c r="G78" s="1193">
        <f t="shared" si="13"/>
        <v>267068936.48000002</v>
      </c>
      <c r="H78" s="1196">
        <f t="shared" si="13"/>
        <v>267068936.48000002</v>
      </c>
      <c r="I78" s="1197">
        <f t="shared" si="13"/>
        <v>304834902</v>
      </c>
      <c r="J78" s="1193">
        <f>SUM(J69:J77)</f>
        <v>339004000</v>
      </c>
      <c r="K78" s="1194">
        <f>SUM(K69:K77)</f>
        <v>361409000</v>
      </c>
      <c r="L78" s="1548"/>
      <c r="M78" s="1548"/>
    </row>
    <row r="79" spans="1:13" ht="11.25" customHeight="1">
      <c r="A79" s="1198" t="str">
        <f>head27a</f>
        <v>References</v>
      </c>
      <c r="B79" s="720"/>
      <c r="L79" s="1548"/>
      <c r="M79" s="1548"/>
    </row>
    <row r="80" spans="1:13" ht="11.25" customHeight="1">
      <c r="A80" s="1199" t="s">
        <v>540</v>
      </c>
      <c r="B80" s="720"/>
    </row>
    <row r="81" spans="1:11" ht="11.25" customHeight="1">
      <c r="A81" s="1199" t="s">
        <v>541</v>
      </c>
      <c r="B81" s="720"/>
    </row>
    <row r="82" spans="1:11" ht="11.25" customHeight="1">
      <c r="A82" s="1199" t="s">
        <v>542</v>
      </c>
      <c r="B82" s="720"/>
    </row>
    <row r="83" spans="1:11" ht="11.25" customHeight="1">
      <c r="A83" s="1199" t="s">
        <v>543</v>
      </c>
      <c r="B83" s="1200"/>
      <c r="C83" s="1200"/>
      <c r="D83" s="1200"/>
      <c r="E83" s="1200"/>
      <c r="F83" s="1200"/>
      <c r="G83" s="1200"/>
      <c r="H83" s="1200"/>
      <c r="I83" s="1200"/>
      <c r="J83" s="1200"/>
      <c r="K83" s="1200"/>
    </row>
    <row r="84" spans="1:11" ht="11.25" customHeight="1">
      <c r="A84" s="1199" t="s">
        <v>544</v>
      </c>
      <c r="B84" s="1200"/>
      <c r="C84" s="1200"/>
      <c r="D84" s="1200"/>
      <c r="E84" s="1200"/>
      <c r="F84" s="1200"/>
      <c r="G84" s="1200"/>
      <c r="H84" s="1200"/>
      <c r="I84" s="1200"/>
      <c r="J84" s="1200"/>
      <c r="K84" s="1200"/>
    </row>
    <row r="85" spans="1:11" ht="11.25" customHeight="1">
      <c r="A85" s="1199" t="s">
        <v>545</v>
      </c>
      <c r="B85" s="1200"/>
      <c r="C85" s="1200"/>
      <c r="D85" s="1200"/>
      <c r="E85" s="1200"/>
      <c r="F85" s="1200"/>
      <c r="G85" s="1200"/>
      <c r="H85" s="1200"/>
      <c r="I85" s="1200"/>
      <c r="J85" s="1200"/>
      <c r="K85" s="1200"/>
    </row>
    <row r="86" spans="1:11" ht="11.25" customHeight="1">
      <c r="A86" s="1199" t="s">
        <v>789</v>
      </c>
      <c r="B86" s="1200"/>
      <c r="C86" s="1200"/>
      <c r="D86" s="1200"/>
      <c r="E86" s="1200"/>
      <c r="F86" s="1200"/>
      <c r="G86" s="1200"/>
      <c r="H86" s="1200"/>
      <c r="I86" s="1200"/>
      <c r="J86" s="1200"/>
      <c r="K86" s="1200"/>
    </row>
    <row r="87" spans="1:11" ht="11.25" customHeight="1">
      <c r="A87" s="1199" t="s">
        <v>883</v>
      </c>
      <c r="B87" s="1200"/>
      <c r="C87" s="1200"/>
      <c r="D87" s="1200"/>
      <c r="E87" s="1200"/>
      <c r="F87" s="1200"/>
      <c r="G87" s="1200"/>
      <c r="H87" s="1200"/>
      <c r="I87" s="1200"/>
      <c r="J87" s="1200"/>
      <c r="K87" s="1200"/>
    </row>
    <row r="88" spans="1:11" ht="11.25" customHeight="1">
      <c r="A88" s="1199" t="s">
        <v>1691</v>
      </c>
      <c r="B88" s="1199"/>
      <c r="C88" s="1200"/>
      <c r="D88" s="1200"/>
      <c r="E88" s="1200"/>
      <c r="F88" s="1200"/>
      <c r="G88" s="1200"/>
      <c r="H88" s="1200"/>
      <c r="I88" s="1200"/>
      <c r="J88" s="1200"/>
      <c r="K88" s="1200"/>
    </row>
    <row r="89" spans="1:11" ht="11.25" customHeight="1">
      <c r="A89" s="1200"/>
      <c r="B89" s="1200"/>
      <c r="C89" s="1200"/>
      <c r="D89" s="1200"/>
      <c r="E89" s="1200"/>
      <c r="F89" s="1200"/>
      <c r="G89" s="1200"/>
      <c r="H89" s="1200"/>
      <c r="I89" s="1200"/>
      <c r="J89" s="1200"/>
      <c r="K89" s="1200"/>
    </row>
    <row r="90" spans="1:11" ht="11.25" customHeight="1">
      <c r="A90" s="1200"/>
      <c r="B90" s="1200"/>
      <c r="C90" s="1200"/>
      <c r="D90" s="1200"/>
      <c r="E90" s="1200"/>
      <c r="F90" s="1200"/>
      <c r="G90" s="1200"/>
      <c r="H90" s="1200"/>
      <c r="I90" s="1200"/>
      <c r="J90" s="1200"/>
      <c r="K90" s="1200"/>
    </row>
    <row r="91" spans="1:11" ht="11.25" customHeight="1">
      <c r="A91" s="1200"/>
      <c r="B91" s="1200"/>
      <c r="C91" s="1200"/>
      <c r="D91" s="1200"/>
      <c r="E91" s="1200"/>
      <c r="F91" s="1200"/>
      <c r="G91" s="1200"/>
      <c r="H91" s="1200"/>
      <c r="I91" s="1200"/>
      <c r="J91" s="1200"/>
      <c r="K91" s="1200"/>
    </row>
    <row r="92" spans="1:11" ht="11.25" customHeight="1">
      <c r="A92" s="1200"/>
      <c r="B92" s="1200"/>
      <c r="C92" s="1200"/>
      <c r="D92" s="1200"/>
      <c r="E92" s="1200"/>
      <c r="F92" s="1200"/>
      <c r="G92" s="1200"/>
      <c r="H92" s="1200"/>
      <c r="I92" s="1200"/>
      <c r="J92" s="1200"/>
      <c r="K92" s="1200"/>
    </row>
    <row r="93" spans="1:11" ht="11.25" customHeight="1">
      <c r="A93" s="1200"/>
      <c r="B93" s="1200"/>
      <c r="C93" s="1200"/>
      <c r="D93" s="1200"/>
      <c r="E93" s="1200"/>
      <c r="F93" s="1200"/>
      <c r="G93" s="1200"/>
      <c r="H93" s="1200"/>
      <c r="I93" s="1200"/>
      <c r="J93" s="1200"/>
      <c r="K93" s="1200"/>
    </row>
    <row r="94" spans="1:11" ht="11.25" customHeight="1">
      <c r="A94" s="1200"/>
      <c r="B94" s="1200"/>
      <c r="C94" s="1200"/>
      <c r="D94" s="1200"/>
      <c r="E94" s="1200"/>
      <c r="F94" s="1200"/>
      <c r="G94" s="1200"/>
      <c r="H94" s="1200"/>
      <c r="I94" s="1200"/>
      <c r="J94" s="1200"/>
      <c r="K94" s="1200"/>
    </row>
    <row r="95" spans="1:11" ht="11.25" customHeight="1">
      <c r="A95" s="1200"/>
      <c r="B95" s="1200"/>
      <c r="C95" s="1200"/>
      <c r="D95" s="1200"/>
      <c r="E95" s="1200"/>
      <c r="F95" s="1200"/>
      <c r="G95" s="1200"/>
      <c r="H95" s="1200"/>
      <c r="I95" s="1200"/>
      <c r="J95" s="1200"/>
      <c r="K95" s="1200"/>
    </row>
    <row r="96" spans="1:11" ht="11.25" customHeight="1">
      <c r="A96" s="1200"/>
      <c r="B96" s="1200"/>
      <c r="C96" s="1200"/>
      <c r="D96" s="1200"/>
      <c r="E96" s="1200"/>
      <c r="F96" s="1200"/>
      <c r="G96" s="1200"/>
      <c r="H96" s="1200"/>
      <c r="I96" s="1200"/>
      <c r="J96" s="1200"/>
      <c r="K96" s="1200"/>
    </row>
    <row r="97" spans="1:11" ht="11.25" customHeight="1">
      <c r="A97" s="1200"/>
      <c r="B97" s="1200"/>
      <c r="C97" s="1200"/>
      <c r="D97" s="1200"/>
      <c r="E97" s="1200"/>
      <c r="F97" s="1200"/>
      <c r="G97" s="1200"/>
      <c r="H97" s="1200"/>
      <c r="I97" s="1200"/>
      <c r="J97" s="1200"/>
      <c r="K97" s="1200"/>
    </row>
    <row r="98" spans="1:11" ht="11.25" customHeight="1">
      <c r="A98" s="1200"/>
      <c r="B98" s="1200"/>
      <c r="C98" s="1200"/>
      <c r="D98" s="1200"/>
      <c r="E98" s="1200"/>
      <c r="F98" s="1200"/>
      <c r="G98" s="1200"/>
      <c r="H98" s="1200"/>
      <c r="I98" s="1200"/>
      <c r="J98" s="1200"/>
      <c r="K98" s="1200"/>
    </row>
    <row r="99" spans="1:11" ht="11.25" customHeight="1">
      <c r="B99" s="720"/>
    </row>
    <row r="100" spans="1:11" ht="11.25" customHeight="1">
      <c r="B100" s="720"/>
    </row>
    <row r="101" spans="1:11" ht="11.25" customHeight="1">
      <c r="B101" s="720"/>
    </row>
    <row r="102" spans="1:11" ht="11.25" customHeight="1">
      <c r="B102" s="720"/>
    </row>
    <row r="103" spans="1:11" ht="11.25" customHeight="1">
      <c r="B103" s="720"/>
    </row>
    <row r="104" spans="1:11" ht="11.25" customHeight="1">
      <c r="B104" s="720"/>
    </row>
    <row r="105" spans="1:11" ht="11.25" customHeight="1">
      <c r="B105" s="720"/>
    </row>
    <row r="106" spans="1:11" ht="11.25" customHeight="1">
      <c r="B106" s="720"/>
    </row>
    <row r="107" spans="1:11" ht="11.25" customHeight="1">
      <c r="B107" s="720"/>
    </row>
    <row r="108" spans="1:11" ht="11.25" customHeight="1">
      <c r="B108" s="720"/>
    </row>
    <row r="109" spans="1:11" ht="11.25" customHeight="1">
      <c r="B109" s="720"/>
    </row>
    <row r="110" spans="1:11" ht="11.25" customHeight="1">
      <c r="B110" s="720"/>
    </row>
    <row r="111" spans="1:11" ht="11.25" customHeight="1">
      <c r="B111" s="720"/>
    </row>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password="A35B" sheet="1" objects="1" scenarios="1"/>
  <mergeCells count="4">
    <mergeCell ref="F2:H2"/>
    <mergeCell ref="I2:K2"/>
    <mergeCell ref="A2:A3"/>
    <mergeCell ref="B2:B3"/>
  </mergeCells>
  <phoneticPr fontId="2" type="noConversion"/>
  <dataValidations count="1">
    <dataValidation type="whole" allowBlank="1" showInputMessage="1" showErrorMessage="1" sqref="C6:K9 C11:K13 C17:K21 C23:K25 C29:K30 C32:K34 C38:K38 C40:K44 C49:K52 C54:K58 C62:K67 C69:K77">
      <formula1>0</formula1>
      <formula2>999999999999</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pageSetUpPr fitToPage="1"/>
  </sheetPr>
  <dimension ref="D2:AJ288"/>
  <sheetViews>
    <sheetView showGridLines="0" zoomScaleNormal="100" workbookViewId="0">
      <selection activeCell="N36" sqref="N36"/>
    </sheetView>
  </sheetViews>
  <sheetFormatPr defaultRowHeight="12.75"/>
  <cols>
    <col min="19" max="22" width="9.140625" style="1604"/>
    <col min="23" max="23" width="19.7109375" style="1605" customWidth="1"/>
    <col min="24" max="25" width="9.140625" style="1605"/>
    <col min="26" max="26" width="9.140625" style="1604"/>
    <col min="27" max="27" width="13" style="1604" customWidth="1"/>
    <col min="28" max="28" width="24.85546875" style="1604" customWidth="1"/>
    <col min="29" max="36" width="9.140625" style="1604"/>
  </cols>
  <sheetData>
    <row r="2" spans="4:29">
      <c r="D2">
        <v>2020</v>
      </c>
    </row>
    <row r="4" spans="4:29">
      <c r="X4" s="1606" t="s">
        <v>449</v>
      </c>
    </row>
    <row r="5" spans="4:29">
      <c r="X5" s="1606" t="s">
        <v>889</v>
      </c>
    </row>
    <row r="6" spans="4:29">
      <c r="AB6" s="1614"/>
      <c r="AC6" s="1498"/>
    </row>
    <row r="7" spans="4:29">
      <c r="W7" s="1606" t="s">
        <v>957</v>
      </c>
      <c r="X7" s="1606" t="s">
        <v>272</v>
      </c>
      <c r="AB7" s="1614"/>
      <c r="AC7" s="1503"/>
    </row>
    <row r="8" spans="4:29">
      <c r="X8" s="1606" t="s">
        <v>1967</v>
      </c>
      <c r="AB8" s="1614"/>
      <c r="AC8" s="1498"/>
    </row>
    <row r="9" spans="4:29">
      <c r="AB9" s="1614"/>
      <c r="AC9" s="1498"/>
    </row>
    <row r="10" spans="4:29">
      <c r="AB10" s="1614"/>
      <c r="AC10" s="1498"/>
    </row>
    <row r="11" spans="4:29">
      <c r="AB11" s="1614"/>
      <c r="AC11" s="1498"/>
    </row>
    <row r="12" spans="4:29">
      <c r="AB12" s="1614"/>
      <c r="AC12" s="1498"/>
    </row>
    <row r="13" spans="4:29">
      <c r="AB13" s="1614"/>
      <c r="AC13" s="1503"/>
    </row>
    <row r="14" spans="4:29">
      <c r="AB14" s="1614"/>
      <c r="AC14" s="1498"/>
    </row>
    <row r="15" spans="4:29">
      <c r="AB15" s="1614"/>
      <c r="AC15" s="1486"/>
    </row>
    <row r="16" spans="4:29">
      <c r="AB16" s="1614"/>
      <c r="AC16" s="1486"/>
    </row>
    <row r="17" spans="23:29">
      <c r="W17" s="1606" t="s">
        <v>956</v>
      </c>
      <c r="X17" s="1606">
        <v>2008</v>
      </c>
      <c r="AB17" s="1614"/>
      <c r="AC17" s="1486"/>
    </row>
    <row r="18" spans="23:29">
      <c r="X18" s="1606">
        <v>2009</v>
      </c>
      <c r="AB18" s="1614"/>
      <c r="AC18" s="1486"/>
    </row>
    <row r="19" spans="23:29">
      <c r="X19" s="1606">
        <v>2010</v>
      </c>
      <c r="AB19" s="1614"/>
      <c r="AC19" s="1486"/>
    </row>
    <row r="20" spans="23:29">
      <c r="X20" s="1606">
        <v>2011</v>
      </c>
      <c r="AB20" s="1614"/>
      <c r="AC20" s="1486"/>
    </row>
    <row r="21" spans="23:29">
      <c r="X21" s="1606">
        <v>2012</v>
      </c>
      <c r="AB21" s="1614"/>
      <c r="AC21" s="1486"/>
    </row>
    <row r="22" spans="23:29">
      <c r="X22" s="1606">
        <v>2013</v>
      </c>
      <c r="AB22" s="1614"/>
      <c r="AC22" s="1486"/>
    </row>
    <row r="23" spans="23:29">
      <c r="X23" s="1606">
        <v>2014</v>
      </c>
      <c r="AB23" s="1614"/>
      <c r="AC23" s="1486"/>
    </row>
    <row r="24" spans="23:29">
      <c r="X24" s="1606">
        <v>2015</v>
      </c>
      <c r="AB24" s="1614"/>
      <c r="AC24" s="1486"/>
    </row>
    <row r="25" spans="23:29">
      <c r="X25" s="1606">
        <v>2016</v>
      </c>
      <c r="AB25" s="1614"/>
      <c r="AC25" s="1486"/>
    </row>
    <row r="26" spans="23:29">
      <c r="X26" s="1606">
        <v>2017</v>
      </c>
      <c r="AB26" s="1614"/>
      <c r="AC26" s="1486"/>
    </row>
    <row r="27" spans="23:29">
      <c r="X27" s="1606">
        <v>2018</v>
      </c>
      <c r="AB27" s="1614"/>
      <c r="AC27" s="1486"/>
    </row>
    <row r="28" spans="23:29">
      <c r="X28" s="1606">
        <v>2019</v>
      </c>
      <c r="AB28" s="1614"/>
      <c r="AC28" s="1486"/>
    </row>
    <row r="29" spans="23:29">
      <c r="X29" s="1606">
        <v>2020</v>
      </c>
      <c r="AB29" s="1614"/>
      <c r="AC29" s="1486"/>
    </row>
    <row r="30" spans="23:29">
      <c r="X30" s="1606">
        <v>2021</v>
      </c>
      <c r="AB30" s="1614"/>
      <c r="AC30" s="1486"/>
    </row>
    <row r="31" spans="23:29">
      <c r="X31" s="1606">
        <v>2022</v>
      </c>
      <c r="AB31" s="1614"/>
      <c r="AC31" s="1486"/>
    </row>
    <row r="32" spans="23:29">
      <c r="AB32" s="1614"/>
      <c r="AC32" s="1486"/>
    </row>
    <row r="33" spans="15:29">
      <c r="W33" s="1606" t="s">
        <v>1968</v>
      </c>
      <c r="X33" s="1605">
        <v>4</v>
      </c>
      <c r="AB33" s="1614"/>
      <c r="AC33" s="1497"/>
    </row>
    <row r="34" spans="15:29">
      <c r="W34" s="1606" t="s">
        <v>1966</v>
      </c>
      <c r="X34" s="1607">
        <f>INDEX(X17:X31,X33,1)</f>
        <v>2011</v>
      </c>
      <c r="AB34" s="1614"/>
      <c r="AC34" s="1529"/>
    </row>
    <row r="35" spans="15:29">
      <c r="AB35" s="1614"/>
      <c r="AC35" s="1529"/>
    </row>
    <row r="36" spans="15:29">
      <c r="W36" s="1606" t="s">
        <v>1969</v>
      </c>
      <c r="X36" s="1608" t="str">
        <f>MTREF&amp;"/"&amp;RIGHT(MTREF,2)+1</f>
        <v>2011/12</v>
      </c>
      <c r="AB36" s="1614"/>
      <c r="AC36" s="1486"/>
    </row>
    <row r="37" spans="15:29">
      <c r="O37" s="2152"/>
      <c r="AB37" s="1614"/>
      <c r="AC37" s="1486"/>
    </row>
    <row r="38" spans="15:29">
      <c r="O38" s="2152"/>
      <c r="AB38" s="1614"/>
      <c r="AC38" s="1486"/>
    </row>
    <row r="39" spans="15:29">
      <c r="O39" s="2152"/>
      <c r="AB39" s="1614"/>
      <c r="AC39" s="1486"/>
    </row>
    <row r="40" spans="15:29">
      <c r="O40" s="2153"/>
      <c r="AB40" s="1614"/>
      <c r="AC40" s="1486"/>
    </row>
    <row r="41" spans="15:29">
      <c r="AB41" s="1614"/>
      <c r="AC41" s="1486"/>
    </row>
    <row r="42" spans="15:29">
      <c r="AB42" s="1614"/>
      <c r="AC42" s="1486"/>
    </row>
    <row r="43" spans="15:29">
      <c r="AB43" s="1614"/>
      <c r="AC43" s="1486"/>
    </row>
    <row r="44" spans="15:29">
      <c r="AB44" s="1614"/>
      <c r="AC44" s="1486"/>
    </row>
    <row r="45" spans="15:29">
      <c r="AB45" s="1614"/>
      <c r="AC45" s="1486"/>
    </row>
    <row r="46" spans="15:29">
      <c r="AB46" s="1614"/>
      <c r="AC46" s="1486"/>
    </row>
    <row r="47" spans="15:29">
      <c r="AB47" s="1614"/>
      <c r="AC47" s="1486"/>
    </row>
    <row r="48" spans="15:29">
      <c r="AB48" s="1614"/>
      <c r="AC48" s="1486"/>
    </row>
    <row r="49" spans="28:29">
      <c r="AB49" s="1614"/>
      <c r="AC49" s="1486"/>
    </row>
    <row r="50" spans="28:29">
      <c r="AB50" s="1614"/>
      <c r="AC50" s="1486"/>
    </row>
    <row r="51" spans="28:29">
      <c r="AB51" s="1614"/>
      <c r="AC51" s="1486"/>
    </row>
    <row r="52" spans="28:29">
      <c r="AB52" s="1614"/>
      <c r="AC52" s="1486"/>
    </row>
    <row r="53" spans="28:29">
      <c r="AB53" s="1614"/>
      <c r="AC53" s="1486"/>
    </row>
    <row r="54" spans="28:29">
      <c r="AB54" s="1614"/>
      <c r="AC54" s="1486"/>
    </row>
    <row r="55" spans="28:29">
      <c r="AB55" s="1614"/>
      <c r="AC55" s="1486"/>
    </row>
    <row r="56" spans="28:29">
      <c r="AB56" s="1614"/>
      <c r="AC56" s="1486"/>
    </row>
    <row r="57" spans="28:29">
      <c r="AB57" s="1614"/>
      <c r="AC57" s="1486"/>
    </row>
    <row r="58" spans="28:29">
      <c r="AB58" s="1614"/>
      <c r="AC58" s="1486"/>
    </row>
    <row r="59" spans="28:29">
      <c r="AB59" s="1614"/>
      <c r="AC59" s="1486"/>
    </row>
    <row r="60" spans="28:29">
      <c r="AB60" s="1614"/>
      <c r="AC60" s="1486"/>
    </row>
    <row r="61" spans="28:29">
      <c r="AB61" s="1614"/>
      <c r="AC61" s="1486"/>
    </row>
    <row r="62" spans="28:29">
      <c r="AB62" s="1614"/>
      <c r="AC62" s="1486"/>
    </row>
    <row r="63" spans="28:29">
      <c r="AB63" s="1614"/>
      <c r="AC63" s="1486"/>
    </row>
    <row r="64" spans="28:29">
      <c r="AB64" s="1614"/>
      <c r="AC64" s="1486"/>
    </row>
    <row r="65" spans="28:29">
      <c r="AB65" s="1614"/>
      <c r="AC65" s="1486"/>
    </row>
    <row r="66" spans="28:29">
      <c r="AB66" s="1614"/>
      <c r="AC66" s="1486"/>
    </row>
    <row r="67" spans="28:29">
      <c r="AB67" s="1614"/>
      <c r="AC67" s="1486"/>
    </row>
    <row r="68" spans="28:29">
      <c r="AB68" s="1614"/>
      <c r="AC68" s="1486"/>
    </row>
    <row r="69" spans="28:29">
      <c r="AB69" s="1614"/>
      <c r="AC69" s="1486"/>
    </row>
    <row r="70" spans="28:29">
      <c r="AB70" s="1614"/>
      <c r="AC70" s="1486"/>
    </row>
    <row r="71" spans="28:29">
      <c r="AB71" s="1614"/>
      <c r="AC71" s="1486"/>
    </row>
    <row r="72" spans="28:29">
      <c r="AB72" s="1614"/>
      <c r="AC72" s="1486"/>
    </row>
    <row r="73" spans="28:29">
      <c r="AB73" s="1614"/>
      <c r="AC73" s="1486"/>
    </row>
    <row r="74" spans="28:29">
      <c r="AB74" s="1614"/>
      <c r="AC74" s="1486"/>
    </row>
    <row r="75" spans="28:29">
      <c r="AB75" s="1614"/>
      <c r="AC75" s="1486"/>
    </row>
    <row r="76" spans="28:29">
      <c r="AB76" s="1614"/>
      <c r="AC76" s="1486"/>
    </row>
    <row r="77" spans="28:29">
      <c r="AB77" s="1614"/>
      <c r="AC77" s="1486"/>
    </row>
    <row r="78" spans="28:29">
      <c r="AB78" s="1614"/>
      <c r="AC78" s="1486"/>
    </row>
    <row r="79" spans="28:29">
      <c r="AB79" s="1614"/>
      <c r="AC79" s="1486"/>
    </row>
    <row r="80" spans="28:29">
      <c r="AB80" s="1614"/>
      <c r="AC80" s="1486"/>
    </row>
    <row r="81" spans="28:29">
      <c r="AB81" s="1614"/>
      <c r="AC81" s="1486"/>
    </row>
    <row r="82" spans="28:29">
      <c r="AB82" s="1614"/>
      <c r="AC82" s="1486"/>
    </row>
    <row r="83" spans="28:29">
      <c r="AB83" s="1614"/>
      <c r="AC83" s="1486"/>
    </row>
    <row r="84" spans="28:29">
      <c r="AB84" s="1614"/>
      <c r="AC84" s="1486"/>
    </row>
    <row r="85" spans="28:29">
      <c r="AB85" s="1614"/>
      <c r="AC85" s="1486"/>
    </row>
    <row r="86" spans="28:29">
      <c r="AB86" s="1614"/>
      <c r="AC86" s="1486"/>
    </row>
    <row r="87" spans="28:29">
      <c r="AB87" s="1614"/>
      <c r="AC87" s="1486"/>
    </row>
    <row r="88" spans="28:29">
      <c r="AB88" s="1614"/>
      <c r="AC88" s="1486"/>
    </row>
    <row r="89" spans="28:29">
      <c r="AB89" s="1614"/>
      <c r="AC89" s="1486"/>
    </row>
    <row r="90" spans="28:29">
      <c r="AB90" s="1614"/>
      <c r="AC90" s="1486"/>
    </row>
    <row r="91" spans="28:29">
      <c r="AB91" s="1614"/>
      <c r="AC91" s="1486"/>
    </row>
    <row r="92" spans="28:29">
      <c r="AB92" s="1614"/>
      <c r="AC92" s="1486"/>
    </row>
    <row r="93" spans="28:29">
      <c r="AB93" s="1614"/>
      <c r="AC93" s="1486"/>
    </row>
    <row r="94" spans="28:29">
      <c r="AB94" s="1614"/>
      <c r="AC94" s="1486"/>
    </row>
    <row r="95" spans="28:29">
      <c r="AB95" s="1614"/>
      <c r="AC95" s="1486"/>
    </row>
    <row r="96" spans="28:29">
      <c r="AB96" s="1614"/>
      <c r="AC96" s="1486"/>
    </row>
    <row r="97" spans="28:29">
      <c r="AB97" s="1614"/>
      <c r="AC97" s="1486"/>
    </row>
    <row r="98" spans="28:29">
      <c r="AB98" s="1614"/>
      <c r="AC98" s="1486"/>
    </row>
    <row r="99" spans="28:29">
      <c r="AB99" s="1614"/>
      <c r="AC99" s="1486"/>
    </row>
    <row r="100" spans="28:29">
      <c r="AB100" s="1614"/>
      <c r="AC100" s="1486"/>
    </row>
    <row r="101" spans="28:29">
      <c r="AB101" s="1614"/>
      <c r="AC101" s="1486"/>
    </row>
    <row r="102" spans="28:29">
      <c r="AB102" s="1614"/>
      <c r="AC102" s="1486"/>
    </row>
    <row r="103" spans="28:29">
      <c r="AB103" s="1614"/>
      <c r="AC103" s="1486"/>
    </row>
    <row r="104" spans="28:29">
      <c r="AB104" s="1614"/>
      <c r="AC104" s="1486"/>
    </row>
    <row r="105" spans="28:29">
      <c r="AB105" s="1614"/>
      <c r="AC105" s="1486"/>
    </row>
    <row r="106" spans="28:29">
      <c r="AB106" s="1614"/>
      <c r="AC106" s="1486"/>
    </row>
    <row r="107" spans="28:29">
      <c r="AB107" s="1614"/>
      <c r="AC107" s="1486"/>
    </row>
    <row r="108" spans="28:29">
      <c r="AB108" s="1614"/>
      <c r="AC108" s="1486"/>
    </row>
    <row r="109" spans="28:29">
      <c r="AB109" s="1614"/>
      <c r="AC109" s="1486"/>
    </row>
    <row r="110" spans="28:29">
      <c r="AB110" s="1614"/>
      <c r="AC110" s="1486"/>
    </row>
    <row r="111" spans="28:29">
      <c r="AB111" s="1614"/>
      <c r="AC111" s="1486"/>
    </row>
    <row r="112" spans="28:29">
      <c r="AB112" s="1614"/>
      <c r="AC112" s="1486"/>
    </row>
    <row r="113" spans="28:29">
      <c r="AB113" s="1614"/>
      <c r="AC113" s="1486"/>
    </row>
    <row r="114" spans="28:29">
      <c r="AB114" s="1614"/>
      <c r="AC114" s="1486"/>
    </row>
    <row r="115" spans="28:29">
      <c r="AB115" s="1614"/>
      <c r="AC115" s="1486"/>
    </row>
    <row r="116" spans="28:29">
      <c r="AB116" s="1614"/>
      <c r="AC116" s="1486"/>
    </row>
    <row r="117" spans="28:29">
      <c r="AB117" s="1614"/>
      <c r="AC117" s="1486"/>
    </row>
    <row r="118" spans="28:29">
      <c r="AB118" s="1614"/>
      <c r="AC118" s="1486"/>
    </row>
    <row r="119" spans="28:29">
      <c r="AB119" s="1614"/>
      <c r="AC119" s="1486"/>
    </row>
    <row r="120" spans="28:29">
      <c r="AB120" s="1614"/>
      <c r="AC120" s="1486"/>
    </row>
    <row r="121" spans="28:29">
      <c r="AB121" s="1614"/>
      <c r="AC121" s="1486"/>
    </row>
    <row r="122" spans="28:29">
      <c r="AB122" s="1614"/>
      <c r="AC122" s="1486"/>
    </row>
    <row r="123" spans="28:29">
      <c r="AB123" s="1614"/>
      <c r="AC123" s="1486"/>
    </row>
    <row r="124" spans="28:29">
      <c r="AB124" s="1614"/>
      <c r="AC124" s="1486"/>
    </row>
    <row r="125" spans="28:29">
      <c r="AB125" s="1614"/>
      <c r="AC125" s="1486"/>
    </row>
    <row r="126" spans="28:29">
      <c r="AB126" s="1614"/>
      <c r="AC126" s="1486"/>
    </row>
    <row r="127" spans="28:29">
      <c r="AB127" s="1614"/>
      <c r="AC127" s="1486"/>
    </row>
    <row r="128" spans="28:29">
      <c r="AB128" s="1614"/>
      <c r="AC128" s="1486"/>
    </row>
    <row r="129" spans="28:29">
      <c r="AB129" s="1614"/>
      <c r="AC129" s="1486"/>
    </row>
    <row r="130" spans="28:29">
      <c r="AB130" s="1614"/>
      <c r="AC130" s="1486"/>
    </row>
    <row r="131" spans="28:29">
      <c r="AB131" s="1614"/>
      <c r="AC131" s="1486"/>
    </row>
    <row r="132" spans="28:29">
      <c r="AB132" s="1614"/>
      <c r="AC132" s="1486"/>
    </row>
    <row r="133" spans="28:29">
      <c r="AB133" s="1614"/>
      <c r="AC133" s="1486"/>
    </row>
    <row r="134" spans="28:29">
      <c r="AB134" s="1614"/>
      <c r="AC134" s="1486"/>
    </row>
    <row r="135" spans="28:29">
      <c r="AB135" s="1614"/>
      <c r="AC135" s="1486"/>
    </row>
    <row r="136" spans="28:29">
      <c r="AB136" s="1614"/>
      <c r="AC136" s="1486"/>
    </row>
    <row r="137" spans="28:29">
      <c r="AB137" s="1614"/>
      <c r="AC137" s="1486"/>
    </row>
    <row r="138" spans="28:29">
      <c r="AB138" s="1614"/>
      <c r="AC138" s="1486"/>
    </row>
    <row r="139" spans="28:29">
      <c r="AB139" s="1614"/>
      <c r="AC139" s="1486"/>
    </row>
    <row r="140" spans="28:29">
      <c r="AB140" s="1614"/>
      <c r="AC140" s="1486"/>
    </row>
    <row r="141" spans="28:29">
      <c r="AB141" s="1614"/>
      <c r="AC141" s="1486"/>
    </row>
    <row r="142" spans="28:29">
      <c r="AB142" s="1614"/>
      <c r="AC142" s="1486"/>
    </row>
    <row r="143" spans="28:29">
      <c r="AB143" s="1614"/>
      <c r="AC143" s="1486"/>
    </row>
    <row r="144" spans="28:29">
      <c r="AB144" s="1614"/>
      <c r="AC144" s="1486"/>
    </row>
    <row r="145" spans="28:29">
      <c r="AB145" s="1614"/>
      <c r="AC145" s="1486"/>
    </row>
    <row r="146" spans="28:29">
      <c r="AB146" s="1614"/>
      <c r="AC146" s="1486"/>
    </row>
    <row r="147" spans="28:29">
      <c r="AB147" s="1614"/>
      <c r="AC147" s="1486"/>
    </row>
    <row r="148" spans="28:29">
      <c r="AB148" s="1614"/>
      <c r="AC148" s="1486"/>
    </row>
    <row r="149" spans="28:29">
      <c r="AB149" s="1614"/>
      <c r="AC149" s="1486"/>
    </row>
    <row r="150" spans="28:29">
      <c r="AB150" s="1614"/>
      <c r="AC150" s="1486"/>
    </row>
    <row r="151" spans="28:29">
      <c r="AB151" s="1614"/>
      <c r="AC151" s="1486"/>
    </row>
    <row r="152" spans="28:29">
      <c r="AB152" s="1614"/>
      <c r="AC152" s="1486"/>
    </row>
    <row r="153" spans="28:29">
      <c r="AB153" s="1614"/>
      <c r="AC153" s="1486"/>
    </row>
    <row r="154" spans="28:29">
      <c r="AB154" s="1614"/>
      <c r="AC154" s="1486"/>
    </row>
    <row r="155" spans="28:29">
      <c r="AB155" s="1614"/>
      <c r="AC155" s="1486"/>
    </row>
    <row r="156" spans="28:29">
      <c r="AB156" s="1614"/>
      <c r="AC156" s="1486"/>
    </row>
    <row r="157" spans="28:29">
      <c r="AB157" s="1614"/>
      <c r="AC157" s="1486"/>
    </row>
    <row r="158" spans="28:29">
      <c r="AB158" s="1614"/>
      <c r="AC158" s="1486"/>
    </row>
    <row r="159" spans="28:29">
      <c r="AB159" s="1614"/>
      <c r="AC159" s="1486"/>
    </row>
    <row r="160" spans="28:29">
      <c r="AB160" s="1614"/>
      <c r="AC160" s="1486"/>
    </row>
    <row r="161" spans="28:29">
      <c r="AB161" s="1614"/>
      <c r="AC161" s="1486"/>
    </row>
    <row r="162" spans="28:29">
      <c r="AB162" s="1614"/>
      <c r="AC162" s="1486"/>
    </row>
    <row r="163" spans="28:29">
      <c r="AB163" s="1614"/>
      <c r="AC163" s="1486"/>
    </row>
    <row r="164" spans="28:29">
      <c r="AB164" s="1614"/>
      <c r="AC164" s="1486"/>
    </row>
    <row r="165" spans="28:29">
      <c r="AB165" s="1614"/>
      <c r="AC165" s="1486"/>
    </row>
    <row r="166" spans="28:29">
      <c r="AB166" s="1614"/>
      <c r="AC166" s="1486"/>
    </row>
    <row r="167" spans="28:29">
      <c r="AB167" s="1614"/>
      <c r="AC167" s="1486"/>
    </row>
    <row r="168" spans="28:29">
      <c r="AB168" s="1614"/>
      <c r="AC168" s="1486"/>
    </row>
    <row r="169" spans="28:29">
      <c r="AB169" s="1614"/>
      <c r="AC169" s="1486"/>
    </row>
    <row r="170" spans="28:29">
      <c r="AB170" s="1614"/>
      <c r="AC170" s="1486"/>
    </row>
    <row r="171" spans="28:29">
      <c r="AB171" s="1614"/>
      <c r="AC171" s="1486"/>
    </row>
    <row r="172" spans="28:29">
      <c r="AB172" s="1614"/>
      <c r="AC172" s="1486"/>
    </row>
    <row r="173" spans="28:29">
      <c r="AB173" s="1614"/>
      <c r="AC173" s="1486"/>
    </row>
    <row r="174" spans="28:29">
      <c r="AB174" s="1614"/>
      <c r="AC174" s="1486"/>
    </row>
    <row r="175" spans="28:29">
      <c r="AB175" s="1614"/>
      <c r="AC175" s="1486"/>
    </row>
    <row r="176" spans="28:29">
      <c r="AB176" s="1614"/>
      <c r="AC176" s="1486"/>
    </row>
    <row r="177" spans="28:29">
      <c r="AB177" s="1614"/>
      <c r="AC177" s="1486"/>
    </row>
    <row r="178" spans="28:29">
      <c r="AB178" s="1614"/>
      <c r="AC178" s="1486"/>
    </row>
    <row r="179" spans="28:29">
      <c r="AB179" s="1614"/>
      <c r="AC179" s="1486"/>
    </row>
    <row r="180" spans="28:29">
      <c r="AB180" s="1614"/>
      <c r="AC180" s="1486"/>
    </row>
    <row r="181" spans="28:29">
      <c r="AB181" s="1614"/>
      <c r="AC181" s="1486"/>
    </row>
    <row r="182" spans="28:29">
      <c r="AB182" s="1614"/>
      <c r="AC182" s="1486"/>
    </row>
    <row r="183" spans="28:29">
      <c r="AB183" s="1614"/>
      <c r="AC183" s="1486"/>
    </row>
    <row r="184" spans="28:29">
      <c r="AB184" s="1614"/>
      <c r="AC184" s="1486"/>
    </row>
    <row r="185" spans="28:29">
      <c r="AB185" s="1614"/>
      <c r="AC185" s="1486"/>
    </row>
    <row r="186" spans="28:29">
      <c r="AB186" s="1614"/>
      <c r="AC186" s="1486"/>
    </row>
    <row r="187" spans="28:29">
      <c r="AB187" s="1614"/>
      <c r="AC187" s="1486"/>
    </row>
    <row r="188" spans="28:29">
      <c r="AB188" s="1614"/>
      <c r="AC188" s="1486"/>
    </row>
    <row r="189" spans="28:29">
      <c r="AB189" s="1614"/>
      <c r="AC189" s="1486"/>
    </row>
    <row r="190" spans="28:29">
      <c r="AB190" s="1614"/>
      <c r="AC190" s="1486"/>
    </row>
    <row r="191" spans="28:29">
      <c r="AB191" s="1614"/>
      <c r="AC191" s="1486"/>
    </row>
    <row r="192" spans="28:29">
      <c r="AB192" s="1614"/>
      <c r="AC192" s="1486"/>
    </row>
    <row r="193" spans="28:29">
      <c r="AB193" s="1614"/>
      <c r="AC193" s="1486"/>
    </row>
    <row r="194" spans="28:29">
      <c r="AB194" s="1614"/>
      <c r="AC194" s="1486"/>
    </row>
    <row r="195" spans="28:29">
      <c r="AB195" s="1614"/>
      <c r="AC195" s="1486"/>
    </row>
    <row r="196" spans="28:29">
      <c r="AB196" s="1614"/>
      <c r="AC196" s="1486"/>
    </row>
    <row r="197" spans="28:29">
      <c r="AB197" s="1614"/>
      <c r="AC197" s="1486"/>
    </row>
    <row r="198" spans="28:29">
      <c r="AB198" s="1614"/>
      <c r="AC198" s="1486"/>
    </row>
    <row r="199" spans="28:29">
      <c r="AB199" s="1614"/>
      <c r="AC199" s="1486"/>
    </row>
    <row r="200" spans="28:29">
      <c r="AB200" s="1614"/>
      <c r="AC200" s="1486"/>
    </row>
    <row r="201" spans="28:29">
      <c r="AB201" s="1614"/>
      <c r="AC201" s="1486"/>
    </row>
    <row r="202" spans="28:29">
      <c r="AB202" s="1614"/>
      <c r="AC202" s="1486"/>
    </row>
    <row r="203" spans="28:29">
      <c r="AB203" s="1614"/>
      <c r="AC203" s="1486"/>
    </row>
    <row r="204" spans="28:29">
      <c r="AB204" s="1614"/>
      <c r="AC204" s="1486"/>
    </row>
    <row r="205" spans="28:29">
      <c r="AB205" s="1614"/>
      <c r="AC205" s="1486"/>
    </row>
    <row r="206" spans="28:29">
      <c r="AB206" s="1614"/>
      <c r="AC206" s="1486"/>
    </row>
    <row r="207" spans="28:29">
      <c r="AB207" s="1614"/>
      <c r="AC207" s="1486"/>
    </row>
    <row r="208" spans="28:29">
      <c r="AB208" s="1614"/>
      <c r="AC208" s="1486"/>
    </row>
    <row r="209" spans="28:29">
      <c r="AB209" s="1614"/>
      <c r="AC209" s="1486"/>
    </row>
    <row r="210" spans="28:29">
      <c r="AB210" s="1614"/>
      <c r="AC210" s="1486"/>
    </row>
    <row r="211" spans="28:29">
      <c r="AB211" s="1614"/>
      <c r="AC211" s="1486"/>
    </row>
    <row r="212" spans="28:29">
      <c r="AB212" s="1614"/>
      <c r="AC212" s="1486"/>
    </row>
    <row r="213" spans="28:29">
      <c r="AB213" s="1614"/>
      <c r="AC213" s="1486"/>
    </row>
    <row r="214" spans="28:29">
      <c r="AB214" s="1614"/>
      <c r="AC214" s="1486"/>
    </row>
    <row r="215" spans="28:29">
      <c r="AB215" s="1614"/>
      <c r="AC215" s="1486"/>
    </row>
    <row r="216" spans="28:29">
      <c r="AB216" s="1614"/>
      <c r="AC216" s="1486"/>
    </row>
    <row r="217" spans="28:29">
      <c r="AB217" s="1614"/>
      <c r="AC217" s="1486"/>
    </row>
    <row r="218" spans="28:29">
      <c r="AB218" s="1614"/>
      <c r="AC218" s="1486"/>
    </row>
    <row r="219" spans="28:29">
      <c r="AB219" s="1614"/>
      <c r="AC219" s="1486"/>
    </row>
    <row r="220" spans="28:29">
      <c r="AB220" s="1614"/>
      <c r="AC220" s="1486"/>
    </row>
    <row r="221" spans="28:29">
      <c r="AB221" s="1614"/>
      <c r="AC221" s="1486"/>
    </row>
    <row r="222" spans="28:29">
      <c r="AB222" s="1614"/>
      <c r="AC222" s="1486"/>
    </row>
    <row r="223" spans="28:29">
      <c r="AB223" s="1614"/>
      <c r="AC223" s="1486"/>
    </row>
    <row r="224" spans="28:29">
      <c r="AB224" s="1614"/>
      <c r="AC224" s="1486"/>
    </row>
    <row r="225" spans="28:29">
      <c r="AB225" s="1614"/>
      <c r="AC225" s="1486"/>
    </row>
    <row r="226" spans="28:29">
      <c r="AB226" s="1614"/>
      <c r="AC226" s="1486"/>
    </row>
    <row r="227" spans="28:29">
      <c r="AB227" s="1614"/>
      <c r="AC227" s="1486"/>
    </row>
    <row r="228" spans="28:29">
      <c r="AB228" s="1614"/>
      <c r="AC228" s="1486"/>
    </row>
    <row r="229" spans="28:29">
      <c r="AB229" s="1614"/>
      <c r="AC229" s="1486"/>
    </row>
    <row r="230" spans="28:29">
      <c r="AB230" s="1614"/>
      <c r="AC230" s="1486"/>
    </row>
    <row r="231" spans="28:29">
      <c r="AB231" s="1614"/>
      <c r="AC231" s="1486"/>
    </row>
    <row r="232" spans="28:29">
      <c r="AB232" s="1614"/>
      <c r="AC232" s="1486"/>
    </row>
    <row r="233" spans="28:29">
      <c r="AB233" s="1614"/>
      <c r="AC233" s="1486"/>
    </row>
    <row r="234" spans="28:29">
      <c r="AB234" s="1614"/>
      <c r="AC234" s="1486"/>
    </row>
    <row r="235" spans="28:29">
      <c r="AB235" s="1614"/>
      <c r="AC235" s="1486"/>
    </row>
    <row r="236" spans="28:29">
      <c r="AB236" s="1614"/>
      <c r="AC236" s="1486"/>
    </row>
    <row r="237" spans="28:29">
      <c r="AB237" s="1614"/>
      <c r="AC237" s="1486"/>
    </row>
    <row r="238" spans="28:29">
      <c r="AB238" s="1614"/>
      <c r="AC238" s="1486"/>
    </row>
    <row r="239" spans="28:29">
      <c r="AB239" s="1614"/>
      <c r="AC239" s="1486"/>
    </row>
    <row r="240" spans="28:29">
      <c r="AB240" s="1614"/>
      <c r="AC240" s="1486"/>
    </row>
    <row r="241" spans="28:29">
      <c r="AB241" s="1614"/>
      <c r="AC241" s="1486"/>
    </row>
    <row r="242" spans="28:29">
      <c r="AB242" s="1614"/>
      <c r="AC242" s="1486"/>
    </row>
    <row r="243" spans="28:29">
      <c r="AB243" s="1614"/>
      <c r="AC243" s="1486"/>
    </row>
    <row r="244" spans="28:29">
      <c r="AB244" s="1614"/>
      <c r="AC244" s="1486"/>
    </row>
    <row r="245" spans="28:29">
      <c r="AB245" s="1614"/>
      <c r="AC245" s="1486"/>
    </row>
    <row r="246" spans="28:29">
      <c r="AB246" s="1614"/>
      <c r="AC246" s="1486"/>
    </row>
    <row r="247" spans="28:29">
      <c r="AB247" s="1614"/>
      <c r="AC247" s="1486"/>
    </row>
    <row r="248" spans="28:29">
      <c r="AB248" s="1614"/>
      <c r="AC248" s="1486"/>
    </row>
    <row r="249" spans="28:29">
      <c r="AB249" s="1614"/>
      <c r="AC249" s="1486"/>
    </row>
    <row r="250" spans="28:29">
      <c r="AB250" s="1614"/>
      <c r="AC250" s="1486"/>
    </row>
    <row r="251" spans="28:29">
      <c r="AB251" s="1614"/>
      <c r="AC251" s="1486"/>
    </row>
    <row r="252" spans="28:29">
      <c r="AB252" s="1614"/>
      <c r="AC252" s="1486"/>
    </row>
    <row r="253" spans="28:29">
      <c r="AB253" s="1614"/>
      <c r="AC253" s="1486"/>
    </row>
    <row r="254" spans="28:29">
      <c r="AB254" s="1614"/>
      <c r="AC254" s="1486"/>
    </row>
    <row r="255" spans="28:29">
      <c r="AB255" s="1614"/>
      <c r="AC255" s="1486"/>
    </row>
    <row r="256" spans="28:29">
      <c r="AB256" s="1614"/>
      <c r="AC256" s="1486"/>
    </row>
    <row r="257" spans="28:29">
      <c r="AB257" s="1614"/>
      <c r="AC257" s="1486"/>
    </row>
    <row r="258" spans="28:29">
      <c r="AB258" s="1614"/>
      <c r="AC258" s="1486"/>
    </row>
    <row r="259" spans="28:29">
      <c r="AB259" s="1614"/>
      <c r="AC259" s="1486"/>
    </row>
    <row r="260" spans="28:29">
      <c r="AB260" s="1614"/>
      <c r="AC260" s="1486"/>
    </row>
    <row r="261" spans="28:29">
      <c r="AB261" s="1614"/>
      <c r="AC261" s="1486"/>
    </row>
    <row r="262" spans="28:29">
      <c r="AB262" s="1614"/>
      <c r="AC262" s="1486"/>
    </row>
    <row r="263" spans="28:29">
      <c r="AB263" s="1614"/>
      <c r="AC263" s="1486"/>
    </row>
    <row r="264" spans="28:29">
      <c r="AB264" s="1614"/>
      <c r="AC264" s="1486"/>
    </row>
    <row r="265" spans="28:29">
      <c r="AB265" s="1614"/>
      <c r="AC265" s="1486"/>
    </row>
    <row r="266" spans="28:29">
      <c r="AB266" s="1614"/>
      <c r="AC266" s="1486"/>
    </row>
    <row r="267" spans="28:29">
      <c r="AB267" s="1614"/>
      <c r="AC267" s="1486"/>
    </row>
    <row r="268" spans="28:29">
      <c r="AB268" s="1614"/>
      <c r="AC268" s="1486"/>
    </row>
    <row r="269" spans="28:29">
      <c r="AB269" s="1614"/>
      <c r="AC269" s="1486"/>
    </row>
    <row r="270" spans="28:29">
      <c r="AB270" s="1614"/>
      <c r="AC270" s="1486"/>
    </row>
    <row r="271" spans="28:29">
      <c r="AB271" s="1614"/>
      <c r="AC271" s="1486"/>
    </row>
    <row r="272" spans="28:29">
      <c r="AB272" s="1614"/>
      <c r="AC272" s="1486"/>
    </row>
    <row r="273" spans="28:29">
      <c r="AB273" s="1614"/>
      <c r="AC273" s="1486"/>
    </row>
    <row r="274" spans="28:29">
      <c r="AB274" s="1614"/>
      <c r="AC274" s="1486"/>
    </row>
    <row r="275" spans="28:29">
      <c r="AB275" s="1614"/>
      <c r="AC275" s="1486"/>
    </row>
    <row r="276" spans="28:29">
      <c r="AB276" s="1614"/>
      <c r="AC276" s="1486"/>
    </row>
    <row r="277" spans="28:29">
      <c r="AB277" s="1614"/>
      <c r="AC277" s="1486"/>
    </row>
    <row r="278" spans="28:29">
      <c r="AB278" s="1614"/>
      <c r="AC278" s="1486"/>
    </row>
    <row r="279" spans="28:29">
      <c r="AB279" s="1614"/>
      <c r="AC279" s="1486"/>
    </row>
    <row r="280" spans="28:29">
      <c r="AB280" s="1614"/>
      <c r="AC280" s="1486"/>
    </row>
    <row r="281" spans="28:29">
      <c r="AB281" s="1614"/>
      <c r="AC281" s="1486"/>
    </row>
    <row r="282" spans="28:29">
      <c r="AB282" s="1614"/>
      <c r="AC282" s="1486"/>
    </row>
    <row r="283" spans="28:29">
      <c r="AB283" s="1614"/>
      <c r="AC283" s="1486"/>
    </row>
    <row r="284" spans="28:29">
      <c r="AB284" s="1614"/>
      <c r="AC284" s="1486"/>
    </row>
    <row r="285" spans="28:29">
      <c r="AB285" s="1614"/>
      <c r="AC285" s="1486"/>
    </row>
    <row r="286" spans="28:29">
      <c r="AB286" s="1614"/>
      <c r="AC286" s="1486"/>
    </row>
    <row r="287" spans="28:29">
      <c r="AB287" s="1614"/>
      <c r="AC287" s="1486"/>
    </row>
    <row r="288" spans="28:29">
      <c r="AB288" s="1614"/>
      <c r="AC288" s="1486"/>
    </row>
  </sheetData>
  <sheetProtection sheet="1" objects="1" scenarios="1"/>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56"/>
  <sheetViews>
    <sheetView showGridLines="0" workbookViewId="0">
      <pane xSplit="1" ySplit="4" topLeftCell="B116" activePane="bottomRight" state="frozen"/>
      <selection activeCell="O37" sqref="A1:IV65536"/>
      <selection pane="topRight" activeCell="O37" sqref="A1:IV65536"/>
      <selection pane="bottomLeft" activeCell="O37" sqref="A1:IV65536"/>
      <selection pane="bottomRight" activeCell="D125" sqref="D125"/>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6" s="180" customFormat="1">
      <c r="A1" s="148" t="str">
        <f>muni&amp;" - "&amp;TableA1</f>
        <v>KZN225 Msunduzi - Supporting Table SA1 Supportinging detail to 'Budgeted Financial Performance'</v>
      </c>
      <c r="B1" s="148"/>
      <c r="C1" s="148"/>
      <c r="D1" s="148"/>
      <c r="E1" s="148"/>
      <c r="F1" s="148"/>
      <c r="G1" s="148"/>
      <c r="H1" s="148"/>
      <c r="I1" s="148"/>
      <c r="J1" s="148"/>
      <c r="K1" s="148"/>
      <c r="L1" s="148"/>
    </row>
    <row r="2" spans="1:16" ht="28.5" customHeight="1">
      <c r="A2" s="2439" t="str">
        <f>desc</f>
        <v>Description</v>
      </c>
      <c r="B2" s="2441"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6" ht="25.5">
      <c r="A3" s="2440"/>
      <c r="B3" s="2442"/>
      <c r="C3" s="153" t="str">
        <f>Head5</f>
        <v>Audited Outcome</v>
      </c>
      <c r="D3" s="153" t="str">
        <f>Head5</f>
        <v>Audited Outcome</v>
      </c>
      <c r="E3" s="154" t="str">
        <f>Head5</f>
        <v>Audited Outcome</v>
      </c>
      <c r="F3" s="152" t="str">
        <f>Head6</f>
        <v>Original Budget</v>
      </c>
      <c r="G3" s="153" t="str">
        <f>Head7</f>
        <v>Adjusted Budget</v>
      </c>
      <c r="H3" s="154" t="str">
        <f>Head8</f>
        <v>Full Year Forecast</v>
      </c>
      <c r="I3" s="155" t="str">
        <f>Head5b</f>
        <v>Pre-audit outcome</v>
      </c>
      <c r="J3" s="152" t="str">
        <f>Head9</f>
        <v>Budget Year 2011/12</v>
      </c>
      <c r="K3" s="153" t="str">
        <f>Head10</f>
        <v>Budget Year +1 2012/13</v>
      </c>
      <c r="L3" s="154" t="str">
        <f>Head11</f>
        <v>Budget Year +2 2013/14</v>
      </c>
    </row>
    <row r="4" spans="1:16">
      <c r="A4" s="181" t="s">
        <v>703</v>
      </c>
      <c r="B4" s="291"/>
      <c r="C4" s="138"/>
      <c r="D4" s="138"/>
      <c r="E4" s="157"/>
      <c r="F4" s="156"/>
      <c r="G4" s="138"/>
      <c r="H4" s="157"/>
      <c r="I4" s="158"/>
      <c r="J4" s="156"/>
      <c r="K4" s="138"/>
      <c r="L4" s="157"/>
    </row>
    <row r="5" spans="1:16">
      <c r="A5" s="334" t="s">
        <v>571</v>
      </c>
      <c r="B5" s="292"/>
      <c r="C5" s="402"/>
      <c r="D5" s="402"/>
      <c r="E5" s="196"/>
      <c r="F5" s="403"/>
      <c r="G5" s="402"/>
      <c r="H5" s="196"/>
      <c r="I5" s="310"/>
      <c r="J5" s="404"/>
      <c r="K5" s="402"/>
      <c r="L5" s="196"/>
    </row>
    <row r="6" spans="1:16">
      <c r="A6" s="405" t="str">
        <f>'A4-FinPerf RE'!A5</f>
        <v>Property rates</v>
      </c>
      <c r="B6" s="294">
        <v>6</v>
      </c>
      <c r="C6" s="406"/>
      <c r="D6" s="406"/>
      <c r="E6" s="196"/>
      <c r="F6" s="403"/>
      <c r="G6" s="406"/>
      <c r="H6" s="196"/>
      <c r="I6" s="310"/>
      <c r="J6" s="407"/>
      <c r="K6" s="406"/>
      <c r="L6" s="196"/>
      <c r="M6" s="373"/>
      <c r="N6" s="373"/>
      <c r="O6" s="373"/>
      <c r="P6" s="373"/>
    </row>
    <row r="7" spans="1:16">
      <c r="A7" s="1324" t="s">
        <v>465</v>
      </c>
      <c r="B7" s="294"/>
      <c r="C7" s="1768">
        <v>446587973</v>
      </c>
      <c r="D7" s="2265">
        <v>472320291</v>
      </c>
      <c r="E7" s="2272">
        <f>420030162+324512000</f>
        <v>744542162</v>
      </c>
      <c r="F7" s="1712">
        <f>575181000+122019000</f>
        <v>697200000</v>
      </c>
      <c r="G7" s="1767">
        <f>453235521+374600000</f>
        <v>827835521</v>
      </c>
      <c r="H7" s="1767">
        <f>453235521+374600000</f>
        <v>827835521</v>
      </c>
      <c r="I7" s="1767">
        <f>453235521+374600000</f>
        <v>827835521</v>
      </c>
      <c r="J7" s="1768">
        <f>488357600+J8</f>
        <v>881343165</v>
      </c>
      <c r="K7" s="1767">
        <f>514240553+K8</f>
        <v>928058565</v>
      </c>
      <c r="L7" s="1768">
        <f>542523783+L8</f>
        <v>979101783</v>
      </c>
      <c r="M7" s="373"/>
      <c r="N7" s="373"/>
      <c r="O7" s="373"/>
      <c r="P7" s="373"/>
    </row>
    <row r="8" spans="1:16">
      <c r="A8" s="1628" t="s">
        <v>466</v>
      </c>
      <c r="B8" s="294"/>
      <c r="C8" s="1771">
        <v>101520137</v>
      </c>
      <c r="D8" s="2266">
        <v>100957226</v>
      </c>
      <c r="E8" s="1772">
        <v>324512000</v>
      </c>
      <c r="F8" s="1712">
        <v>122019000</v>
      </c>
      <c r="G8" s="1770">
        <v>374600000</v>
      </c>
      <c r="H8" s="1770">
        <v>374600000</v>
      </c>
      <c r="I8" s="1770">
        <v>374600000</v>
      </c>
      <c r="J8" s="1771">
        <v>392985565</v>
      </c>
      <c r="K8" s="1770">
        <v>413818012</v>
      </c>
      <c r="L8" s="1771">
        <v>436578000</v>
      </c>
      <c r="M8" s="373"/>
      <c r="N8" s="373"/>
      <c r="O8" s="373"/>
      <c r="P8" s="373"/>
    </row>
    <row r="9" spans="1:16">
      <c r="A9" s="420" t="s">
        <v>467</v>
      </c>
      <c r="B9" s="294"/>
      <c r="C9" s="214">
        <f>C7-C8</f>
        <v>345067836</v>
      </c>
      <c r="D9" s="214">
        <f t="shared" ref="D9:L9" si="0">D7-D8</f>
        <v>371363065</v>
      </c>
      <c r="E9" s="215">
        <f t="shared" si="0"/>
        <v>420030162</v>
      </c>
      <c r="F9" s="216">
        <f t="shared" si="0"/>
        <v>575181000</v>
      </c>
      <c r="G9" s="214">
        <f t="shared" si="0"/>
        <v>453235521</v>
      </c>
      <c r="H9" s="215">
        <f t="shared" si="0"/>
        <v>453235521</v>
      </c>
      <c r="I9" s="213">
        <f t="shared" si="0"/>
        <v>453235521</v>
      </c>
      <c r="J9" s="217">
        <f t="shared" si="0"/>
        <v>488357600</v>
      </c>
      <c r="K9" s="214">
        <f t="shared" si="0"/>
        <v>514240553</v>
      </c>
      <c r="L9" s="215">
        <f t="shared" si="0"/>
        <v>542523783</v>
      </c>
      <c r="M9" s="373"/>
      <c r="N9" s="373"/>
      <c r="O9" s="373"/>
      <c r="P9" s="373"/>
    </row>
    <row r="10" spans="1:16" ht="5.0999999999999996" customHeight="1">
      <c r="A10" s="326"/>
      <c r="B10" s="294"/>
      <c r="C10" s="406"/>
      <c r="D10" s="406"/>
      <c r="E10" s="196"/>
      <c r="F10" s="403"/>
      <c r="G10" s="406"/>
      <c r="H10" s="196"/>
      <c r="I10" s="310"/>
      <c r="J10" s="407"/>
      <c r="K10" s="406"/>
      <c r="L10" s="196"/>
      <c r="M10" s="373"/>
      <c r="N10" s="373"/>
      <c r="O10" s="373"/>
      <c r="P10" s="373"/>
    </row>
    <row r="11" spans="1:16">
      <c r="A11" s="405" t="str">
        <f>'A4-FinPerf RE'!A7</f>
        <v>Service charges - electricity revenue</v>
      </c>
      <c r="B11" s="294">
        <v>6</v>
      </c>
      <c r="C11" s="406"/>
      <c r="D11" s="406"/>
      <c r="E11" s="196"/>
      <c r="F11" s="403"/>
      <c r="G11" s="406"/>
      <c r="H11" s="196"/>
      <c r="I11" s="310"/>
      <c r="J11" s="407"/>
      <c r="K11" s="406"/>
      <c r="L11" s="196"/>
      <c r="M11" s="373"/>
      <c r="N11" s="373"/>
      <c r="O11" s="373"/>
      <c r="P11" s="373"/>
    </row>
    <row r="12" spans="1:16">
      <c r="A12" s="1324" t="str">
        <f>"Total "&amp;A11</f>
        <v>Total Service charges - electricity revenue</v>
      </c>
      <c r="B12" s="294"/>
      <c r="C12" s="1768">
        <v>644727615</v>
      </c>
      <c r="D12" s="2265">
        <v>705595090</v>
      </c>
      <c r="E12" s="1775">
        <f>816172839+89659000</f>
        <v>905831839</v>
      </c>
      <c r="F12" s="1712">
        <f>963000000+20341000</f>
        <v>983341000</v>
      </c>
      <c r="G12" s="1767">
        <f>1038567014+2117000</f>
        <v>1040684014</v>
      </c>
      <c r="H12" s="1767">
        <f t="shared" ref="H12:I12" si="1">1038567014+2117000</f>
        <v>1040684014</v>
      </c>
      <c r="I12" s="1767">
        <f t="shared" si="1"/>
        <v>1040684014</v>
      </c>
      <c r="J12" s="1768">
        <f>1185516774+J13</f>
        <v>1187927214</v>
      </c>
      <c r="K12" s="1767">
        <f>1251438825+K13</f>
        <v>1253977018</v>
      </c>
      <c r="L12" s="1768">
        <f>1324643385+L13</f>
        <v>1327321179</v>
      </c>
      <c r="M12" s="373"/>
      <c r="N12" s="373"/>
      <c r="O12" s="373"/>
      <c r="P12" s="373"/>
    </row>
    <row r="13" spans="1:16">
      <c r="A13" s="1628" t="str">
        <f>$A$8</f>
        <v>less Revenue Foregone</v>
      </c>
      <c r="B13" s="294"/>
      <c r="C13" s="2267">
        <v>106496037</v>
      </c>
      <c r="D13" s="2266">
        <v>121480116</v>
      </c>
      <c r="E13" s="1772">
        <v>89569000</v>
      </c>
      <c r="F13" s="1712">
        <v>20341000</v>
      </c>
      <c r="G13" s="1770">
        <v>2117000</v>
      </c>
      <c r="H13" s="1770">
        <v>2117001</v>
      </c>
      <c r="I13" s="1770">
        <v>2117002</v>
      </c>
      <c r="J13" s="1771">
        <v>2410440</v>
      </c>
      <c r="K13" s="1770">
        <v>2538193</v>
      </c>
      <c r="L13" s="1771">
        <v>2677794</v>
      </c>
      <c r="M13" s="373"/>
      <c r="N13" s="373"/>
      <c r="O13" s="373"/>
      <c r="P13" s="373"/>
    </row>
    <row r="14" spans="1:16" ht="12.75" customHeight="1">
      <c r="A14" s="420" t="str">
        <f>"Net "&amp; A11</f>
        <v>Net Service charges - electricity revenue</v>
      </c>
      <c r="B14" s="294"/>
      <c r="C14" s="214">
        <f t="shared" ref="C14:L14" si="2">C12-C13</f>
        <v>538231578</v>
      </c>
      <c r="D14" s="214">
        <f t="shared" si="2"/>
        <v>584114974</v>
      </c>
      <c r="E14" s="215">
        <f t="shared" si="2"/>
        <v>816262839</v>
      </c>
      <c r="F14" s="216">
        <f t="shared" si="2"/>
        <v>963000000</v>
      </c>
      <c r="G14" s="214">
        <f t="shared" si="2"/>
        <v>1038567014</v>
      </c>
      <c r="H14" s="215">
        <f t="shared" si="2"/>
        <v>1038567013</v>
      </c>
      <c r="I14" s="213">
        <f t="shared" si="2"/>
        <v>1038567012</v>
      </c>
      <c r="J14" s="217">
        <f t="shared" si="2"/>
        <v>1185516774</v>
      </c>
      <c r="K14" s="214">
        <f t="shared" si="2"/>
        <v>1251438825</v>
      </c>
      <c r="L14" s="215">
        <f t="shared" si="2"/>
        <v>1324643385</v>
      </c>
      <c r="M14" s="373"/>
      <c r="N14" s="373"/>
      <c r="O14" s="373"/>
      <c r="P14" s="373"/>
    </row>
    <row r="15" spans="1:16" ht="5.0999999999999996" customHeight="1">
      <c r="B15" s="294"/>
      <c r="C15" s="1224"/>
      <c r="D15" s="1224"/>
      <c r="E15" s="223"/>
      <c r="F15" s="608"/>
      <c r="G15" s="1224"/>
      <c r="H15" s="223"/>
      <c r="I15" s="242"/>
      <c r="J15" s="1225"/>
      <c r="K15" s="1224"/>
      <c r="L15" s="223"/>
      <c r="M15" s="373"/>
      <c r="N15" s="373"/>
      <c r="O15" s="373"/>
      <c r="P15" s="373"/>
    </row>
    <row r="16" spans="1:16">
      <c r="A16" s="1226" t="str">
        <f>'A4-FinPerf RE'!A8</f>
        <v>Service charges - water revenue</v>
      </c>
      <c r="B16" s="294">
        <v>6</v>
      </c>
      <c r="C16" s="1224"/>
      <c r="D16" s="1224"/>
      <c r="E16" s="223"/>
      <c r="F16" s="608"/>
      <c r="G16" s="1224"/>
      <c r="H16" s="223"/>
      <c r="I16" s="242"/>
      <c r="J16" s="1225"/>
      <c r="K16" s="1224"/>
      <c r="L16" s="223"/>
      <c r="M16" s="373"/>
      <c r="N16" s="373"/>
      <c r="O16" s="373"/>
      <c r="P16" s="373"/>
    </row>
    <row r="17" spans="1:16">
      <c r="A17" s="1324" t="str">
        <f>"Total "&amp;A16</f>
        <v>Total Service charges - water revenue</v>
      </c>
      <c r="B17" s="294"/>
      <c r="C17" s="1774">
        <v>192860811</v>
      </c>
      <c r="D17" s="2268">
        <v>205241054</v>
      </c>
      <c r="E17" s="1775">
        <f>213633343+6228000</f>
        <v>219861343</v>
      </c>
      <c r="F17" s="1712">
        <v>323962351</v>
      </c>
      <c r="G17" s="1773">
        <f>270989956+85223000</f>
        <v>356212956</v>
      </c>
      <c r="H17" s="1773">
        <f t="shared" ref="H17:I17" si="3">270989956+85223000</f>
        <v>356212956</v>
      </c>
      <c r="I17" s="1773">
        <f t="shared" si="3"/>
        <v>356212956</v>
      </c>
      <c r="J17" s="1774">
        <f>301906355+J18</f>
        <v>369433704</v>
      </c>
      <c r="K17" s="1773">
        <f>317907392+K18</f>
        <v>389014743</v>
      </c>
      <c r="L17" s="1774">
        <f>335392298+L18</f>
        <v>410410554</v>
      </c>
      <c r="M17" s="373"/>
      <c r="N17" s="373"/>
      <c r="O17" s="373"/>
      <c r="P17" s="373"/>
    </row>
    <row r="18" spans="1:16">
      <c r="A18" s="1628" t="str">
        <f>$A$8</f>
        <v>less Revenue Foregone</v>
      </c>
      <c r="B18" s="294"/>
      <c r="C18" s="1771">
        <v>4677406</v>
      </c>
      <c r="D18" s="2266">
        <v>5586763</v>
      </c>
      <c r="E18" s="1772">
        <v>6228000</v>
      </c>
      <c r="F18" s="1712">
        <v>91709000</v>
      </c>
      <c r="G18" s="1770">
        <v>85223000</v>
      </c>
      <c r="H18" s="1770">
        <v>85223000</v>
      </c>
      <c r="I18" s="1770">
        <v>85223000</v>
      </c>
      <c r="J18" s="1771">
        <v>67527349</v>
      </c>
      <c r="K18" s="1770">
        <v>71107351</v>
      </c>
      <c r="L18" s="1771">
        <v>75018256</v>
      </c>
      <c r="M18" s="373"/>
      <c r="N18" s="373"/>
      <c r="O18" s="373"/>
      <c r="P18" s="373"/>
    </row>
    <row r="19" spans="1:16">
      <c r="A19" s="420" t="str">
        <f>"Net "&amp; A16</f>
        <v>Net Service charges - water revenue</v>
      </c>
      <c r="B19" s="294"/>
      <c r="C19" s="214">
        <f t="shared" ref="C19:L19" si="4">C17-C18</f>
        <v>188183405</v>
      </c>
      <c r="D19" s="214">
        <f t="shared" si="4"/>
        <v>199654291</v>
      </c>
      <c r="E19" s="215">
        <f t="shared" si="4"/>
        <v>213633343</v>
      </c>
      <c r="F19" s="216">
        <f t="shared" si="4"/>
        <v>232253351</v>
      </c>
      <c r="G19" s="214">
        <f t="shared" si="4"/>
        <v>270989956</v>
      </c>
      <c r="H19" s="215">
        <f t="shared" si="4"/>
        <v>270989956</v>
      </c>
      <c r="I19" s="213">
        <f t="shared" si="4"/>
        <v>270989956</v>
      </c>
      <c r="J19" s="217">
        <f t="shared" si="4"/>
        <v>301906355</v>
      </c>
      <c r="K19" s="214">
        <f t="shared" si="4"/>
        <v>317907392</v>
      </c>
      <c r="L19" s="215">
        <f t="shared" si="4"/>
        <v>335392298</v>
      </c>
      <c r="M19" s="373"/>
      <c r="N19" s="373"/>
      <c r="O19" s="373"/>
      <c r="P19" s="373"/>
    </row>
    <row r="20" spans="1:16" ht="4.5" customHeight="1">
      <c r="A20" s="420"/>
      <c r="B20" s="294"/>
      <c r="C20" s="1224"/>
      <c r="D20" s="1224"/>
      <c r="E20" s="223"/>
      <c r="F20" s="608"/>
      <c r="G20" s="1224"/>
      <c r="H20" s="223"/>
      <c r="I20" s="242"/>
      <c r="J20" s="1225"/>
      <c r="K20" s="1224"/>
      <c r="L20" s="223"/>
      <c r="M20" s="373"/>
      <c r="N20" s="373"/>
      <c r="O20" s="373"/>
      <c r="P20" s="373"/>
    </row>
    <row r="21" spans="1:16">
      <c r="A21" s="1226" t="str">
        <f>'A4-FinPerf RE'!A9</f>
        <v>Service charges - sanitation revenue</v>
      </c>
      <c r="B21" s="294"/>
      <c r="C21" s="1224"/>
      <c r="D21" s="1224"/>
      <c r="E21" s="223"/>
      <c r="F21" s="608"/>
      <c r="G21" s="1224"/>
      <c r="H21" s="223"/>
      <c r="I21" s="242"/>
      <c r="J21" s="1225"/>
      <c r="K21" s="1224"/>
      <c r="L21" s="223"/>
      <c r="M21" s="373"/>
      <c r="N21" s="373"/>
      <c r="O21" s="373"/>
      <c r="P21" s="373"/>
    </row>
    <row r="22" spans="1:16">
      <c r="A22" s="1324" t="str">
        <f>"Total "&amp;A21</f>
        <v>Total Service charges - sanitation revenue</v>
      </c>
      <c r="B22" s="294"/>
      <c r="C22" s="1774">
        <v>68376520</v>
      </c>
      <c r="D22" s="2268">
        <v>71927209</v>
      </c>
      <c r="E22" s="1775">
        <f>76207067+8577000</f>
        <v>84784067</v>
      </c>
      <c r="F22" s="1712">
        <f>91143967+17146000</f>
        <v>108289967</v>
      </c>
      <c r="G22" s="1773">
        <f>104217250+9935000</f>
        <v>114152250</v>
      </c>
      <c r="H22" s="1773">
        <f t="shared" ref="H22:I22" si="5">104217250+9935000</f>
        <v>114152250</v>
      </c>
      <c r="I22" s="1773">
        <f t="shared" si="5"/>
        <v>114152250</v>
      </c>
      <c r="J22" s="1774">
        <f>113759715+J23</f>
        <v>119118179</v>
      </c>
      <c r="K22" s="1773">
        <f>119788980+K23</f>
        <v>125431443</v>
      </c>
      <c r="L22" s="1774">
        <f>126377374+L23</f>
        <v>132330172</v>
      </c>
      <c r="M22" s="373"/>
      <c r="N22" s="373"/>
      <c r="O22" s="373"/>
      <c r="P22" s="373"/>
    </row>
    <row r="23" spans="1:16">
      <c r="A23" s="1628" t="str">
        <f>$A$8</f>
        <v>less Revenue Foregone</v>
      </c>
      <c r="B23" s="294"/>
      <c r="C23" s="1771">
        <v>7048237</v>
      </c>
      <c r="D23" s="2266">
        <v>7144108</v>
      </c>
      <c r="E23" s="1772">
        <v>8577000</v>
      </c>
      <c r="F23" s="1712">
        <v>17146000</v>
      </c>
      <c r="G23" s="1770">
        <v>9935000</v>
      </c>
      <c r="H23" s="1770">
        <v>9935000</v>
      </c>
      <c r="I23" s="1770">
        <v>9935000</v>
      </c>
      <c r="J23" s="1771">
        <v>5358464</v>
      </c>
      <c r="K23" s="1770">
        <f>5642463</f>
        <v>5642463</v>
      </c>
      <c r="L23" s="1771">
        <v>5952798</v>
      </c>
      <c r="M23" s="373"/>
      <c r="N23" s="373"/>
      <c r="O23" s="373"/>
      <c r="P23" s="373"/>
    </row>
    <row r="24" spans="1:16">
      <c r="A24" s="420" t="str">
        <f>"Net "&amp; A21</f>
        <v>Net Service charges - sanitation revenue</v>
      </c>
      <c r="B24" s="294"/>
      <c r="C24" s="214">
        <f t="shared" ref="C24:L24" si="6">C22-C23</f>
        <v>61328283</v>
      </c>
      <c r="D24" s="214">
        <f t="shared" si="6"/>
        <v>64783101</v>
      </c>
      <c r="E24" s="215">
        <f t="shared" si="6"/>
        <v>76207067</v>
      </c>
      <c r="F24" s="216">
        <f t="shared" si="6"/>
        <v>91143967</v>
      </c>
      <c r="G24" s="214">
        <f t="shared" si="6"/>
        <v>104217250</v>
      </c>
      <c r="H24" s="215">
        <f t="shared" si="6"/>
        <v>104217250</v>
      </c>
      <c r="I24" s="213">
        <f t="shared" si="6"/>
        <v>104217250</v>
      </c>
      <c r="J24" s="217">
        <f t="shared" si="6"/>
        <v>113759715</v>
      </c>
      <c r="K24" s="214">
        <f t="shared" si="6"/>
        <v>119788980</v>
      </c>
      <c r="L24" s="215">
        <f t="shared" si="6"/>
        <v>126377374</v>
      </c>
      <c r="M24" s="373"/>
      <c r="N24" s="373"/>
      <c r="O24" s="373"/>
      <c r="P24" s="373"/>
    </row>
    <row r="25" spans="1:16" ht="4.5" customHeight="1">
      <c r="A25" s="420"/>
      <c r="B25" s="294"/>
      <c r="C25" s="1224"/>
      <c r="D25" s="1224"/>
      <c r="E25" s="223"/>
      <c r="F25" s="608"/>
      <c r="G25" s="1224"/>
      <c r="H25" s="223"/>
      <c r="I25" s="242"/>
      <c r="J25" s="1225"/>
      <c r="K25" s="1224"/>
      <c r="L25" s="223"/>
      <c r="M25" s="373"/>
      <c r="N25" s="373"/>
      <c r="O25" s="373"/>
      <c r="P25" s="373"/>
    </row>
    <row r="26" spans="1:16">
      <c r="A26" s="405" t="str">
        <f>'A4-FinPerf RE'!A10</f>
        <v>Service charges - refuse revenue</v>
      </c>
      <c r="B26" s="294">
        <v>6</v>
      </c>
      <c r="C26" s="406"/>
      <c r="D26" s="406"/>
      <c r="E26" s="196"/>
      <c r="F26" s="403"/>
      <c r="G26" s="406"/>
      <c r="H26" s="196"/>
      <c r="I26" s="310"/>
      <c r="J26" s="407"/>
      <c r="K26" s="406"/>
      <c r="L26" s="196"/>
      <c r="M26" s="373"/>
      <c r="N26" s="373"/>
      <c r="O26" s="373"/>
      <c r="P26" s="373"/>
    </row>
    <row r="27" spans="1:16" ht="11.25" customHeight="1">
      <c r="A27" s="1324" t="s">
        <v>1710</v>
      </c>
      <c r="B27" s="294"/>
      <c r="C27" s="1081">
        <v>46703450</v>
      </c>
      <c r="D27" s="1082">
        <v>48489905</v>
      </c>
      <c r="E27" s="1084">
        <f>53287411+3646000</f>
        <v>56933411</v>
      </c>
      <c r="F27" s="1712">
        <f>66282919+15854000</f>
        <v>82136919</v>
      </c>
      <c r="G27" s="1708">
        <f>64421733+3863000</f>
        <v>68284733</v>
      </c>
      <c r="H27" s="1708">
        <f t="shared" ref="H27:I27" si="7">64421733+3863000</f>
        <v>68284733</v>
      </c>
      <c r="I27" s="1708">
        <f t="shared" si="7"/>
        <v>68284733</v>
      </c>
      <c r="J27" s="1081">
        <f>68603339+J29</f>
        <v>68624492</v>
      </c>
      <c r="K27" s="1708">
        <f>72239316+K29</f>
        <v>72261590</v>
      </c>
      <c r="L27" s="1730">
        <f>76212478+L29</f>
        <v>76235977</v>
      </c>
      <c r="M27" s="373"/>
      <c r="N27" s="373"/>
      <c r="O27" s="373"/>
      <c r="P27" s="373"/>
    </row>
    <row r="28" spans="1:16" ht="11.25" customHeight="1">
      <c r="A28" s="1324" t="s">
        <v>1711</v>
      </c>
      <c r="B28" s="294"/>
      <c r="C28" s="1081">
        <v>0</v>
      </c>
      <c r="D28" s="1082">
        <v>0</v>
      </c>
      <c r="E28" s="1084"/>
      <c r="F28" s="1712"/>
      <c r="G28" s="1708"/>
      <c r="H28" s="1708"/>
      <c r="I28" s="1708"/>
      <c r="J28" s="1081"/>
      <c r="K28" s="1708"/>
      <c r="L28" s="1730"/>
      <c r="M28" s="373"/>
      <c r="N28" s="373"/>
      <c r="O28" s="373"/>
      <c r="P28" s="373"/>
    </row>
    <row r="29" spans="1:16" ht="11.25" customHeight="1">
      <c r="A29" s="1628" t="str">
        <f>$A$8</f>
        <v>less Revenue Foregone</v>
      </c>
      <c r="B29" s="294"/>
      <c r="C29" s="1081">
        <v>2440131</v>
      </c>
      <c r="D29" s="1082">
        <v>2247477</v>
      </c>
      <c r="E29" s="1084">
        <v>3646000</v>
      </c>
      <c r="F29" s="1712">
        <v>15854000</v>
      </c>
      <c r="G29" s="1708">
        <v>3863000</v>
      </c>
      <c r="H29" s="1708">
        <v>3863001</v>
      </c>
      <c r="I29" s="1708">
        <v>3863002</v>
      </c>
      <c r="J29" s="1081">
        <v>21153</v>
      </c>
      <c r="K29" s="1708">
        <v>22274</v>
      </c>
      <c r="L29" s="1730">
        <v>23499</v>
      </c>
      <c r="M29" s="373"/>
      <c r="N29" s="373"/>
      <c r="O29" s="373"/>
      <c r="P29" s="373"/>
    </row>
    <row r="30" spans="1:16">
      <c r="A30" s="420" t="str">
        <f>"Net "&amp; A26</f>
        <v>Net Service charges - refuse revenue</v>
      </c>
      <c r="B30" s="294"/>
      <c r="C30" s="214">
        <f>SUM(C27:C28)-C29</f>
        <v>44263319</v>
      </c>
      <c r="D30" s="214">
        <f t="shared" ref="D30:L30" si="8">SUM(D27:D28)-D29</f>
        <v>46242428</v>
      </c>
      <c r="E30" s="215">
        <f t="shared" si="8"/>
        <v>53287411</v>
      </c>
      <c r="F30" s="216">
        <f t="shared" si="8"/>
        <v>66282919</v>
      </c>
      <c r="G30" s="214">
        <f t="shared" si="8"/>
        <v>64421733</v>
      </c>
      <c r="H30" s="215">
        <f t="shared" si="8"/>
        <v>64421732</v>
      </c>
      <c r="I30" s="213">
        <f t="shared" si="8"/>
        <v>64421731</v>
      </c>
      <c r="J30" s="217">
        <f t="shared" si="8"/>
        <v>68603339</v>
      </c>
      <c r="K30" s="214">
        <f t="shared" si="8"/>
        <v>72239316</v>
      </c>
      <c r="L30" s="215">
        <f t="shared" si="8"/>
        <v>76212478</v>
      </c>
      <c r="M30" s="373"/>
      <c r="N30" s="373"/>
      <c r="O30" s="373"/>
      <c r="P30" s="373"/>
    </row>
    <row r="31" spans="1:16" ht="5.0999999999999996" customHeight="1">
      <c r="A31" s="408"/>
      <c r="B31" s="294"/>
      <c r="C31" s="204"/>
      <c r="D31" s="204"/>
      <c r="E31" s="205"/>
      <c r="F31" s="206"/>
      <c r="G31" s="204"/>
      <c r="H31" s="205"/>
      <c r="I31" s="203"/>
      <c r="J31" s="207"/>
      <c r="K31" s="204"/>
      <c r="L31" s="205"/>
      <c r="M31" s="373"/>
      <c r="N31" s="373"/>
      <c r="O31" s="373"/>
      <c r="P31" s="373"/>
    </row>
    <row r="32" spans="1:16" ht="11.25" customHeight="1">
      <c r="A32" s="405" t="s">
        <v>395</v>
      </c>
      <c r="B32" s="294"/>
      <c r="C32" s="316"/>
      <c r="D32" s="316"/>
      <c r="E32" s="319"/>
      <c r="F32" s="318"/>
      <c r="G32" s="316"/>
      <c r="H32" s="319"/>
      <c r="I32" s="317"/>
      <c r="J32" s="409"/>
      <c r="K32" s="316"/>
      <c r="L32" s="319"/>
      <c r="M32" s="373"/>
      <c r="N32" s="373"/>
      <c r="O32" s="373"/>
      <c r="P32" s="373"/>
    </row>
    <row r="33" spans="1:16" ht="11.25" customHeight="1">
      <c r="A33" s="326" t="s">
        <v>468</v>
      </c>
      <c r="B33" s="294"/>
      <c r="C33" s="1081">
        <v>0</v>
      </c>
      <c r="D33" s="1082">
        <v>0</v>
      </c>
      <c r="E33" s="1730">
        <v>0</v>
      </c>
      <c r="F33" s="1731"/>
      <c r="G33" s="1708"/>
      <c r="H33" s="1730"/>
      <c r="I33" s="1732"/>
      <c r="J33" s="1081">
        <v>0</v>
      </c>
      <c r="K33" s="1708"/>
      <c r="L33" s="1730"/>
      <c r="M33" s="373"/>
      <c r="N33" s="373"/>
      <c r="O33" s="373"/>
      <c r="P33" s="373"/>
    </row>
    <row r="34" spans="1:16" ht="11.25" customHeight="1">
      <c r="A34" s="326" t="s">
        <v>1703</v>
      </c>
      <c r="B34" s="294">
        <v>3</v>
      </c>
      <c r="C34" s="1081">
        <v>446406000</v>
      </c>
      <c r="D34" s="1082">
        <f>401048000-99292000</f>
        <v>301756000</v>
      </c>
      <c r="E34" s="2259">
        <f>494216000+378111778</f>
        <v>872327778</v>
      </c>
      <c r="F34" s="1712">
        <f>71337000+14493000</f>
        <v>85830000</v>
      </c>
      <c r="G34" s="1708">
        <f>628399201+117364000</f>
        <v>745763201</v>
      </c>
      <c r="H34" s="1708">
        <f t="shared" ref="H34:I34" si="9">628399201+117364000</f>
        <v>745763201</v>
      </c>
      <c r="I34" s="1708">
        <f t="shared" si="9"/>
        <v>745763201</v>
      </c>
      <c r="J34" s="1081">
        <f>681231953+103658000</f>
        <v>784889953</v>
      </c>
      <c r="K34" s="1708">
        <f>751702039+102474000-18013000</f>
        <v>836163039</v>
      </c>
      <c r="L34" s="1730">
        <f>753780646+98623000-22763000</f>
        <v>829640646</v>
      </c>
      <c r="M34" s="373"/>
      <c r="N34" s="373"/>
      <c r="O34" s="373"/>
      <c r="P34" s="373"/>
    </row>
    <row r="35" spans="1:16" ht="11.25" customHeight="1">
      <c r="A35" s="420" t="s">
        <v>1304</v>
      </c>
      <c r="B35" s="294">
        <v>1</v>
      </c>
      <c r="C35" s="214">
        <f t="shared" ref="C35:L35" si="10">SUM(C33:C34)</f>
        <v>446406000</v>
      </c>
      <c r="D35" s="214">
        <f t="shared" si="10"/>
        <v>301756000</v>
      </c>
      <c r="E35" s="215">
        <f t="shared" si="10"/>
        <v>872327778</v>
      </c>
      <c r="F35" s="216">
        <f t="shared" si="10"/>
        <v>85830000</v>
      </c>
      <c r="G35" s="214">
        <f t="shared" si="10"/>
        <v>745763201</v>
      </c>
      <c r="H35" s="215">
        <f t="shared" si="10"/>
        <v>745763201</v>
      </c>
      <c r="I35" s="213">
        <f t="shared" si="10"/>
        <v>745763201</v>
      </c>
      <c r="J35" s="217">
        <f t="shared" si="10"/>
        <v>784889953</v>
      </c>
      <c r="K35" s="214">
        <f t="shared" si="10"/>
        <v>836163039</v>
      </c>
      <c r="L35" s="215">
        <f t="shared" si="10"/>
        <v>829640646</v>
      </c>
      <c r="M35" s="373"/>
      <c r="N35" s="373"/>
      <c r="O35" s="373"/>
      <c r="P35" s="373"/>
    </row>
    <row r="36" spans="1:16" ht="5.0999999999999996" customHeight="1">
      <c r="A36" s="202"/>
      <c r="B36" s="294"/>
      <c r="C36" s="204"/>
      <c r="D36" s="204"/>
      <c r="E36" s="205"/>
      <c r="F36" s="206"/>
      <c r="G36" s="204"/>
      <c r="H36" s="205"/>
      <c r="I36" s="203"/>
      <c r="J36" s="207"/>
      <c r="K36" s="204"/>
      <c r="L36" s="205"/>
      <c r="M36" s="373"/>
      <c r="N36" s="373"/>
      <c r="O36" s="373"/>
      <c r="P36" s="373"/>
    </row>
    <row r="37" spans="1:16" ht="15.75" customHeight="1">
      <c r="A37" s="410" t="s">
        <v>570</v>
      </c>
      <c r="B37" s="411"/>
      <c r="C37" s="412"/>
      <c r="D37" s="412"/>
      <c r="E37" s="413"/>
      <c r="F37" s="414"/>
      <c r="G37" s="412"/>
      <c r="H37" s="413"/>
      <c r="I37" s="415"/>
      <c r="J37" s="416"/>
      <c r="K37" s="412"/>
      <c r="L37" s="413"/>
      <c r="M37" s="373"/>
      <c r="N37" s="373"/>
      <c r="O37" s="373"/>
      <c r="P37" s="373"/>
    </row>
    <row r="38" spans="1:16" ht="11.25" customHeight="1">
      <c r="A38" s="182" t="str">
        <f>'A4-FinPerf RE'!A25</f>
        <v>Employee related costs</v>
      </c>
      <c r="B38" s="294"/>
      <c r="C38" s="204"/>
      <c r="D38" s="204"/>
      <c r="E38" s="205"/>
      <c r="F38" s="206"/>
      <c r="G38" s="204"/>
      <c r="H38" s="205"/>
      <c r="I38" s="203"/>
      <c r="J38" s="207"/>
      <c r="K38" s="204"/>
      <c r="L38" s="205"/>
      <c r="M38" s="373"/>
      <c r="N38" s="373"/>
      <c r="O38" s="373"/>
      <c r="P38" s="373"/>
    </row>
    <row r="39" spans="1:16" ht="11.25" customHeight="1">
      <c r="A39" s="191" t="s">
        <v>1177</v>
      </c>
      <c r="B39" s="295">
        <v>2</v>
      </c>
      <c r="C39" s="1081">
        <v>336213000</v>
      </c>
      <c r="D39" s="1082">
        <v>356706738</v>
      </c>
      <c r="E39" s="1084">
        <v>425520578</v>
      </c>
      <c r="F39" s="1712">
        <v>417140000</v>
      </c>
      <c r="G39" s="1708">
        <v>442041590</v>
      </c>
      <c r="H39" s="1708">
        <v>442041590</v>
      </c>
      <c r="I39" s="1708">
        <v>442041590</v>
      </c>
      <c r="J39" s="1081">
        <v>462088411</v>
      </c>
      <c r="K39" s="1708">
        <v>515834604</v>
      </c>
      <c r="L39" s="1730">
        <v>551943026</v>
      </c>
      <c r="M39" s="373"/>
      <c r="N39" s="373"/>
      <c r="O39" s="373"/>
      <c r="P39" s="373"/>
    </row>
    <row r="40" spans="1:16" ht="11.25" customHeight="1">
      <c r="A40" s="191" t="s">
        <v>1178</v>
      </c>
      <c r="B40" s="294"/>
      <c r="C40" s="1081">
        <v>82149647</v>
      </c>
      <c r="D40" s="1082">
        <v>88139644</v>
      </c>
      <c r="E40" s="1084">
        <v>135519212</v>
      </c>
      <c r="F40" s="1712">
        <v>115874000</v>
      </c>
      <c r="G40" s="1708">
        <v>116724917</v>
      </c>
      <c r="H40" s="1708">
        <v>116724917</v>
      </c>
      <c r="I40" s="1708">
        <v>116724917</v>
      </c>
      <c r="J40" s="1081">
        <v>128371451</v>
      </c>
      <c r="K40" s="1708">
        <v>137357453</v>
      </c>
      <c r="L40" s="1730">
        <v>146972474</v>
      </c>
      <c r="M40" s="373"/>
      <c r="N40" s="373"/>
      <c r="O40" s="373"/>
      <c r="P40" s="373"/>
    </row>
    <row r="41" spans="1:16" ht="11.25" customHeight="1">
      <c r="A41" s="191" t="s">
        <v>1179</v>
      </c>
      <c r="B41" s="294"/>
      <c r="C41" s="1081">
        <v>16125590</v>
      </c>
      <c r="D41" s="1082">
        <v>27075883</v>
      </c>
      <c r="E41" s="1084">
        <v>29783672</v>
      </c>
      <c r="F41" s="1712">
        <v>31089000</v>
      </c>
      <c r="G41" s="1708">
        <v>30564668</v>
      </c>
      <c r="H41" s="1708">
        <v>30564668</v>
      </c>
      <c r="I41" s="1708">
        <v>30564668</v>
      </c>
      <c r="J41" s="1081">
        <v>30826332</v>
      </c>
      <c r="K41" s="1708">
        <v>47969910</v>
      </c>
      <c r="L41" s="1730">
        <v>51035694</v>
      </c>
      <c r="M41" s="373"/>
      <c r="N41" s="373"/>
      <c r="O41" s="373"/>
      <c r="P41" s="373"/>
    </row>
    <row r="42" spans="1:16" ht="11.25" customHeight="1">
      <c r="A42" s="191" t="s">
        <v>814</v>
      </c>
      <c r="B42" s="294"/>
      <c r="C42" s="1081">
        <v>5306271</v>
      </c>
      <c r="D42" s="1082">
        <v>4770274</v>
      </c>
      <c r="E42" s="1084">
        <v>5170764</v>
      </c>
      <c r="F42" s="1712">
        <v>4290000</v>
      </c>
      <c r="G42" s="1708">
        <v>3972099</v>
      </c>
      <c r="H42" s="1708">
        <v>3972099</v>
      </c>
      <c r="I42" s="1708">
        <v>3972099</v>
      </c>
      <c r="J42" s="1081">
        <v>3833326</v>
      </c>
      <c r="K42" s="1708">
        <v>4101659</v>
      </c>
      <c r="L42" s="1730">
        <v>4388775</v>
      </c>
      <c r="M42" s="373"/>
      <c r="N42" s="373"/>
      <c r="O42" s="373"/>
      <c r="P42" s="373"/>
    </row>
    <row r="43" spans="1:16" ht="11.25" customHeight="1">
      <c r="A43" s="191" t="s">
        <v>1180</v>
      </c>
      <c r="B43" s="294"/>
      <c r="C43" s="1081">
        <v>49964735</v>
      </c>
      <c r="D43" s="1082">
        <v>33538312</v>
      </c>
      <c r="E43" s="1084">
        <v>50108001</v>
      </c>
      <c r="F43" s="1712">
        <v>15000000</v>
      </c>
      <c r="G43" s="1708">
        <v>28493435</v>
      </c>
      <c r="H43" s="1708">
        <v>28493435</v>
      </c>
      <c r="I43" s="1708">
        <v>28493435</v>
      </c>
      <c r="J43" s="1081">
        <v>15000000</v>
      </c>
      <c r="K43" s="1708">
        <v>16050000</v>
      </c>
      <c r="L43" s="1730">
        <v>17173500</v>
      </c>
      <c r="M43" s="373"/>
      <c r="N43" s="373"/>
      <c r="O43" s="373"/>
      <c r="P43" s="373"/>
    </row>
    <row r="44" spans="1:16" ht="11.25" customHeight="1">
      <c r="A44" s="191" t="s">
        <v>1182</v>
      </c>
      <c r="B44" s="294"/>
      <c r="C44" s="1080">
        <v>0</v>
      </c>
      <c r="D44" s="1080">
        <v>0</v>
      </c>
      <c r="E44" s="1080"/>
      <c r="F44" s="1712"/>
      <c r="G44" s="1708"/>
      <c r="H44" s="1708"/>
      <c r="I44" s="1708"/>
      <c r="J44" s="1080"/>
      <c r="K44" s="1708"/>
      <c r="L44" s="1730"/>
      <c r="M44" s="373"/>
      <c r="N44" s="373"/>
      <c r="O44" s="373"/>
      <c r="P44" s="373"/>
    </row>
    <row r="45" spans="1:16" ht="11.25" customHeight="1">
      <c r="A45" s="191" t="s">
        <v>1181</v>
      </c>
      <c r="B45" s="294"/>
      <c r="C45" s="1081">
        <v>11099994</v>
      </c>
      <c r="D45" s="1082">
        <v>11043713</v>
      </c>
      <c r="E45" s="1084">
        <v>13984329</v>
      </c>
      <c r="F45" s="1712">
        <v>14621000</v>
      </c>
      <c r="G45" s="1708">
        <v>15733762</v>
      </c>
      <c r="H45" s="1708">
        <v>15733762</v>
      </c>
      <c r="I45" s="1708">
        <v>15733762</v>
      </c>
      <c r="J45" s="1081">
        <v>16976460</v>
      </c>
      <c r="K45" s="1708">
        <v>18164812</v>
      </c>
      <c r="L45" s="1730">
        <v>19436349</v>
      </c>
      <c r="M45" s="373"/>
      <c r="N45" s="373"/>
      <c r="O45" s="373"/>
      <c r="P45" s="373"/>
    </row>
    <row r="46" spans="1:16" ht="11.25" customHeight="1">
      <c r="A46" s="191" t="s">
        <v>1823</v>
      </c>
      <c r="B46" s="294"/>
      <c r="C46" s="1081">
        <v>0</v>
      </c>
      <c r="D46" s="1082">
        <v>0</v>
      </c>
      <c r="E46" s="1084">
        <v>0</v>
      </c>
      <c r="F46" s="1712"/>
      <c r="G46" s="1708"/>
      <c r="H46" s="1708"/>
      <c r="I46" s="1708"/>
      <c r="J46" s="1081"/>
      <c r="K46" s="1708"/>
      <c r="L46" s="1730"/>
      <c r="M46" s="373"/>
      <c r="N46" s="373"/>
      <c r="O46" s="373"/>
      <c r="P46" s="373"/>
    </row>
    <row r="47" spans="1:16" ht="11.25" customHeight="1">
      <c r="A47" s="191" t="s">
        <v>1824</v>
      </c>
      <c r="B47" s="294">
        <v>4</v>
      </c>
      <c r="C47" s="1081">
        <v>0</v>
      </c>
      <c r="D47" s="1082">
        <v>0</v>
      </c>
      <c r="E47" s="1084">
        <v>0</v>
      </c>
      <c r="F47" s="2158"/>
      <c r="G47" s="1708"/>
      <c r="H47" s="1730"/>
      <c r="I47" s="1732"/>
      <c r="J47" s="1081">
        <v>0</v>
      </c>
      <c r="K47" s="1708"/>
      <c r="L47" s="1730"/>
      <c r="M47" s="373"/>
      <c r="N47" s="373"/>
      <c r="O47" s="373"/>
      <c r="P47" s="373"/>
    </row>
    <row r="48" spans="1:16" ht="11.25" customHeight="1">
      <c r="A48" s="417" t="s">
        <v>141</v>
      </c>
      <c r="B48" s="294">
        <v>5</v>
      </c>
      <c r="C48" s="268">
        <f>SUM(C39:C47)</f>
        <v>500859237</v>
      </c>
      <c r="D48" s="268">
        <f t="shared" ref="D48:L48" si="11">SUM(D39:D47)</f>
        <v>521274564</v>
      </c>
      <c r="E48" s="269">
        <f t="shared" si="11"/>
        <v>660086556</v>
      </c>
      <c r="F48" s="270">
        <f t="shared" si="11"/>
        <v>598014000</v>
      </c>
      <c r="G48" s="268">
        <f t="shared" si="11"/>
        <v>637530471</v>
      </c>
      <c r="H48" s="269">
        <f t="shared" si="11"/>
        <v>637530471</v>
      </c>
      <c r="I48" s="267">
        <f t="shared" si="11"/>
        <v>637530471</v>
      </c>
      <c r="J48" s="271">
        <f t="shared" si="11"/>
        <v>657095980</v>
      </c>
      <c r="K48" s="268">
        <f t="shared" si="11"/>
        <v>739478438</v>
      </c>
      <c r="L48" s="269">
        <f t="shared" si="11"/>
        <v>790949818</v>
      </c>
      <c r="M48" s="373"/>
      <c r="N48" s="373"/>
      <c r="O48" s="373"/>
      <c r="P48" s="373"/>
    </row>
    <row r="49" spans="1:16" ht="11.25" customHeight="1">
      <c r="A49" s="418" t="s">
        <v>528</v>
      </c>
      <c r="B49" s="294"/>
      <c r="C49" s="1708"/>
      <c r="D49" s="1708"/>
      <c r="E49" s="1730"/>
      <c r="F49" s="1731"/>
      <c r="G49" s="1708"/>
      <c r="H49" s="1730"/>
      <c r="I49" s="1732"/>
      <c r="J49" s="1710"/>
      <c r="K49" s="1708"/>
      <c r="L49" s="1730"/>
      <c r="M49" s="373"/>
      <c r="N49" s="373"/>
      <c r="O49" s="373"/>
      <c r="P49" s="373"/>
    </row>
    <row r="50" spans="1:16" ht="11.25" customHeight="1">
      <c r="A50" s="327" t="str">
        <f>"Total "&amp;A38</f>
        <v>Total Employee related costs</v>
      </c>
      <c r="B50" s="294">
        <v>1</v>
      </c>
      <c r="C50" s="268">
        <f>C48-C49</f>
        <v>500859237</v>
      </c>
      <c r="D50" s="268">
        <f t="shared" ref="D50:L50" si="12">D48-D49</f>
        <v>521274564</v>
      </c>
      <c r="E50" s="269">
        <f t="shared" si="12"/>
        <v>660086556</v>
      </c>
      <c r="F50" s="270">
        <f t="shared" si="12"/>
        <v>598014000</v>
      </c>
      <c r="G50" s="268">
        <f t="shared" si="12"/>
        <v>637530471</v>
      </c>
      <c r="H50" s="269">
        <f t="shared" si="12"/>
        <v>637530471</v>
      </c>
      <c r="I50" s="267">
        <f t="shared" si="12"/>
        <v>637530471</v>
      </c>
      <c r="J50" s="271">
        <f t="shared" si="12"/>
        <v>657095980</v>
      </c>
      <c r="K50" s="268">
        <f t="shared" si="12"/>
        <v>739478438</v>
      </c>
      <c r="L50" s="269">
        <f t="shared" si="12"/>
        <v>790949818</v>
      </c>
      <c r="M50" s="373"/>
      <c r="N50" s="373"/>
      <c r="O50" s="373"/>
      <c r="P50" s="373"/>
    </row>
    <row r="51" spans="1:16" ht="5.0999999999999996" customHeight="1">
      <c r="A51" s="202"/>
      <c r="B51" s="294"/>
      <c r="C51" s="204"/>
      <c r="D51" s="204"/>
      <c r="E51" s="205"/>
      <c r="F51" s="206"/>
      <c r="G51" s="204"/>
      <c r="H51" s="205"/>
      <c r="I51" s="203"/>
      <c r="J51" s="207"/>
      <c r="K51" s="204"/>
      <c r="L51" s="205"/>
      <c r="M51" s="373"/>
      <c r="N51" s="373"/>
      <c r="O51" s="373"/>
      <c r="P51" s="373"/>
    </row>
    <row r="52" spans="1:16" ht="11.25" customHeight="1">
      <c r="A52" s="182" t="s">
        <v>879</v>
      </c>
      <c r="B52" s="294"/>
      <c r="C52" s="1334"/>
      <c r="D52" s="1334"/>
      <c r="E52" s="1374"/>
      <c r="F52" s="1375"/>
      <c r="G52" s="1334"/>
      <c r="H52" s="1374"/>
      <c r="I52" s="1376"/>
      <c r="J52" s="1335"/>
      <c r="K52" s="1334"/>
      <c r="L52" s="1374"/>
      <c r="M52" s="373"/>
      <c r="N52" s="373"/>
      <c r="O52" s="373"/>
      <c r="P52" s="373"/>
    </row>
    <row r="53" spans="1:16" ht="11.25" customHeight="1">
      <c r="A53" s="1776" t="s">
        <v>880</v>
      </c>
      <c r="B53" s="294"/>
      <c r="C53" s="1708"/>
      <c r="D53" s="1708"/>
      <c r="E53" s="1730"/>
      <c r="F53" s="1731"/>
      <c r="G53" s="1708"/>
      <c r="H53" s="1730"/>
      <c r="I53" s="1732"/>
      <c r="J53" s="1710"/>
      <c r="K53" s="1708"/>
      <c r="L53" s="1730"/>
      <c r="M53" s="373"/>
      <c r="N53" s="373"/>
      <c r="O53" s="373"/>
      <c r="P53" s="373"/>
    </row>
    <row r="54" spans="1:16" ht="11.25" customHeight="1">
      <c r="A54" s="1776"/>
      <c r="B54" s="294"/>
      <c r="C54" s="1708"/>
      <c r="D54" s="1708"/>
      <c r="E54" s="1730"/>
      <c r="F54" s="1731"/>
      <c r="G54" s="1708"/>
      <c r="H54" s="1730"/>
      <c r="I54" s="1732"/>
      <c r="J54" s="1710"/>
      <c r="K54" s="1708"/>
      <c r="L54" s="1730"/>
      <c r="M54" s="373"/>
      <c r="N54" s="373"/>
      <c r="O54" s="373"/>
      <c r="P54" s="373"/>
    </row>
    <row r="55" spans="1:16" ht="11.25" customHeight="1">
      <c r="A55" s="1776"/>
      <c r="B55" s="294"/>
      <c r="C55" s="1708"/>
      <c r="D55" s="1708"/>
      <c r="E55" s="1730"/>
      <c r="F55" s="1731"/>
      <c r="G55" s="1708"/>
      <c r="H55" s="1730"/>
      <c r="I55" s="1732"/>
      <c r="J55" s="1710"/>
      <c r="K55" s="1708"/>
      <c r="L55" s="1730"/>
      <c r="M55" s="373"/>
      <c r="N55" s="373"/>
      <c r="O55" s="373"/>
      <c r="P55" s="373"/>
    </row>
    <row r="56" spans="1:16" ht="11.25" customHeight="1">
      <c r="A56" s="1776"/>
      <c r="B56" s="294"/>
      <c r="C56" s="1708"/>
      <c r="D56" s="1708"/>
      <c r="E56" s="1730"/>
      <c r="F56" s="1731"/>
      <c r="G56" s="1708"/>
      <c r="H56" s="1730"/>
      <c r="I56" s="1732"/>
      <c r="J56" s="1710"/>
      <c r="K56" s="1708"/>
      <c r="L56" s="1730"/>
      <c r="M56" s="373"/>
      <c r="N56" s="373"/>
      <c r="O56" s="373"/>
      <c r="P56" s="373"/>
    </row>
    <row r="57" spans="1:16" ht="11.25" customHeight="1">
      <c r="A57" s="1776"/>
      <c r="B57" s="294"/>
      <c r="C57" s="1708"/>
      <c r="D57" s="1708"/>
      <c r="E57" s="1730"/>
      <c r="F57" s="1731"/>
      <c r="G57" s="1708"/>
      <c r="H57" s="1730"/>
      <c r="I57" s="1732"/>
      <c r="J57" s="1710"/>
      <c r="K57" s="1708"/>
      <c r="L57" s="1730"/>
      <c r="M57" s="373"/>
      <c r="N57" s="373"/>
      <c r="O57" s="373"/>
      <c r="P57" s="373"/>
    </row>
    <row r="58" spans="1:16" ht="11.25" customHeight="1">
      <c r="A58" s="1776"/>
      <c r="B58" s="294"/>
      <c r="C58" s="1708"/>
      <c r="D58" s="1708"/>
      <c r="E58" s="1730"/>
      <c r="F58" s="1731"/>
      <c r="G58" s="1708"/>
      <c r="H58" s="1730"/>
      <c r="I58" s="1732"/>
      <c r="J58" s="1710"/>
      <c r="K58" s="1708"/>
      <c r="L58" s="1730"/>
      <c r="M58" s="373"/>
      <c r="N58" s="373"/>
      <c r="O58" s="373"/>
      <c r="P58" s="373"/>
    </row>
    <row r="59" spans="1:16" ht="11.25" customHeight="1">
      <c r="A59" s="327" t="str">
        <f>"Total "&amp;A52</f>
        <v>Total Contributions recognised - capital</v>
      </c>
      <c r="B59" s="294"/>
      <c r="C59" s="214">
        <f t="shared" ref="C59:L59" si="13">SUM(C53:C58)</f>
        <v>0</v>
      </c>
      <c r="D59" s="214">
        <f t="shared" si="13"/>
        <v>0</v>
      </c>
      <c r="E59" s="215">
        <f t="shared" si="13"/>
        <v>0</v>
      </c>
      <c r="F59" s="216">
        <f t="shared" si="13"/>
        <v>0</v>
      </c>
      <c r="G59" s="214">
        <f t="shared" si="13"/>
        <v>0</v>
      </c>
      <c r="H59" s="215">
        <f t="shared" si="13"/>
        <v>0</v>
      </c>
      <c r="I59" s="213">
        <f t="shared" si="13"/>
        <v>0</v>
      </c>
      <c r="J59" s="217">
        <f t="shared" si="13"/>
        <v>0</v>
      </c>
      <c r="K59" s="214">
        <f t="shared" si="13"/>
        <v>0</v>
      </c>
      <c r="L59" s="215">
        <f t="shared" si="13"/>
        <v>0</v>
      </c>
      <c r="M59" s="373"/>
      <c r="N59" s="373"/>
      <c r="O59" s="373"/>
      <c r="P59" s="373"/>
    </row>
    <row r="60" spans="1:16" ht="5.0999999999999996" customHeight="1">
      <c r="A60" s="202"/>
      <c r="B60" s="294"/>
      <c r="C60" s="204"/>
      <c r="D60" s="204"/>
      <c r="E60" s="205"/>
      <c r="F60" s="206"/>
      <c r="G60" s="204"/>
      <c r="H60" s="205"/>
      <c r="I60" s="203"/>
      <c r="J60" s="207"/>
      <c r="K60" s="204"/>
      <c r="L60" s="205"/>
      <c r="M60" s="373"/>
      <c r="N60" s="373"/>
      <c r="O60" s="373"/>
      <c r="P60" s="373"/>
    </row>
    <row r="61" spans="1:16" ht="11.25" customHeight="1">
      <c r="A61" s="182" t="str">
        <f>'A4-FinPerf RE'!A28</f>
        <v>Depreciation &amp; asset impairment</v>
      </c>
      <c r="B61" s="294"/>
      <c r="C61" s="204"/>
      <c r="D61" s="204"/>
      <c r="E61" s="205"/>
      <c r="F61" s="206"/>
      <c r="G61" s="204"/>
      <c r="H61" s="205"/>
      <c r="I61" s="203"/>
      <c r="J61" s="207"/>
      <c r="K61" s="204"/>
      <c r="L61" s="205"/>
      <c r="M61" s="373"/>
      <c r="N61" s="373"/>
      <c r="O61" s="373"/>
      <c r="P61" s="373"/>
    </row>
    <row r="62" spans="1:16" ht="11.25" customHeight="1">
      <c r="A62" s="326" t="s">
        <v>1733</v>
      </c>
      <c r="B62" s="294"/>
      <c r="C62" s="1081">
        <v>96408758</v>
      </c>
      <c r="D62" s="1082">
        <v>50736350</v>
      </c>
      <c r="E62" s="1084">
        <v>123646386</v>
      </c>
      <c r="F62" s="1712">
        <v>115834000</v>
      </c>
      <c r="G62" s="1708">
        <v>105634674</v>
      </c>
      <c r="H62" s="1708">
        <v>105634674</v>
      </c>
      <c r="I62" s="1708">
        <v>105634674</v>
      </c>
      <c r="J62" s="1081">
        <v>124711874</v>
      </c>
      <c r="K62" s="1708">
        <v>85999663</v>
      </c>
      <c r="L62" s="1730">
        <v>91593636</v>
      </c>
      <c r="M62" s="373"/>
      <c r="N62" s="373"/>
      <c r="O62" s="373"/>
      <c r="P62" s="373"/>
    </row>
    <row r="63" spans="1:16" ht="11.25" customHeight="1">
      <c r="A63" s="326" t="s">
        <v>1040</v>
      </c>
      <c r="B63" s="294"/>
      <c r="C63" s="1081">
        <v>0</v>
      </c>
      <c r="D63" s="1082">
        <v>0</v>
      </c>
      <c r="E63" s="1084">
        <v>0</v>
      </c>
      <c r="F63" s="1731"/>
      <c r="G63" s="1708"/>
      <c r="H63" s="1730"/>
      <c r="I63" s="1730"/>
      <c r="J63" s="1081">
        <v>0</v>
      </c>
      <c r="K63" s="1708"/>
      <c r="L63" s="1730"/>
      <c r="M63" s="373"/>
      <c r="N63" s="373"/>
      <c r="O63" s="373"/>
      <c r="P63" s="373"/>
    </row>
    <row r="64" spans="1:16" ht="11.25" customHeight="1">
      <c r="A64" s="326" t="s">
        <v>1599</v>
      </c>
      <c r="B64" s="294"/>
      <c r="C64" s="1081">
        <v>0</v>
      </c>
      <c r="D64" s="1082">
        <v>0</v>
      </c>
      <c r="E64" s="1084">
        <v>0</v>
      </c>
      <c r="F64" s="1731"/>
      <c r="G64" s="1708"/>
      <c r="H64" s="1730"/>
      <c r="I64" s="1732"/>
      <c r="J64" s="1081">
        <v>0</v>
      </c>
      <c r="K64" s="1708"/>
      <c r="L64" s="1730"/>
      <c r="M64" s="373"/>
      <c r="N64" s="373"/>
      <c r="O64" s="373"/>
      <c r="P64" s="373"/>
    </row>
    <row r="65" spans="1:16" ht="11.25" customHeight="1">
      <c r="A65" s="327" t="str">
        <f>"Total "&amp;LEFT(A61,35)</f>
        <v>Total Depreciation &amp; asset impairment</v>
      </c>
      <c r="B65" s="294">
        <v>1</v>
      </c>
      <c r="C65" s="214">
        <f t="shared" ref="C65:L65" si="14">SUM(C62:C64)</f>
        <v>96408758</v>
      </c>
      <c r="D65" s="214">
        <f t="shared" si="14"/>
        <v>50736350</v>
      </c>
      <c r="E65" s="215">
        <f t="shared" si="14"/>
        <v>123646386</v>
      </c>
      <c r="F65" s="216">
        <f t="shared" si="14"/>
        <v>115834000</v>
      </c>
      <c r="G65" s="214">
        <f t="shared" si="14"/>
        <v>105634674</v>
      </c>
      <c r="H65" s="215">
        <f t="shared" si="14"/>
        <v>105634674</v>
      </c>
      <c r="I65" s="213">
        <f t="shared" si="14"/>
        <v>105634674</v>
      </c>
      <c r="J65" s="217">
        <f t="shared" si="14"/>
        <v>124711874</v>
      </c>
      <c r="K65" s="214">
        <f t="shared" si="14"/>
        <v>85999663</v>
      </c>
      <c r="L65" s="215">
        <f t="shared" si="14"/>
        <v>91593636</v>
      </c>
      <c r="M65" s="373"/>
      <c r="N65" s="373"/>
      <c r="O65" s="373"/>
      <c r="P65" s="373"/>
    </row>
    <row r="66" spans="1:16" ht="5.0999999999999996" customHeight="1">
      <c r="A66" s="327"/>
      <c r="B66" s="294"/>
      <c r="C66" s="219"/>
      <c r="D66" s="219"/>
      <c r="E66" s="220"/>
      <c r="F66" s="221"/>
      <c r="G66" s="219"/>
      <c r="H66" s="220"/>
      <c r="I66" s="218"/>
      <c r="J66" s="222"/>
      <c r="K66" s="219"/>
      <c r="L66" s="220"/>
      <c r="M66" s="373"/>
      <c r="N66" s="373"/>
      <c r="O66" s="373"/>
      <c r="P66" s="373"/>
    </row>
    <row r="67" spans="1:16" ht="11.25" customHeight="1">
      <c r="A67" s="182" t="str">
        <f>'A4-FinPerf RE'!A30</f>
        <v>Bulk purchases</v>
      </c>
      <c r="B67" s="294"/>
      <c r="C67" s="219"/>
      <c r="D67" s="219"/>
      <c r="E67" s="220"/>
      <c r="F67" s="221"/>
      <c r="G67" s="219"/>
      <c r="H67" s="220"/>
      <c r="I67" s="218"/>
      <c r="J67" s="222"/>
      <c r="K67" s="219"/>
      <c r="L67" s="220"/>
      <c r="M67" s="373"/>
      <c r="N67" s="373"/>
      <c r="O67" s="373"/>
      <c r="P67" s="373"/>
    </row>
    <row r="68" spans="1:16" ht="11.25" customHeight="1">
      <c r="A68" s="191" t="s">
        <v>1305</v>
      </c>
      <c r="B68" s="294"/>
      <c r="C68" s="1081">
        <v>321275361</v>
      </c>
      <c r="D68" s="1082">
        <v>381235962</v>
      </c>
      <c r="E68" s="1749">
        <v>568236145</v>
      </c>
      <c r="F68" s="1712">
        <v>660600000</v>
      </c>
      <c r="G68" s="1708">
        <v>730600000</v>
      </c>
      <c r="H68" s="1708">
        <v>730600000</v>
      </c>
      <c r="I68" s="1708">
        <v>730600000</v>
      </c>
      <c r="J68" s="1081">
        <v>945974362</v>
      </c>
      <c r="K68" s="1708">
        <v>996111003.18599999</v>
      </c>
      <c r="L68" s="1730">
        <v>1050897108.3612299</v>
      </c>
      <c r="M68" s="373"/>
      <c r="N68" s="373"/>
      <c r="O68" s="373"/>
      <c r="P68" s="373"/>
    </row>
    <row r="69" spans="1:16" ht="11.25" customHeight="1">
      <c r="A69" s="191" t="s">
        <v>1306</v>
      </c>
      <c r="B69" s="294"/>
      <c r="C69" s="1081">
        <v>194174295</v>
      </c>
      <c r="D69" s="1082">
        <v>217463269</v>
      </c>
      <c r="E69" s="1084">
        <v>236743218</v>
      </c>
      <c r="F69" s="1712">
        <v>230654044</v>
      </c>
      <c r="G69" s="1708">
        <v>272383616</v>
      </c>
      <c r="H69" s="1708">
        <v>272383616</v>
      </c>
      <c r="I69" s="1708">
        <v>272383616</v>
      </c>
      <c r="J69" s="1081">
        <v>297525535</v>
      </c>
      <c r="K69" s="1708">
        <v>313294389</v>
      </c>
      <c r="L69" s="1730">
        <v>330525580</v>
      </c>
      <c r="M69" s="373"/>
      <c r="N69" s="373"/>
      <c r="O69" s="373"/>
      <c r="P69" s="373"/>
    </row>
    <row r="70" spans="1:16" ht="11.25" customHeight="1">
      <c r="A70" s="327" t="s">
        <v>1307</v>
      </c>
      <c r="B70" s="294">
        <v>1</v>
      </c>
      <c r="C70" s="214">
        <f>SUM(C68:C69)</f>
        <v>515449656</v>
      </c>
      <c r="D70" s="214">
        <f t="shared" ref="D70:L70" si="15">SUM(D68:D69)</f>
        <v>598699231</v>
      </c>
      <c r="E70" s="215">
        <f t="shared" si="15"/>
        <v>804979363</v>
      </c>
      <c r="F70" s="216">
        <f t="shared" si="15"/>
        <v>891254044</v>
      </c>
      <c r="G70" s="214">
        <f t="shared" si="15"/>
        <v>1002983616</v>
      </c>
      <c r="H70" s="215">
        <f t="shared" si="15"/>
        <v>1002983616</v>
      </c>
      <c r="I70" s="213">
        <f t="shared" si="15"/>
        <v>1002983616</v>
      </c>
      <c r="J70" s="217">
        <f t="shared" si="15"/>
        <v>1243499897</v>
      </c>
      <c r="K70" s="214">
        <f t="shared" si="15"/>
        <v>1309405392.1859999</v>
      </c>
      <c r="L70" s="215">
        <f t="shared" si="15"/>
        <v>1381422688.3612299</v>
      </c>
      <c r="M70" s="373"/>
      <c r="N70" s="373"/>
      <c r="O70" s="373"/>
      <c r="P70" s="373"/>
    </row>
    <row r="71" spans="1:16" ht="5.0999999999999996" customHeight="1">
      <c r="A71" s="327"/>
      <c r="B71" s="294"/>
      <c r="C71" s="219"/>
      <c r="D71" s="219"/>
      <c r="E71" s="220"/>
      <c r="F71" s="221"/>
      <c r="G71" s="219"/>
      <c r="H71" s="220"/>
      <c r="I71" s="218"/>
      <c r="J71" s="222"/>
      <c r="K71" s="219"/>
      <c r="L71" s="220"/>
      <c r="M71" s="373"/>
      <c r="N71" s="373"/>
      <c r="O71" s="373"/>
      <c r="P71" s="373"/>
    </row>
    <row r="72" spans="1:16" ht="11.25" customHeight="1">
      <c r="A72" s="182" t="str">
        <f>'A4-FinPerf RE'!A32</f>
        <v>Contracted services</v>
      </c>
      <c r="B72" s="294"/>
      <c r="C72" s="204"/>
      <c r="D72" s="204"/>
      <c r="E72" s="205"/>
      <c r="F72" s="206"/>
      <c r="G72" s="204"/>
      <c r="H72" s="205"/>
      <c r="I72" s="203"/>
      <c r="J72" s="207"/>
      <c r="K72" s="204"/>
      <c r="L72" s="205"/>
      <c r="M72" s="373"/>
      <c r="N72" s="373"/>
      <c r="O72" s="373"/>
      <c r="P72" s="373"/>
    </row>
    <row r="73" spans="1:16" ht="11.25" customHeight="1">
      <c r="A73" s="2016" t="s">
        <v>2178</v>
      </c>
      <c r="B73" s="294"/>
      <c r="C73" s="1081">
        <v>12264640</v>
      </c>
      <c r="D73" s="1082">
        <v>10888920</v>
      </c>
      <c r="E73" s="1084">
        <v>14690414</v>
      </c>
      <c r="F73" s="1712">
        <v>10009000</v>
      </c>
      <c r="G73" s="1708">
        <v>8550000</v>
      </c>
      <c r="H73" s="1708">
        <v>8550000</v>
      </c>
      <c r="I73" s="1708">
        <v>8550000</v>
      </c>
      <c r="J73" s="1081">
        <v>16050000</v>
      </c>
      <c r="K73" s="1708">
        <v>5377119</v>
      </c>
      <c r="L73" s="1730">
        <v>5635221</v>
      </c>
      <c r="M73" s="373"/>
      <c r="N73" s="373"/>
      <c r="O73" s="373"/>
      <c r="P73" s="373"/>
    </row>
    <row r="74" spans="1:16" ht="11.25" customHeight="1">
      <c r="A74" s="1776"/>
      <c r="B74" s="294"/>
      <c r="C74" s="1708"/>
      <c r="D74" s="1708"/>
      <c r="E74" s="1730"/>
      <c r="F74" s="1731"/>
      <c r="G74" s="1708"/>
      <c r="H74" s="1730"/>
      <c r="I74" s="1730"/>
      <c r="J74" s="1710"/>
      <c r="K74" s="1708"/>
      <c r="L74" s="1730"/>
      <c r="M74" s="373"/>
      <c r="N74" s="373"/>
      <c r="O74" s="373"/>
      <c r="P74" s="373"/>
    </row>
    <row r="75" spans="1:16" ht="11.25" customHeight="1">
      <c r="A75" s="1776"/>
      <c r="B75" s="294"/>
      <c r="C75" s="1708"/>
      <c r="D75" s="1708"/>
      <c r="E75" s="1730"/>
      <c r="F75" s="1731"/>
      <c r="G75" s="1708"/>
      <c r="H75" s="1730"/>
      <c r="I75" s="1732"/>
      <c r="J75" s="1710"/>
      <c r="K75" s="1708"/>
      <c r="L75" s="1730"/>
      <c r="M75" s="373"/>
      <c r="N75" s="373"/>
      <c r="O75" s="373"/>
      <c r="P75" s="373"/>
    </row>
    <row r="76" spans="1:16" ht="11.25" customHeight="1">
      <c r="A76" s="1776"/>
      <c r="B76" s="294"/>
      <c r="C76" s="1708"/>
      <c r="D76" s="1708"/>
      <c r="E76" s="1730"/>
      <c r="F76" s="1731"/>
      <c r="G76" s="1708"/>
      <c r="H76" s="1730"/>
      <c r="I76" s="1732"/>
      <c r="J76" s="1710"/>
      <c r="K76" s="1708"/>
      <c r="L76" s="1730"/>
      <c r="M76" s="373"/>
      <c r="N76" s="373"/>
      <c r="O76" s="373"/>
      <c r="P76" s="373"/>
    </row>
    <row r="77" spans="1:16" ht="11.25" customHeight="1">
      <c r="A77" s="1776"/>
      <c r="B77" s="294"/>
      <c r="C77" s="1708"/>
      <c r="D77" s="1708"/>
      <c r="E77" s="1730"/>
      <c r="F77" s="1731"/>
      <c r="G77" s="1708"/>
      <c r="H77" s="1730"/>
      <c r="I77" s="1732"/>
      <c r="J77" s="1710"/>
      <c r="K77" s="1708"/>
      <c r="L77" s="1730"/>
      <c r="M77" s="373"/>
      <c r="N77" s="373"/>
      <c r="O77" s="373"/>
      <c r="P77" s="373"/>
    </row>
    <row r="78" spans="1:16" ht="11.25" customHeight="1">
      <c r="A78" s="1776"/>
      <c r="B78" s="294"/>
      <c r="C78" s="1708"/>
      <c r="D78" s="1708"/>
      <c r="E78" s="1730"/>
      <c r="F78" s="1731"/>
      <c r="G78" s="1708"/>
      <c r="H78" s="1730"/>
      <c r="I78" s="1732"/>
      <c r="J78" s="1710"/>
      <c r="K78" s="1708"/>
      <c r="L78" s="1730"/>
      <c r="M78" s="373"/>
      <c r="N78" s="373"/>
      <c r="O78" s="373"/>
      <c r="P78" s="373"/>
    </row>
    <row r="79" spans="1:16" ht="11.25" customHeight="1">
      <c r="A79" s="1776"/>
      <c r="B79" s="294"/>
      <c r="C79" s="1708"/>
      <c r="D79" s="1708"/>
      <c r="E79" s="1730"/>
      <c r="F79" s="1731"/>
      <c r="G79" s="1708"/>
      <c r="H79" s="1730"/>
      <c r="I79" s="1732"/>
      <c r="J79" s="1710"/>
      <c r="K79" s="1708"/>
      <c r="L79" s="1730"/>
      <c r="M79" s="373"/>
      <c r="N79" s="373"/>
      <c r="O79" s="373"/>
      <c r="P79" s="373"/>
    </row>
    <row r="80" spans="1:16" ht="11.25" customHeight="1">
      <c r="A80" s="1776"/>
      <c r="B80" s="294"/>
      <c r="C80" s="1708"/>
      <c r="D80" s="1708"/>
      <c r="E80" s="1730"/>
      <c r="F80" s="1731"/>
      <c r="G80" s="1708"/>
      <c r="H80" s="1730"/>
      <c r="I80" s="1732"/>
      <c r="J80" s="1710"/>
      <c r="K80" s="1708"/>
      <c r="L80" s="1730"/>
      <c r="M80" s="373"/>
      <c r="N80" s="373"/>
      <c r="O80" s="373"/>
      <c r="P80" s="373"/>
    </row>
    <row r="81" spans="1:16" ht="11.25" customHeight="1">
      <c r="A81" s="1776"/>
      <c r="B81" s="294"/>
      <c r="C81" s="1708"/>
      <c r="D81" s="1708"/>
      <c r="E81" s="1730"/>
      <c r="F81" s="1731"/>
      <c r="G81" s="1708"/>
      <c r="H81" s="1730"/>
      <c r="I81" s="1732"/>
      <c r="J81" s="1710"/>
      <c r="K81" s="1708"/>
      <c r="L81" s="1730"/>
      <c r="M81" s="373"/>
      <c r="N81" s="373"/>
      <c r="O81" s="373"/>
      <c r="P81" s="373"/>
    </row>
    <row r="82" spans="1:16" ht="11.25" customHeight="1">
      <c r="A82" s="1776"/>
      <c r="B82" s="294"/>
      <c r="C82" s="1708"/>
      <c r="D82" s="1708"/>
      <c r="E82" s="1730"/>
      <c r="F82" s="1731"/>
      <c r="G82" s="1708"/>
      <c r="H82" s="1730"/>
      <c r="I82" s="1732"/>
      <c r="J82" s="1710"/>
      <c r="K82" s="1708"/>
      <c r="L82" s="1730"/>
      <c r="M82" s="373"/>
      <c r="N82" s="373"/>
      <c r="O82" s="373"/>
      <c r="P82" s="373"/>
    </row>
    <row r="83" spans="1:16" ht="11.25" customHeight="1">
      <c r="A83" s="1776"/>
      <c r="B83" s="294"/>
      <c r="C83" s="1708"/>
      <c r="D83" s="1708"/>
      <c r="E83" s="1730"/>
      <c r="F83" s="1731"/>
      <c r="G83" s="1708"/>
      <c r="H83" s="1730"/>
      <c r="I83" s="1732"/>
      <c r="J83" s="1710"/>
      <c r="K83" s="1708"/>
      <c r="L83" s="1730"/>
      <c r="M83" s="373"/>
      <c r="N83" s="373"/>
      <c r="O83" s="373"/>
      <c r="P83" s="373"/>
    </row>
    <row r="84" spans="1:16" ht="11.25" customHeight="1">
      <c r="A84" s="1776"/>
      <c r="B84" s="294"/>
      <c r="C84" s="1708"/>
      <c r="D84" s="1708"/>
      <c r="E84" s="1730"/>
      <c r="F84" s="1731"/>
      <c r="G84" s="1708"/>
      <c r="H84" s="1730"/>
      <c r="I84" s="1732"/>
      <c r="J84" s="1710"/>
      <c r="K84" s="1708"/>
      <c r="L84" s="1730"/>
      <c r="M84" s="373"/>
      <c r="N84" s="373"/>
      <c r="O84" s="373"/>
      <c r="P84" s="373"/>
    </row>
    <row r="85" spans="1:16" ht="11.25" customHeight="1">
      <c r="A85" s="1776"/>
      <c r="B85" s="294"/>
      <c r="C85" s="1708"/>
      <c r="D85" s="1708"/>
      <c r="E85" s="1730"/>
      <c r="F85" s="1731"/>
      <c r="G85" s="1708"/>
      <c r="H85" s="1730"/>
      <c r="I85" s="1732"/>
      <c r="J85" s="1710"/>
      <c r="K85" s="1708"/>
      <c r="L85" s="1730"/>
      <c r="M85" s="373"/>
      <c r="N85" s="373"/>
      <c r="O85" s="373"/>
      <c r="P85" s="373"/>
    </row>
    <row r="86" spans="1:16" ht="11.25" customHeight="1">
      <c r="A86" s="1776"/>
      <c r="B86" s="294"/>
      <c r="C86" s="1708"/>
      <c r="D86" s="1708"/>
      <c r="E86" s="1730"/>
      <c r="F86" s="1731"/>
      <c r="G86" s="1708"/>
      <c r="H86" s="1730"/>
      <c r="I86" s="1732"/>
      <c r="J86" s="1710"/>
      <c r="K86" s="1708"/>
      <c r="L86" s="1730"/>
      <c r="M86" s="373"/>
      <c r="N86" s="373"/>
      <c r="O86" s="373"/>
      <c r="P86" s="373"/>
    </row>
    <row r="87" spans="1:16" ht="11.25" customHeight="1">
      <c r="A87" s="1776"/>
      <c r="B87" s="294"/>
      <c r="C87" s="1708"/>
      <c r="D87" s="1708"/>
      <c r="E87" s="1730"/>
      <c r="F87" s="1731"/>
      <c r="G87" s="1708"/>
      <c r="H87" s="1730"/>
      <c r="I87" s="1732"/>
      <c r="J87" s="1710"/>
      <c r="K87" s="1708"/>
      <c r="L87" s="1730"/>
      <c r="M87" s="373"/>
      <c r="N87" s="373"/>
      <c r="O87" s="373"/>
      <c r="P87" s="373"/>
    </row>
    <row r="88" spans="1:16" ht="11.25" customHeight="1">
      <c r="A88" s="1776"/>
      <c r="B88" s="294"/>
      <c r="C88" s="1708"/>
      <c r="D88" s="1708"/>
      <c r="E88" s="1730"/>
      <c r="F88" s="1731"/>
      <c r="G88" s="1708"/>
      <c r="H88" s="1730"/>
      <c r="I88" s="1732"/>
      <c r="J88" s="1710"/>
      <c r="K88" s="1708"/>
      <c r="L88" s="1730"/>
      <c r="M88" s="373"/>
      <c r="N88" s="373"/>
      <c r="O88" s="373"/>
      <c r="P88" s="373"/>
    </row>
    <row r="89" spans="1:16" ht="11.25" customHeight="1">
      <c r="A89" s="1776"/>
      <c r="B89" s="294"/>
      <c r="C89" s="1708"/>
      <c r="D89" s="1708"/>
      <c r="E89" s="1730"/>
      <c r="F89" s="1731"/>
      <c r="G89" s="1708"/>
      <c r="H89" s="1730"/>
      <c r="I89" s="1732"/>
      <c r="J89" s="1710"/>
      <c r="K89" s="1708"/>
      <c r="L89" s="1730"/>
      <c r="M89" s="373"/>
      <c r="N89" s="373"/>
      <c r="O89" s="373"/>
      <c r="P89" s="373"/>
    </row>
    <row r="90" spans="1:16" ht="11.25" customHeight="1">
      <c r="A90" s="1776"/>
      <c r="B90" s="294"/>
      <c r="C90" s="1708"/>
      <c r="D90" s="1708"/>
      <c r="E90" s="1730"/>
      <c r="F90" s="1731"/>
      <c r="G90" s="1708"/>
      <c r="H90" s="1730"/>
      <c r="I90" s="1732"/>
      <c r="J90" s="1710"/>
      <c r="K90" s="1708"/>
      <c r="L90" s="1730"/>
      <c r="M90" s="373"/>
      <c r="N90" s="373"/>
      <c r="O90" s="373"/>
      <c r="P90" s="373"/>
    </row>
    <row r="91" spans="1:16" ht="11.25" customHeight="1">
      <c r="A91" s="1776"/>
      <c r="B91" s="294"/>
      <c r="C91" s="1708"/>
      <c r="D91" s="1708"/>
      <c r="E91" s="1730"/>
      <c r="F91" s="1731"/>
      <c r="G91" s="1708"/>
      <c r="H91" s="1730"/>
      <c r="I91" s="1732"/>
      <c r="J91" s="1710"/>
      <c r="K91" s="1708"/>
      <c r="L91" s="1730"/>
      <c r="M91" s="373"/>
      <c r="N91" s="373"/>
      <c r="O91" s="373"/>
      <c r="P91" s="373"/>
    </row>
    <row r="92" spans="1:16" ht="11.25" customHeight="1">
      <c r="A92" s="1776"/>
      <c r="B92" s="294"/>
      <c r="C92" s="1708"/>
      <c r="D92" s="1708"/>
      <c r="E92" s="1730"/>
      <c r="F92" s="1731"/>
      <c r="G92" s="1708"/>
      <c r="H92" s="1730"/>
      <c r="I92" s="1732"/>
      <c r="J92" s="1710"/>
      <c r="K92" s="1708"/>
      <c r="L92" s="1730"/>
      <c r="M92" s="373"/>
      <c r="N92" s="373"/>
      <c r="O92" s="373"/>
      <c r="P92" s="373"/>
    </row>
    <row r="93" spans="1:16" ht="11.25" customHeight="1">
      <c r="A93" s="1776"/>
      <c r="B93" s="294"/>
      <c r="C93" s="1708"/>
      <c r="D93" s="1708"/>
      <c r="E93" s="1730"/>
      <c r="F93" s="1731"/>
      <c r="G93" s="1708"/>
      <c r="H93" s="1730"/>
      <c r="I93" s="1732"/>
      <c r="J93" s="1710"/>
      <c r="K93" s="1708"/>
      <c r="L93" s="1730"/>
      <c r="M93" s="373"/>
      <c r="N93" s="373"/>
      <c r="O93" s="373"/>
      <c r="P93" s="373"/>
    </row>
    <row r="94" spans="1:16" ht="11.25" customHeight="1">
      <c r="A94" s="1776"/>
      <c r="B94" s="294"/>
      <c r="C94" s="1708"/>
      <c r="D94" s="1708"/>
      <c r="E94" s="1730"/>
      <c r="F94" s="1731"/>
      <c r="G94" s="1708"/>
      <c r="H94" s="1730"/>
      <c r="I94" s="1732"/>
      <c r="J94" s="1710"/>
      <c r="K94" s="1708"/>
      <c r="L94" s="1730"/>
      <c r="M94" s="373"/>
      <c r="N94" s="373"/>
      <c r="O94" s="373"/>
      <c r="P94" s="373"/>
    </row>
    <row r="95" spans="1:16" ht="11.25" customHeight="1">
      <c r="A95" s="1776"/>
      <c r="B95" s="294"/>
      <c r="C95" s="1708"/>
      <c r="D95" s="1708"/>
      <c r="E95" s="1730"/>
      <c r="F95" s="1731"/>
      <c r="G95" s="1708"/>
      <c r="H95" s="1730"/>
      <c r="I95" s="1732"/>
      <c r="J95" s="1710"/>
      <c r="K95" s="1708"/>
      <c r="L95" s="1730"/>
      <c r="M95" s="373"/>
      <c r="N95" s="373"/>
      <c r="O95" s="373"/>
      <c r="P95" s="373"/>
    </row>
    <row r="96" spans="1:16" ht="11.25" customHeight="1">
      <c r="A96" s="1776"/>
      <c r="B96" s="294"/>
      <c r="C96" s="1708"/>
      <c r="D96" s="1708"/>
      <c r="E96" s="1730"/>
      <c r="F96" s="1731"/>
      <c r="G96" s="1708"/>
      <c r="H96" s="1730"/>
      <c r="I96" s="1732"/>
      <c r="J96" s="1710"/>
      <c r="K96" s="1708"/>
      <c r="L96" s="1730"/>
      <c r="M96" s="373"/>
      <c r="N96" s="373"/>
      <c r="O96" s="373"/>
      <c r="P96" s="373"/>
    </row>
    <row r="97" spans="1:16" ht="11.25" customHeight="1">
      <c r="A97" s="1776"/>
      <c r="B97" s="294"/>
      <c r="C97" s="1708"/>
      <c r="D97" s="1708"/>
      <c r="E97" s="1730"/>
      <c r="F97" s="1731"/>
      <c r="G97" s="1708"/>
      <c r="H97" s="1730"/>
      <c r="I97" s="1732"/>
      <c r="J97" s="1710"/>
      <c r="K97" s="1708"/>
      <c r="L97" s="1730"/>
      <c r="M97" s="373"/>
      <c r="N97" s="373"/>
      <c r="O97" s="373"/>
      <c r="P97" s="373"/>
    </row>
    <row r="98" spans="1:16" ht="11.25" customHeight="1">
      <c r="A98" s="1629" t="s">
        <v>141</v>
      </c>
      <c r="B98" s="294">
        <v>1</v>
      </c>
      <c r="C98" s="214">
        <f t="shared" ref="C98:L98" si="16">SUM(C73:C97)</f>
        <v>12264640</v>
      </c>
      <c r="D98" s="214">
        <f t="shared" si="16"/>
        <v>10888920</v>
      </c>
      <c r="E98" s="215">
        <f t="shared" si="16"/>
        <v>14690414</v>
      </c>
      <c r="F98" s="216">
        <f t="shared" si="16"/>
        <v>10009000</v>
      </c>
      <c r="G98" s="214">
        <f t="shared" si="16"/>
        <v>8550000</v>
      </c>
      <c r="H98" s="215">
        <f t="shared" si="16"/>
        <v>8550000</v>
      </c>
      <c r="I98" s="213">
        <f t="shared" si="16"/>
        <v>8550000</v>
      </c>
      <c r="J98" s="217">
        <f t="shared" si="16"/>
        <v>16050000</v>
      </c>
      <c r="K98" s="214">
        <f t="shared" si="16"/>
        <v>5377119</v>
      </c>
      <c r="L98" s="215">
        <f t="shared" si="16"/>
        <v>5635221</v>
      </c>
      <c r="M98" s="373"/>
      <c r="N98" s="373"/>
      <c r="O98" s="373"/>
      <c r="P98" s="373"/>
    </row>
    <row r="99" spans="1:16" ht="11.25" customHeight="1">
      <c r="A99" s="420" t="s">
        <v>1603</v>
      </c>
      <c r="B99" s="294"/>
      <c r="C99" s="219"/>
      <c r="D99" s="219"/>
      <c r="E99" s="220"/>
      <c r="F99" s="221"/>
      <c r="G99" s="219"/>
      <c r="H99" s="220"/>
      <c r="I99" s="218"/>
      <c r="J99" s="222"/>
      <c r="K99" s="219"/>
      <c r="L99" s="220"/>
      <c r="M99" s="373"/>
      <c r="N99" s="373"/>
      <c r="O99" s="373"/>
      <c r="P99" s="373"/>
    </row>
    <row r="100" spans="1:16" ht="11.25" customHeight="1">
      <c r="A100" s="421" t="s">
        <v>690</v>
      </c>
      <c r="B100" s="294"/>
      <c r="C100" s="1743"/>
      <c r="D100" s="1743"/>
      <c r="E100" s="1744"/>
      <c r="F100" s="1745"/>
      <c r="G100" s="1743"/>
      <c r="H100" s="1744"/>
      <c r="I100" s="1746"/>
      <c r="J100" s="1749"/>
      <c r="K100" s="1743"/>
      <c r="L100" s="1744"/>
      <c r="M100" s="373"/>
      <c r="N100" s="373"/>
      <c r="O100" s="373"/>
      <c r="P100" s="373"/>
    </row>
    <row r="101" spans="1:16" ht="11.25" customHeight="1">
      <c r="A101" s="421" t="s">
        <v>1037</v>
      </c>
      <c r="B101" s="294"/>
      <c r="C101" s="1743"/>
      <c r="D101" s="1743"/>
      <c r="E101" s="1744"/>
      <c r="F101" s="1745"/>
      <c r="G101" s="1743"/>
      <c r="H101" s="1744"/>
      <c r="I101" s="1746"/>
      <c r="J101" s="1749"/>
      <c r="K101" s="1743"/>
      <c r="L101" s="1744"/>
      <c r="M101" s="373"/>
      <c r="N101" s="373"/>
      <c r="O101" s="373"/>
      <c r="P101" s="373"/>
    </row>
    <row r="102" spans="1:16" ht="11.25" customHeight="1">
      <c r="A102" s="421" t="s">
        <v>1038</v>
      </c>
      <c r="B102" s="294"/>
      <c r="C102" s="1743"/>
      <c r="D102" s="1743"/>
      <c r="E102" s="1744"/>
      <c r="F102" s="1745"/>
      <c r="G102" s="1743"/>
      <c r="H102" s="1744"/>
      <c r="I102" s="1746"/>
      <c r="J102" s="1749"/>
      <c r="K102" s="1743"/>
      <c r="L102" s="1744"/>
      <c r="M102" s="373"/>
      <c r="N102" s="373"/>
      <c r="O102" s="373"/>
      <c r="P102" s="373"/>
    </row>
    <row r="103" spans="1:16" ht="11.25" customHeight="1">
      <c r="A103" s="421" t="s">
        <v>301</v>
      </c>
      <c r="B103" s="294"/>
      <c r="C103" s="1743"/>
      <c r="D103" s="1743"/>
      <c r="E103" s="1744"/>
      <c r="F103" s="1745"/>
      <c r="G103" s="1743"/>
      <c r="H103" s="1744"/>
      <c r="I103" s="1746"/>
      <c r="J103" s="1749"/>
      <c r="K103" s="1743"/>
      <c r="L103" s="1744"/>
      <c r="M103" s="373"/>
      <c r="N103" s="373"/>
      <c r="O103" s="373"/>
      <c r="P103" s="373"/>
    </row>
    <row r="104" spans="1:16" ht="11.25" customHeight="1">
      <c r="A104" s="1229" t="s">
        <v>1604</v>
      </c>
      <c r="B104" s="294"/>
      <c r="C104" s="214">
        <f>SUM(C98:C103)</f>
        <v>12264640</v>
      </c>
      <c r="D104" s="214">
        <f t="shared" ref="D104:L104" si="17">SUM(D98:D103)</f>
        <v>10888920</v>
      </c>
      <c r="E104" s="215">
        <f t="shared" si="17"/>
        <v>14690414</v>
      </c>
      <c r="F104" s="216">
        <f t="shared" si="17"/>
        <v>10009000</v>
      </c>
      <c r="G104" s="214">
        <f t="shared" si="17"/>
        <v>8550000</v>
      </c>
      <c r="H104" s="215">
        <f t="shared" si="17"/>
        <v>8550000</v>
      </c>
      <c r="I104" s="213">
        <f t="shared" si="17"/>
        <v>8550000</v>
      </c>
      <c r="J104" s="217">
        <f t="shared" si="17"/>
        <v>16050000</v>
      </c>
      <c r="K104" s="214">
        <f t="shared" si="17"/>
        <v>5377119</v>
      </c>
      <c r="L104" s="215">
        <f t="shared" si="17"/>
        <v>5635221</v>
      </c>
      <c r="M104" s="373"/>
      <c r="N104" s="373"/>
      <c r="O104" s="373"/>
      <c r="P104" s="373"/>
    </row>
    <row r="105" spans="1:16" ht="5.0999999999999996" customHeight="1">
      <c r="A105" s="202"/>
      <c r="B105" s="294"/>
      <c r="C105" s="204"/>
      <c r="D105" s="204"/>
      <c r="E105" s="205"/>
      <c r="F105" s="206"/>
      <c r="G105" s="204"/>
      <c r="H105" s="205"/>
      <c r="I105" s="203"/>
      <c r="J105" s="207"/>
      <c r="K105" s="204"/>
      <c r="L105" s="205"/>
      <c r="M105" s="373"/>
      <c r="N105" s="373"/>
      <c r="O105" s="373"/>
      <c r="P105" s="373"/>
    </row>
    <row r="106" spans="1:16" ht="11.25" customHeight="1">
      <c r="A106" s="182" t="s">
        <v>40</v>
      </c>
      <c r="B106" s="296"/>
      <c r="C106" s="204"/>
      <c r="D106" s="204"/>
      <c r="E106" s="205"/>
      <c r="F106" s="206"/>
      <c r="G106" s="204"/>
      <c r="H106" s="205"/>
      <c r="I106" s="203"/>
      <c r="J106" s="207"/>
      <c r="K106" s="204"/>
      <c r="L106" s="205"/>
      <c r="M106" s="373"/>
      <c r="N106" s="373"/>
      <c r="O106" s="373"/>
      <c r="P106" s="373"/>
    </row>
    <row r="107" spans="1:16" ht="11.25" customHeight="1">
      <c r="A107" s="326" t="s">
        <v>504</v>
      </c>
      <c r="B107" s="294"/>
      <c r="C107" s="1708"/>
      <c r="D107" s="1708"/>
      <c r="E107" s="1730"/>
      <c r="F107" s="1731"/>
      <c r="G107" s="1708"/>
      <c r="H107" s="1708"/>
      <c r="I107" s="1732"/>
      <c r="J107" s="1710"/>
      <c r="K107" s="1708"/>
      <c r="L107" s="1730"/>
      <c r="M107" s="373"/>
      <c r="N107" s="373"/>
      <c r="O107" s="373"/>
      <c r="P107" s="373"/>
    </row>
    <row r="108" spans="1:16" ht="11.25" customHeight="1">
      <c r="A108" s="326" t="s">
        <v>1648</v>
      </c>
      <c r="B108" s="294"/>
      <c r="C108" s="1708"/>
      <c r="D108" s="1708"/>
      <c r="E108" s="1730"/>
      <c r="F108" s="1712">
        <v>3013000</v>
      </c>
      <c r="G108" s="1708"/>
      <c r="H108" s="1708"/>
      <c r="I108" s="1732"/>
      <c r="J108" s="1710"/>
      <c r="K108" s="1708"/>
      <c r="L108" s="1730"/>
      <c r="M108" s="373"/>
      <c r="N108" s="373"/>
      <c r="O108" s="373"/>
      <c r="P108" s="373"/>
    </row>
    <row r="109" spans="1:16" ht="11.25" customHeight="1">
      <c r="A109" s="326" t="s">
        <v>738</v>
      </c>
      <c r="B109" s="294"/>
      <c r="C109" s="1708"/>
      <c r="D109" s="1708"/>
      <c r="E109" s="1730"/>
      <c r="F109" s="1731"/>
      <c r="G109" s="1708"/>
      <c r="H109" s="1708"/>
      <c r="I109" s="1732"/>
      <c r="J109" s="1710"/>
      <c r="K109" s="1708"/>
      <c r="L109" s="1730"/>
      <c r="M109" s="373"/>
      <c r="N109" s="373"/>
      <c r="O109" s="373"/>
      <c r="P109" s="373"/>
    </row>
    <row r="110" spans="1:16" ht="11.25" customHeight="1">
      <c r="A110" s="326" t="s">
        <v>739</v>
      </c>
      <c r="B110" s="294"/>
      <c r="C110" s="1708"/>
      <c r="D110" s="1708"/>
      <c r="E110" s="1730"/>
      <c r="F110" s="1731"/>
      <c r="G110" s="1708"/>
      <c r="H110" s="1708"/>
      <c r="I110" s="1732"/>
      <c r="J110" s="1710"/>
      <c r="K110" s="1708"/>
      <c r="L110" s="1730"/>
      <c r="M110" s="373"/>
      <c r="N110" s="373"/>
      <c r="O110" s="373"/>
      <c r="P110" s="373"/>
    </row>
    <row r="111" spans="1:16" ht="11.25" customHeight="1">
      <c r="A111" s="191" t="s">
        <v>508</v>
      </c>
      <c r="B111" s="294">
        <v>3</v>
      </c>
      <c r="C111" s="1708"/>
      <c r="D111" s="1708"/>
      <c r="E111" s="1730"/>
      <c r="F111" s="1712">
        <f>457603000-1000</f>
        <v>457602000</v>
      </c>
      <c r="G111" s="1708"/>
      <c r="H111" s="1708"/>
      <c r="I111" s="1732"/>
      <c r="J111" s="1710"/>
      <c r="K111" s="1708"/>
      <c r="L111" s="1730"/>
      <c r="M111" s="373"/>
      <c r="N111" s="373"/>
      <c r="O111" s="373"/>
      <c r="P111" s="373"/>
    </row>
    <row r="112" spans="1:16" ht="11.25" customHeight="1">
      <c r="A112" s="1776" t="s">
        <v>2063</v>
      </c>
      <c r="B112" s="294"/>
      <c r="C112" s="1708"/>
      <c r="D112" s="1708"/>
      <c r="E112" s="1730"/>
      <c r="F112" s="1731"/>
      <c r="G112" s="1708"/>
      <c r="H112" s="1708"/>
      <c r="I112" s="1732"/>
      <c r="J112" s="1710"/>
      <c r="K112" s="1708"/>
      <c r="L112" s="1730"/>
      <c r="M112" s="373"/>
      <c r="N112" s="373"/>
      <c r="O112" s="373"/>
      <c r="P112" s="373"/>
    </row>
    <row r="113" spans="1:16" ht="11.25" customHeight="1">
      <c r="A113" s="2269" t="s">
        <v>2179</v>
      </c>
      <c r="B113" s="294"/>
      <c r="C113" s="1081">
        <v>60481535</v>
      </c>
      <c r="D113" s="1082">
        <v>66519016</v>
      </c>
      <c r="E113" s="1730">
        <v>65924285</v>
      </c>
      <c r="F113" s="1731"/>
      <c r="G113" s="1708"/>
      <c r="H113" s="1708"/>
      <c r="I113" s="1708"/>
      <c r="J113" s="1710"/>
      <c r="K113" s="1708"/>
      <c r="L113" s="1730"/>
      <c r="M113" s="373"/>
      <c r="N113" s="373"/>
      <c r="O113" s="373"/>
      <c r="P113" s="373"/>
    </row>
    <row r="114" spans="1:16" ht="11.25" customHeight="1">
      <c r="A114" s="2270" t="s">
        <v>2180</v>
      </c>
      <c r="B114" s="294"/>
      <c r="C114" s="1081">
        <v>15467145</v>
      </c>
      <c r="D114" s="1082">
        <v>18605153</v>
      </c>
      <c r="E114" s="1084">
        <v>19383701</v>
      </c>
      <c r="F114" s="1731"/>
      <c r="G114" s="1708">
        <v>19355784</v>
      </c>
      <c r="H114" s="1708">
        <v>19355784</v>
      </c>
      <c r="I114" s="1708">
        <v>19355784</v>
      </c>
      <c r="J114" s="1081">
        <v>20954246</v>
      </c>
      <c r="K114" s="1708">
        <v>22064821</v>
      </c>
      <c r="L114" s="1730">
        <v>23278386</v>
      </c>
      <c r="M114" s="373"/>
      <c r="N114" s="373"/>
      <c r="O114" s="373"/>
      <c r="P114" s="373"/>
    </row>
    <row r="115" spans="1:16" ht="11.25" customHeight="1">
      <c r="A115" s="2270" t="s">
        <v>2181</v>
      </c>
      <c r="B115" s="294"/>
      <c r="C115" s="1081">
        <v>10000000</v>
      </c>
      <c r="D115" s="1082">
        <v>10000000</v>
      </c>
      <c r="E115" s="1084">
        <v>250539606</v>
      </c>
      <c r="F115" s="1731"/>
      <c r="G115" s="1708">
        <v>96000000</v>
      </c>
      <c r="H115" s="1708">
        <v>96000000</v>
      </c>
      <c r="I115" s="1708">
        <v>96000000</v>
      </c>
      <c r="J115" s="1081">
        <v>160917200</v>
      </c>
      <c r="K115" s="1708">
        <v>169445812</v>
      </c>
      <c r="L115" s="1730">
        <v>178765331</v>
      </c>
      <c r="M115" s="373"/>
      <c r="N115" s="373"/>
      <c r="O115" s="373"/>
      <c r="P115" s="373"/>
    </row>
    <row r="116" spans="1:16" ht="11.25" customHeight="1">
      <c r="A116" s="2270" t="s">
        <v>2182</v>
      </c>
      <c r="B116" s="294"/>
      <c r="C116" s="1081">
        <v>1092870</v>
      </c>
      <c r="D116" s="1082">
        <v>949668</v>
      </c>
      <c r="E116" s="1084">
        <v>2460768</v>
      </c>
      <c r="F116" s="1731"/>
      <c r="G116" s="1708">
        <v>3197396</v>
      </c>
      <c r="H116" s="1708">
        <v>3197396</v>
      </c>
      <c r="I116" s="1708">
        <v>3197396</v>
      </c>
      <c r="J116" s="1081">
        <v>4006924</v>
      </c>
      <c r="K116" s="1708">
        <v>4199534</v>
      </c>
      <c r="L116" s="1730">
        <v>4401520</v>
      </c>
      <c r="M116" s="373"/>
      <c r="N116" s="373"/>
      <c r="O116" s="373"/>
      <c r="P116" s="373"/>
    </row>
    <row r="117" spans="1:16" ht="11.25" customHeight="1">
      <c r="A117" s="2270" t="s">
        <v>2183</v>
      </c>
      <c r="B117" s="294"/>
      <c r="C117" s="1081">
        <v>55028233</v>
      </c>
      <c r="D117" s="1082">
        <v>66562737</v>
      </c>
      <c r="E117" s="1084">
        <v>73753994</v>
      </c>
      <c r="F117" s="1731"/>
      <c r="G117" s="1708">
        <v>68948580</v>
      </c>
      <c r="H117" s="1708">
        <v>68948580</v>
      </c>
      <c r="I117" s="1708">
        <v>68948580</v>
      </c>
      <c r="J117" s="1081">
        <v>57747139</v>
      </c>
      <c r="K117" s="1708">
        <v>60807737</v>
      </c>
      <c r="L117" s="1730">
        <v>64152163</v>
      </c>
      <c r="M117" s="373"/>
      <c r="N117" s="373"/>
      <c r="O117" s="373"/>
      <c r="P117" s="373"/>
    </row>
    <row r="118" spans="1:16" ht="11.25" customHeight="1">
      <c r="A118" s="2270" t="s">
        <v>2184</v>
      </c>
      <c r="B118" s="294"/>
      <c r="C118" s="1081">
        <v>4392550</v>
      </c>
      <c r="D118" s="1082">
        <v>4442084</v>
      </c>
      <c r="E118" s="1084">
        <v>4342216</v>
      </c>
      <c r="F118" s="1731"/>
      <c r="G118" s="1708">
        <v>4300000</v>
      </c>
      <c r="H118" s="1708">
        <v>4300000</v>
      </c>
      <c r="I118" s="1708">
        <v>4300000</v>
      </c>
      <c r="J118" s="1081">
        <v>4500000</v>
      </c>
      <c r="K118" s="1708">
        <v>4716000</v>
      </c>
      <c r="L118" s="1730">
        <v>4942368</v>
      </c>
      <c r="M118" s="373"/>
      <c r="N118" s="373"/>
      <c r="O118" s="373"/>
      <c r="P118" s="373"/>
    </row>
    <row r="119" spans="1:16" ht="11.25" customHeight="1">
      <c r="A119" s="2270" t="s">
        <v>2185</v>
      </c>
      <c r="B119" s="294"/>
      <c r="C119" s="1081">
        <v>143365</v>
      </c>
      <c r="D119" s="1082">
        <v>0</v>
      </c>
      <c r="E119" s="1084">
        <v>0</v>
      </c>
      <c r="F119" s="1731"/>
      <c r="G119" s="1708"/>
      <c r="H119" s="1708"/>
      <c r="I119" s="1708"/>
      <c r="J119" s="1081"/>
      <c r="K119" s="1708"/>
      <c r="L119" s="1730"/>
      <c r="M119" s="373"/>
      <c r="N119" s="373"/>
      <c r="O119" s="373"/>
      <c r="P119" s="373"/>
    </row>
    <row r="120" spans="1:16" ht="11.25" customHeight="1">
      <c r="A120" s="2270" t="s">
        <v>2186</v>
      </c>
      <c r="B120" s="294"/>
      <c r="C120" s="1081">
        <v>0</v>
      </c>
      <c r="D120" s="1082">
        <v>0</v>
      </c>
      <c r="E120" s="1084">
        <v>0</v>
      </c>
      <c r="F120" s="1731"/>
      <c r="G120" s="1708">
        <v>0</v>
      </c>
      <c r="H120" s="1708">
        <v>0</v>
      </c>
      <c r="I120" s="1708">
        <v>0</v>
      </c>
      <c r="J120" s="1081"/>
      <c r="K120" s="1708"/>
      <c r="L120" s="1730"/>
      <c r="M120" s="373"/>
      <c r="N120" s="373"/>
      <c r="O120" s="373"/>
      <c r="P120" s="373"/>
    </row>
    <row r="121" spans="1:16" ht="11.25" customHeight="1">
      <c r="A121" s="2270" t="s">
        <v>2187</v>
      </c>
      <c r="B121" s="294"/>
      <c r="C121" s="1081">
        <v>57916137</v>
      </c>
      <c r="D121" s="1082">
        <v>54652069</v>
      </c>
      <c r="E121" s="1084">
        <v>48803703</v>
      </c>
      <c r="F121" s="1731"/>
      <c r="G121" s="1708">
        <v>34332551</v>
      </c>
      <c r="H121" s="1708">
        <v>34332551</v>
      </c>
      <c r="I121" s="1708">
        <v>34332551</v>
      </c>
      <c r="J121" s="1081">
        <v>39373146</v>
      </c>
      <c r="K121" s="1708">
        <v>54648432</v>
      </c>
      <c r="L121" s="1730">
        <v>57403086</v>
      </c>
      <c r="M121" s="373"/>
      <c r="N121" s="373"/>
      <c r="O121" s="373"/>
      <c r="P121" s="373"/>
    </row>
    <row r="122" spans="1:16" ht="11.25" customHeight="1">
      <c r="A122" s="2270" t="s">
        <v>2188</v>
      </c>
      <c r="B122" s="294"/>
      <c r="C122" s="1081">
        <v>0</v>
      </c>
      <c r="D122" s="1082">
        <v>52152354</v>
      </c>
      <c r="E122" s="1084">
        <v>41484730</v>
      </c>
      <c r="F122" s="1731"/>
      <c r="G122" s="1708">
        <v>53883901</v>
      </c>
      <c r="H122" s="1708">
        <v>53883901</v>
      </c>
      <c r="I122" s="1708">
        <v>53883901</v>
      </c>
      <c r="J122" s="1081"/>
      <c r="K122" s="1708"/>
      <c r="L122" s="1730"/>
      <c r="M122" s="373"/>
      <c r="N122" s="373"/>
      <c r="O122" s="373"/>
      <c r="P122" s="373"/>
    </row>
    <row r="123" spans="1:16" ht="11.25" customHeight="1">
      <c r="A123" s="2270" t="s">
        <v>2189</v>
      </c>
      <c r="B123" s="294"/>
      <c r="C123" s="1081">
        <v>0</v>
      </c>
      <c r="D123" s="1082">
        <v>19265170</v>
      </c>
      <c r="E123" s="1084">
        <v>17484593</v>
      </c>
      <c r="F123" s="1731"/>
      <c r="G123" s="1708">
        <v>20897522</v>
      </c>
      <c r="H123" s="1708">
        <v>20897522</v>
      </c>
      <c r="I123" s="1708">
        <v>20897522</v>
      </c>
      <c r="J123" s="1081"/>
      <c r="K123" s="1708"/>
      <c r="L123" s="1730"/>
      <c r="M123" s="373"/>
      <c r="N123" s="373"/>
      <c r="O123" s="373"/>
      <c r="P123" s="373"/>
    </row>
    <row r="124" spans="1:16" ht="11.25" customHeight="1">
      <c r="A124" s="2271" t="s">
        <v>508</v>
      </c>
      <c r="B124" s="294"/>
      <c r="C124" s="1081">
        <v>177292606</v>
      </c>
      <c r="D124" s="1082">
        <f>185200407+82291000</f>
        <v>267491407</v>
      </c>
      <c r="E124" s="1084">
        <f>614491855</f>
        <v>614491855</v>
      </c>
      <c r="F124" s="1731"/>
      <c r="G124" s="1708">
        <f>800385810-9150000</f>
        <v>791235810</v>
      </c>
      <c r="H124" s="1708">
        <f t="shared" ref="H124:I124" si="18">800385810-9150000</f>
        <v>791235810</v>
      </c>
      <c r="I124" s="1708">
        <f t="shared" si="18"/>
        <v>791235810</v>
      </c>
      <c r="J124" s="1081">
        <f>907978257-144905000+3058000</f>
        <v>766131257</v>
      </c>
      <c r="K124" s="1708">
        <f>981028797-143898000+800000</f>
        <v>837930797</v>
      </c>
      <c r="L124" s="1730">
        <f>989266015-152267000+900000</f>
        <v>837899015</v>
      </c>
      <c r="M124" s="373"/>
      <c r="N124" s="373"/>
      <c r="O124" s="373"/>
      <c r="P124" s="373"/>
    </row>
    <row r="125" spans="1:16" ht="11.25" customHeight="1">
      <c r="A125" s="1776"/>
      <c r="B125" s="294"/>
      <c r="C125" s="1708"/>
      <c r="D125" s="1708"/>
      <c r="E125" s="1730"/>
      <c r="F125" s="1731"/>
      <c r="G125" s="1708"/>
      <c r="H125" s="1708"/>
      <c r="I125" s="1732"/>
      <c r="J125" s="1710"/>
      <c r="K125" s="1708"/>
      <c r="L125" s="1730"/>
      <c r="M125" s="373"/>
      <c r="N125" s="373"/>
      <c r="O125" s="373"/>
      <c r="P125" s="373"/>
    </row>
    <row r="126" spans="1:16" ht="11.25" customHeight="1">
      <c r="A126" s="1776"/>
      <c r="B126" s="294"/>
      <c r="C126" s="1708"/>
      <c r="D126" s="1708"/>
      <c r="E126" s="1730"/>
      <c r="F126" s="1731"/>
      <c r="G126" s="1708"/>
      <c r="H126" s="1730"/>
      <c r="I126" s="1732"/>
      <c r="J126" s="1710"/>
      <c r="K126" s="1708"/>
      <c r="L126" s="1730"/>
      <c r="M126" s="373"/>
      <c r="N126" s="373"/>
      <c r="O126" s="373"/>
      <c r="P126" s="373"/>
    </row>
    <row r="127" spans="1:16" ht="11.25" customHeight="1">
      <c r="A127" s="1776"/>
      <c r="B127" s="294"/>
      <c r="C127" s="1708"/>
      <c r="D127" s="1708"/>
      <c r="E127" s="1730"/>
      <c r="F127" s="1731"/>
      <c r="G127" s="1708"/>
      <c r="H127" s="1730"/>
      <c r="I127" s="1732"/>
      <c r="J127" s="1710"/>
      <c r="K127" s="1708"/>
      <c r="L127" s="1730"/>
      <c r="M127" s="373"/>
      <c r="N127" s="373"/>
      <c r="O127" s="373"/>
      <c r="P127" s="373"/>
    </row>
    <row r="128" spans="1:16" ht="11.25" customHeight="1">
      <c r="A128" s="1727"/>
      <c r="B128" s="294"/>
      <c r="C128" s="1708"/>
      <c r="D128" s="1708"/>
      <c r="E128" s="1730"/>
      <c r="F128" s="1731"/>
      <c r="G128" s="1708"/>
      <c r="H128" s="1730"/>
      <c r="I128" s="1732"/>
      <c r="J128" s="1710"/>
      <c r="K128" s="1708"/>
      <c r="L128" s="1730"/>
      <c r="M128" s="373"/>
      <c r="N128" s="373"/>
      <c r="O128" s="373"/>
      <c r="P128" s="373"/>
    </row>
    <row r="129" spans="1:16" ht="11.25" customHeight="1">
      <c r="A129" s="1727"/>
      <c r="B129" s="294"/>
      <c r="C129" s="1708"/>
      <c r="D129" s="1708"/>
      <c r="E129" s="1730"/>
      <c r="F129" s="1731"/>
      <c r="G129" s="1708"/>
      <c r="H129" s="1730"/>
      <c r="I129" s="1732"/>
      <c r="J129" s="1710"/>
      <c r="K129" s="1708"/>
      <c r="L129" s="1730"/>
      <c r="M129" s="373"/>
      <c r="N129" s="373"/>
      <c r="O129" s="373"/>
      <c r="P129" s="373"/>
    </row>
    <row r="130" spans="1:16" ht="11.25" customHeight="1">
      <c r="A130" s="1727"/>
      <c r="B130" s="294"/>
      <c r="C130" s="1708"/>
      <c r="D130" s="1708"/>
      <c r="E130" s="1730"/>
      <c r="F130" s="1731"/>
      <c r="G130" s="1708"/>
      <c r="H130" s="1730"/>
      <c r="I130" s="1732"/>
      <c r="J130" s="1710"/>
      <c r="K130" s="1708"/>
      <c r="L130" s="1730"/>
      <c r="M130" s="373"/>
      <c r="N130" s="373"/>
      <c r="O130" s="373"/>
      <c r="P130" s="373"/>
    </row>
    <row r="131" spans="1:16" ht="11.25" customHeight="1">
      <c r="A131" s="1727"/>
      <c r="B131" s="294"/>
      <c r="C131" s="1708"/>
      <c r="D131" s="1708"/>
      <c r="E131" s="1730"/>
      <c r="F131" s="1731"/>
      <c r="G131" s="1708"/>
      <c r="H131" s="1730"/>
      <c r="I131" s="1732"/>
      <c r="J131" s="1710"/>
      <c r="K131" s="1708"/>
      <c r="L131" s="1730"/>
      <c r="M131" s="373"/>
      <c r="N131" s="373"/>
      <c r="O131" s="373"/>
      <c r="P131" s="373"/>
    </row>
    <row r="132" spans="1:16" ht="11.25" customHeight="1">
      <c r="A132" s="1727"/>
      <c r="B132" s="294"/>
      <c r="C132" s="1708"/>
      <c r="D132" s="1708"/>
      <c r="E132" s="1730"/>
      <c r="F132" s="1731"/>
      <c r="G132" s="1708"/>
      <c r="H132" s="1730"/>
      <c r="I132" s="1732"/>
      <c r="J132" s="1710"/>
      <c r="K132" s="1708"/>
      <c r="L132" s="1730"/>
      <c r="M132" s="373"/>
      <c r="N132" s="373"/>
      <c r="O132" s="373"/>
      <c r="P132" s="373"/>
    </row>
    <row r="133" spans="1:16" ht="11.25" customHeight="1">
      <c r="A133" s="1727"/>
      <c r="B133" s="294"/>
      <c r="C133" s="1708"/>
      <c r="D133" s="1708"/>
      <c r="E133" s="1730"/>
      <c r="F133" s="1731"/>
      <c r="G133" s="1708"/>
      <c r="H133" s="1730"/>
      <c r="I133" s="1732"/>
      <c r="J133" s="1710"/>
      <c r="K133" s="1708"/>
      <c r="L133" s="1730"/>
      <c r="M133" s="373"/>
      <c r="N133" s="373"/>
      <c r="O133" s="373"/>
      <c r="P133" s="373"/>
    </row>
    <row r="134" spans="1:16" ht="11.25" customHeight="1">
      <c r="A134" s="347" t="s">
        <v>815</v>
      </c>
      <c r="B134" s="348">
        <v>1</v>
      </c>
      <c r="C134" s="231">
        <f t="shared" ref="C134:L134" si="19">SUM(C107:C133)</f>
        <v>381814441</v>
      </c>
      <c r="D134" s="231">
        <f t="shared" si="19"/>
        <v>560639658</v>
      </c>
      <c r="E134" s="229">
        <f t="shared" si="19"/>
        <v>1138669451</v>
      </c>
      <c r="F134" s="230">
        <f t="shared" si="19"/>
        <v>460615000</v>
      </c>
      <c r="G134" s="231">
        <f t="shared" si="19"/>
        <v>1092151544</v>
      </c>
      <c r="H134" s="229">
        <f t="shared" si="19"/>
        <v>1092151544</v>
      </c>
      <c r="I134" s="232">
        <f t="shared" si="19"/>
        <v>1092151544</v>
      </c>
      <c r="J134" s="233">
        <f t="shared" si="19"/>
        <v>1053629912</v>
      </c>
      <c r="K134" s="231">
        <f t="shared" si="19"/>
        <v>1153813133</v>
      </c>
      <c r="L134" s="229">
        <f t="shared" si="19"/>
        <v>1170841869</v>
      </c>
      <c r="M134" s="373"/>
      <c r="N134" s="373"/>
      <c r="O134" s="373"/>
      <c r="P134" s="373"/>
    </row>
    <row r="135" spans="1:16" ht="11.25" customHeight="1">
      <c r="A135" s="241"/>
      <c r="B135" s="237"/>
      <c r="C135" s="218"/>
      <c r="D135" s="218"/>
      <c r="E135" s="218"/>
      <c r="F135" s="218"/>
      <c r="G135" s="218"/>
      <c r="H135" s="218"/>
      <c r="I135" s="218"/>
      <c r="J135" s="218"/>
      <c r="K135" s="218"/>
      <c r="L135" s="218"/>
      <c r="M135" s="373"/>
      <c r="N135" s="373"/>
      <c r="O135" s="373"/>
      <c r="P135" s="373"/>
    </row>
    <row r="136" spans="1:16" ht="27" customHeight="1">
      <c r="A136" s="2147" t="s">
        <v>2114</v>
      </c>
      <c r="B136" s="2168">
        <v>8</v>
      </c>
      <c r="C136" s="2148"/>
      <c r="D136" s="1685"/>
      <c r="E136" s="568"/>
      <c r="F136" s="2148"/>
      <c r="G136" s="1685"/>
      <c r="H136" s="568"/>
      <c r="I136" s="1675"/>
      <c r="J136" s="2148"/>
      <c r="K136" s="1685"/>
      <c r="L136" s="568"/>
      <c r="M136" s="373"/>
      <c r="N136" s="373"/>
      <c r="O136" s="373"/>
      <c r="P136" s="373"/>
    </row>
    <row r="137" spans="1:16" s="722" customFormat="1" ht="11.25" customHeight="1">
      <c r="A137" s="191" t="s">
        <v>503</v>
      </c>
      <c r="B137" s="1689"/>
      <c r="C137" s="1712"/>
      <c r="D137" s="1708"/>
      <c r="E137" s="1711"/>
      <c r="F137" s="1712"/>
      <c r="G137" s="1708"/>
      <c r="H137" s="1711"/>
      <c r="I137" s="1891"/>
      <c r="J137" s="1712"/>
      <c r="K137" s="1708"/>
      <c r="L137" s="1711"/>
      <c r="M137" s="1114"/>
      <c r="N137" s="1114"/>
      <c r="O137" s="1114"/>
      <c r="P137" s="1114"/>
    </row>
    <row r="138" spans="1:16" s="722" customFormat="1" ht="11.25" customHeight="1">
      <c r="A138" s="191" t="s">
        <v>1666</v>
      </c>
      <c r="B138" s="1689"/>
      <c r="C138" s="1712"/>
      <c r="D138" s="1708"/>
      <c r="E138" s="1711"/>
      <c r="F138" s="1712"/>
      <c r="G138" s="1708"/>
      <c r="H138" s="1711"/>
      <c r="I138" s="1891"/>
      <c r="J138" s="1712"/>
      <c r="K138" s="1708"/>
      <c r="L138" s="1711"/>
      <c r="M138" s="1114"/>
      <c r="N138" s="1114"/>
      <c r="O138" s="1114"/>
      <c r="P138" s="1114"/>
    </row>
    <row r="139" spans="1:16" s="722" customFormat="1" ht="11.25" customHeight="1">
      <c r="A139" s="191" t="s">
        <v>2115</v>
      </c>
      <c r="B139" s="1689"/>
      <c r="C139" s="1712"/>
      <c r="D139" s="1708"/>
      <c r="E139" s="1711"/>
      <c r="F139" s="1712"/>
      <c r="G139" s="1708"/>
      <c r="H139" s="1711"/>
      <c r="I139" s="1891"/>
      <c r="J139" s="1712"/>
      <c r="K139" s="1708"/>
      <c r="L139" s="1711"/>
      <c r="M139" s="1114"/>
      <c r="N139" s="1114"/>
      <c r="O139" s="1114"/>
      <c r="P139" s="1114"/>
    </row>
    <row r="140" spans="1:16" s="722" customFormat="1" ht="11.25" customHeight="1">
      <c r="A140" s="191" t="s">
        <v>2116</v>
      </c>
      <c r="B140" s="1689"/>
      <c r="C140" s="2158"/>
      <c r="D140" s="1754"/>
      <c r="E140" s="1759"/>
      <c r="F140" s="2158"/>
      <c r="G140" s="1754"/>
      <c r="H140" s="1759"/>
      <c r="I140" s="2159"/>
      <c r="J140" s="2158">
        <v>99213710</v>
      </c>
      <c r="K140" s="1754">
        <v>113409417</v>
      </c>
      <c r="L140" s="1759">
        <v>118870796</v>
      </c>
      <c r="M140" s="1114"/>
      <c r="N140" s="1114"/>
      <c r="O140" s="1114"/>
      <c r="P140" s="1114"/>
    </row>
    <row r="141" spans="1:16" s="722" customFormat="1" ht="11.25" customHeight="1">
      <c r="A141" s="347" t="s">
        <v>1322</v>
      </c>
      <c r="B141" s="2169">
        <v>9</v>
      </c>
      <c r="C141" s="2150">
        <f>SUM(C137:C140)</f>
        <v>0</v>
      </c>
      <c r="D141" s="436">
        <f t="shared" ref="D141:L141" si="20">SUM(D137:D140)</f>
        <v>0</v>
      </c>
      <c r="E141" s="2149">
        <f t="shared" si="20"/>
        <v>0</v>
      </c>
      <c r="F141" s="2150">
        <f t="shared" si="20"/>
        <v>0</v>
      </c>
      <c r="G141" s="436">
        <f t="shared" si="20"/>
        <v>0</v>
      </c>
      <c r="H141" s="2149">
        <f t="shared" si="20"/>
        <v>0</v>
      </c>
      <c r="I141" s="2151">
        <f t="shared" si="20"/>
        <v>0</v>
      </c>
      <c r="J141" s="2150">
        <f t="shared" si="20"/>
        <v>99213710</v>
      </c>
      <c r="K141" s="436">
        <f t="shared" si="20"/>
        <v>113409417</v>
      </c>
      <c r="L141" s="2149">
        <f t="shared" si="20"/>
        <v>118870796</v>
      </c>
      <c r="M141" s="1114"/>
      <c r="N141" s="1114"/>
      <c r="O141" s="1114"/>
      <c r="P141" s="1114"/>
    </row>
    <row r="142" spans="1:16" s="722" customFormat="1" ht="6.75" customHeight="1">
      <c r="A142" s="241"/>
      <c r="B142" s="247"/>
      <c r="C142" s="203"/>
      <c r="D142" s="203"/>
      <c r="E142" s="203"/>
      <c r="F142" s="203"/>
      <c r="G142" s="203"/>
      <c r="H142" s="203"/>
      <c r="I142" s="203"/>
      <c r="J142" s="203"/>
      <c r="K142" s="203"/>
      <c r="L142" s="203"/>
      <c r="M142" s="1114"/>
      <c r="N142" s="1114"/>
      <c r="O142" s="1114"/>
      <c r="P142" s="1114"/>
    </row>
    <row r="143" spans="1:16" s="722" customFormat="1" ht="11.25" customHeight="1">
      <c r="A143" s="321" t="s">
        <v>1661</v>
      </c>
      <c r="B143" s="150"/>
      <c r="C143" s="203">
        <f>SA34c!C77</f>
        <v>60481535</v>
      </c>
      <c r="D143" s="203">
        <f>SA34c!D77</f>
        <v>71701171</v>
      </c>
      <c r="E143" s="203">
        <f>SA34c!E77</f>
        <v>126447143</v>
      </c>
      <c r="F143" s="203">
        <f>SA34c!F77</f>
        <v>72509000</v>
      </c>
      <c r="G143" s="203">
        <f>SA34c!G77</f>
        <v>72509000</v>
      </c>
      <c r="H143" s="203">
        <f>SA34c!H77</f>
        <v>72509000</v>
      </c>
      <c r="I143" s="203"/>
      <c r="J143" s="203">
        <f>SA34c!I77</f>
        <v>99213711</v>
      </c>
      <c r="K143" s="203">
        <f>SA34c!J77</f>
        <v>113409416.12799999</v>
      </c>
      <c r="L143" s="203">
        <f>SA34c!K77</f>
        <v>118870875.742144</v>
      </c>
    </row>
    <row r="144" spans="1:16" ht="6" customHeight="1">
      <c r="A144" s="241"/>
      <c r="B144" s="237"/>
      <c r="C144" s="218"/>
      <c r="D144" s="218"/>
      <c r="E144" s="218"/>
      <c r="F144" s="218"/>
      <c r="G144" s="218"/>
      <c r="H144" s="218"/>
      <c r="I144" s="218"/>
      <c r="J144" s="218"/>
      <c r="K144" s="218"/>
      <c r="L144" s="218"/>
    </row>
    <row r="145" spans="1:12" ht="15" customHeight="1">
      <c r="A145" s="241"/>
      <c r="B145" s="237"/>
      <c r="C145" s="218"/>
      <c r="D145" s="218"/>
      <c r="E145" s="218"/>
      <c r="F145" s="218"/>
      <c r="G145" s="218"/>
      <c r="H145" s="218"/>
      <c r="I145" s="218"/>
      <c r="J145" s="218"/>
      <c r="K145" s="218"/>
      <c r="L145" s="218"/>
    </row>
    <row r="146" spans="1:12" ht="12" customHeight="1">
      <c r="A146" s="1276" t="str">
        <f>head27a</f>
        <v>References</v>
      </c>
      <c r="B146" s="1065"/>
      <c r="C146" s="1069"/>
      <c r="D146" s="1069"/>
      <c r="E146" s="1069"/>
      <c r="F146" s="1069"/>
      <c r="G146" s="1069"/>
      <c r="H146" s="1069"/>
      <c r="I146" s="1069"/>
      <c r="J146" s="1069"/>
      <c r="K146" s="1069"/>
      <c r="L146" s="1069"/>
    </row>
    <row r="147" spans="1:12">
      <c r="A147" s="1238" t="s">
        <v>816</v>
      </c>
      <c r="B147" s="1065"/>
      <c r="C147" s="1068"/>
      <c r="D147" s="1068"/>
      <c r="E147" s="1069"/>
      <c r="F147" s="1069"/>
      <c r="G147" s="1069"/>
      <c r="H147" s="1069"/>
      <c r="I147" s="1069"/>
      <c r="J147" s="1069"/>
      <c r="K147" s="1069"/>
      <c r="L147" s="1069"/>
    </row>
    <row r="148" spans="1:12">
      <c r="A148" s="1238" t="s">
        <v>1157</v>
      </c>
      <c r="B148" s="1065"/>
      <c r="C148" s="1068"/>
      <c r="D148" s="1068"/>
      <c r="E148" s="1069"/>
      <c r="F148" s="1069"/>
      <c r="G148" s="1069"/>
      <c r="H148" s="1069"/>
      <c r="I148" s="1069"/>
      <c r="J148" s="1069"/>
      <c r="K148" s="1069"/>
      <c r="L148" s="1069"/>
    </row>
    <row r="149" spans="1:12" ht="11.25" customHeight="1">
      <c r="A149" s="1238" t="s">
        <v>818</v>
      </c>
      <c r="B149" s="1065"/>
      <c r="C149" s="1068"/>
      <c r="D149" s="1068"/>
      <c r="E149" s="1069"/>
      <c r="F149" s="1069"/>
      <c r="G149" s="1069"/>
      <c r="H149" s="1069"/>
      <c r="I149" s="1069"/>
      <c r="J149" s="1069"/>
      <c r="K149" s="1069"/>
      <c r="L149" s="1069"/>
    </row>
    <row r="150" spans="1:12" ht="11.25" customHeight="1">
      <c r="A150" s="1238" t="s">
        <v>817</v>
      </c>
      <c r="B150" s="1065"/>
      <c r="C150" s="1068"/>
      <c r="D150" s="1068"/>
      <c r="E150" s="1069"/>
      <c r="F150" s="1069"/>
      <c r="G150" s="1069"/>
      <c r="H150" s="1069"/>
      <c r="I150" s="1069"/>
      <c r="J150" s="1069"/>
      <c r="K150" s="1069"/>
      <c r="L150" s="1069"/>
    </row>
    <row r="151" spans="1:12" ht="11.25" customHeight="1">
      <c r="A151" s="1238" t="s">
        <v>1394</v>
      </c>
      <c r="B151" s="1065"/>
      <c r="C151" s="1068"/>
      <c r="D151" s="1068"/>
      <c r="E151" s="1069"/>
      <c r="F151" s="1069"/>
      <c r="G151" s="1069"/>
      <c r="H151" s="1069"/>
      <c r="I151" s="1069"/>
      <c r="J151" s="1069"/>
      <c r="K151" s="1069"/>
      <c r="L151" s="1069"/>
    </row>
    <row r="152" spans="1:12" ht="11.25" customHeight="1">
      <c r="A152" s="1238" t="s">
        <v>1853</v>
      </c>
      <c r="B152" s="1065"/>
      <c r="C152" s="1068"/>
      <c r="D152" s="1068"/>
      <c r="E152" s="1069"/>
      <c r="F152" s="1069"/>
      <c r="G152" s="1069"/>
      <c r="H152" s="1069"/>
      <c r="I152" s="1069"/>
      <c r="J152" s="1069"/>
      <c r="K152" s="1069"/>
      <c r="L152" s="1069"/>
    </row>
    <row r="153" spans="1:12" ht="11.25" customHeight="1">
      <c r="A153" s="1238" t="s">
        <v>124</v>
      </c>
      <c r="B153" s="1065"/>
      <c r="C153" s="1068"/>
      <c r="D153" s="1068"/>
      <c r="E153" s="1069"/>
      <c r="F153" s="1069"/>
      <c r="G153" s="1069"/>
      <c r="H153" s="1069"/>
      <c r="I153" s="1069"/>
      <c r="J153" s="1069"/>
      <c r="K153" s="1069"/>
      <c r="L153" s="1069"/>
    </row>
    <row r="154" spans="1:12" ht="11.25" customHeight="1">
      <c r="A154" s="1211" t="s">
        <v>2118</v>
      </c>
    </row>
    <row r="155" spans="1:12" ht="11.25" customHeight="1">
      <c r="A155" s="150" t="s">
        <v>2119</v>
      </c>
    </row>
    <row r="156" spans="1:12" ht="11.25" customHeight="1">
      <c r="B156" s="150"/>
    </row>
    <row r="157" spans="1:12" ht="11.25" customHeight="1">
      <c r="B157" s="150"/>
    </row>
    <row r="158" spans="1:12" ht="11.25" customHeight="1">
      <c r="B158" s="150"/>
    </row>
    <row r="159" spans="1:12" ht="11.25" customHeight="1">
      <c r="B159" s="150"/>
    </row>
    <row r="160" spans="1:12" ht="11.25" customHeight="1">
      <c r="B160" s="150"/>
    </row>
    <row r="161" spans="2:2" ht="11.25" customHeight="1">
      <c r="B161" s="150"/>
    </row>
    <row r="162" spans="2:2" ht="11.25" customHeight="1">
      <c r="B162" s="150"/>
    </row>
    <row r="163" spans="2:2" ht="11.25" customHeight="1">
      <c r="B163" s="150"/>
    </row>
    <row r="164" spans="2:2" ht="11.25" customHeight="1">
      <c r="B164" s="150"/>
    </row>
    <row r="165" spans="2:2" ht="11.25" customHeight="1">
      <c r="B165" s="150"/>
    </row>
    <row r="166" spans="2:2" ht="11.25" customHeight="1">
      <c r="B166" s="150"/>
    </row>
    <row r="167" spans="2:2" ht="11.25" customHeight="1">
      <c r="B167" s="150"/>
    </row>
    <row r="168" spans="2:2" ht="11.25" customHeight="1">
      <c r="B168" s="150"/>
    </row>
    <row r="169" spans="2:2" ht="11.25" customHeight="1">
      <c r="B169" s="150"/>
    </row>
    <row r="170" spans="2:2" ht="11.25" customHeight="1">
      <c r="B170" s="150"/>
    </row>
    <row r="171" spans="2:2" ht="11.25" customHeight="1">
      <c r="B171" s="150"/>
    </row>
    <row r="172" spans="2:2" ht="11.25" customHeight="1">
      <c r="B172" s="150"/>
    </row>
    <row r="173" spans="2:2" ht="11.25" customHeight="1">
      <c r="B173" s="150"/>
    </row>
    <row r="174" spans="2:2" ht="11.25" customHeight="1">
      <c r="B174" s="150"/>
    </row>
    <row r="175" spans="2:2" ht="11.25" customHeight="1">
      <c r="B175" s="150"/>
    </row>
    <row r="176" spans="2:2" ht="11.25" customHeight="1">
      <c r="B176" s="150"/>
    </row>
    <row r="177" spans="2:2" ht="11.25" customHeight="1">
      <c r="B177" s="150"/>
    </row>
    <row r="178" spans="2:2" ht="11.25" customHeight="1">
      <c r="B178" s="150"/>
    </row>
    <row r="179" spans="2:2" ht="11.25" customHeight="1">
      <c r="B179" s="150"/>
    </row>
    <row r="180" spans="2:2" ht="11.25" customHeight="1">
      <c r="B180" s="150"/>
    </row>
    <row r="181" spans="2:2" ht="11.25" customHeight="1">
      <c r="B181" s="150"/>
    </row>
    <row r="182" spans="2:2" ht="11.25" customHeight="1">
      <c r="B182" s="150"/>
    </row>
    <row r="183" spans="2:2" ht="11.25" customHeight="1">
      <c r="B183" s="150"/>
    </row>
    <row r="184" spans="2:2" ht="11.25" customHeight="1">
      <c r="B184" s="150"/>
    </row>
    <row r="185" spans="2:2" ht="11.25" customHeight="1">
      <c r="B185" s="150"/>
    </row>
    <row r="186" spans="2:2" ht="11.25" customHeight="1">
      <c r="B186" s="150"/>
    </row>
    <row r="187" spans="2:2" ht="11.25" customHeight="1">
      <c r="B187" s="150"/>
    </row>
    <row r="188" spans="2:2" ht="11.25" customHeight="1">
      <c r="B188" s="150"/>
    </row>
    <row r="189" spans="2:2" ht="11.25" customHeight="1">
      <c r="B189" s="150"/>
    </row>
    <row r="190" spans="2:2" ht="11.25" customHeight="1">
      <c r="B190" s="150"/>
    </row>
    <row r="191" spans="2:2" ht="11.25" customHeight="1">
      <c r="B191" s="150"/>
    </row>
    <row r="192" spans="2:2" ht="11.25" customHeight="1">
      <c r="B192" s="150"/>
    </row>
    <row r="193" spans="2:2" ht="11.25" customHeight="1">
      <c r="B193" s="150"/>
    </row>
    <row r="194" spans="2:2" ht="11.25" customHeight="1">
      <c r="B194" s="150"/>
    </row>
    <row r="195" spans="2:2" ht="11.25" customHeight="1">
      <c r="B195" s="150"/>
    </row>
    <row r="196" spans="2:2" ht="11.25" customHeight="1">
      <c r="B196" s="150"/>
    </row>
    <row r="197" spans="2:2" ht="11.25" customHeight="1">
      <c r="B197" s="150"/>
    </row>
    <row r="198" spans="2:2" ht="11.25" customHeight="1">
      <c r="B198" s="150"/>
    </row>
    <row r="199" spans="2:2" ht="11.25" customHeight="1">
      <c r="B199" s="150"/>
    </row>
    <row r="200" spans="2:2" ht="11.25" customHeight="1">
      <c r="B200" s="150"/>
    </row>
    <row r="201" spans="2:2" ht="11.25" customHeight="1">
      <c r="B201" s="150"/>
    </row>
    <row r="202" spans="2:2" ht="11.25" customHeight="1">
      <c r="B202" s="150"/>
    </row>
    <row r="203" spans="2:2" ht="11.25" customHeight="1">
      <c r="B203" s="150"/>
    </row>
    <row r="204" spans="2:2" ht="11.25" customHeight="1">
      <c r="B204" s="150"/>
    </row>
    <row r="205" spans="2:2" ht="11.25" customHeight="1">
      <c r="B205" s="150"/>
    </row>
    <row r="206" spans="2:2" ht="11.25" customHeight="1">
      <c r="B206" s="150"/>
    </row>
    <row r="207" spans="2:2" ht="11.25" customHeight="1">
      <c r="B207" s="150"/>
    </row>
    <row r="208" spans="2:2" ht="11.25" customHeight="1">
      <c r="B208" s="150"/>
    </row>
    <row r="209" spans="2:2" ht="11.25" customHeight="1">
      <c r="B209" s="150"/>
    </row>
    <row r="210" spans="2:2">
      <c r="B210" s="150"/>
    </row>
    <row r="211" spans="2:2">
      <c r="B211" s="150"/>
    </row>
    <row r="212" spans="2:2">
      <c r="B212" s="150"/>
    </row>
    <row r="213" spans="2:2">
      <c r="B213" s="150"/>
    </row>
    <row r="214" spans="2:2">
      <c r="B214" s="150"/>
    </row>
    <row r="215" spans="2:2">
      <c r="B215" s="150"/>
    </row>
    <row r="216" spans="2:2">
      <c r="B216" s="150"/>
    </row>
    <row r="217" spans="2:2">
      <c r="B217" s="150"/>
    </row>
    <row r="218" spans="2:2">
      <c r="B218" s="150"/>
    </row>
    <row r="219" spans="2:2">
      <c r="B219" s="150"/>
    </row>
    <row r="220" spans="2:2">
      <c r="B220" s="150"/>
    </row>
    <row r="221" spans="2:2">
      <c r="B221" s="150"/>
    </row>
    <row r="222" spans="2:2">
      <c r="B222" s="150"/>
    </row>
    <row r="223" spans="2:2">
      <c r="B223" s="150"/>
    </row>
    <row r="224" spans="2:2">
      <c r="B224" s="150"/>
    </row>
    <row r="225" spans="2:2">
      <c r="B225" s="150"/>
    </row>
    <row r="226" spans="2:2">
      <c r="B226" s="150"/>
    </row>
    <row r="227" spans="2:2">
      <c r="B227" s="150"/>
    </row>
    <row r="228" spans="2:2">
      <c r="B228" s="150"/>
    </row>
    <row r="229" spans="2:2">
      <c r="B229" s="150"/>
    </row>
    <row r="230" spans="2:2">
      <c r="B230" s="150"/>
    </row>
    <row r="231" spans="2:2">
      <c r="B231" s="150"/>
    </row>
    <row r="232" spans="2:2">
      <c r="B232" s="150"/>
    </row>
    <row r="233" spans="2:2">
      <c r="B233" s="150"/>
    </row>
    <row r="234" spans="2:2">
      <c r="B234" s="150"/>
    </row>
    <row r="235" spans="2:2">
      <c r="B235" s="150"/>
    </row>
    <row r="236" spans="2:2">
      <c r="B236" s="150"/>
    </row>
    <row r="237" spans="2:2">
      <c r="B237" s="150"/>
    </row>
    <row r="238" spans="2:2">
      <c r="B238" s="150"/>
    </row>
    <row r="239" spans="2:2">
      <c r="B239" s="150"/>
    </row>
    <row r="240" spans="2:2">
      <c r="B240" s="150"/>
    </row>
    <row r="241" spans="2:2">
      <c r="B241" s="150"/>
    </row>
    <row r="242" spans="2:2">
      <c r="B242" s="150"/>
    </row>
    <row r="243" spans="2:2">
      <c r="B243" s="150"/>
    </row>
    <row r="244" spans="2:2">
      <c r="B244" s="150"/>
    </row>
    <row r="245" spans="2:2">
      <c r="B245" s="150"/>
    </row>
    <row r="246" spans="2:2">
      <c r="B246" s="150"/>
    </row>
    <row r="247" spans="2:2">
      <c r="B247" s="150"/>
    </row>
    <row r="248" spans="2:2">
      <c r="B248" s="150"/>
    </row>
    <row r="249" spans="2:2">
      <c r="B249" s="150"/>
    </row>
    <row r="250" spans="2:2">
      <c r="B250" s="150"/>
    </row>
    <row r="251" spans="2:2">
      <c r="B251" s="150"/>
    </row>
    <row r="252" spans="2:2">
      <c r="B252" s="150"/>
    </row>
    <row r="253" spans="2:2">
      <c r="B253" s="150"/>
    </row>
    <row r="254" spans="2:2">
      <c r="B254" s="150"/>
    </row>
    <row r="255" spans="2:2">
      <c r="B255" s="150"/>
    </row>
    <row r="256" spans="2:2">
      <c r="B256" s="150"/>
    </row>
  </sheetData>
  <sheetProtection password="A35B" sheet="1" objects="1" scenarios="1"/>
  <mergeCells count="4">
    <mergeCell ref="J2:L2"/>
    <mergeCell ref="F2:I2"/>
    <mergeCell ref="A2:A3"/>
    <mergeCell ref="B2:B3"/>
  </mergeCells>
  <phoneticPr fontId="2" type="noConversion"/>
  <dataValidations count="2">
    <dataValidation type="whole" allowBlank="1" showInputMessage="1" showErrorMessage="1" sqref="C7:L8 C12:L13 C17:L18 C22:L23 C27:L29 C33:L34 C39:L47 C49:L49 C53:L58 C62:L64 C68:L69 C73:L97 C100:L103">
      <formula1>-99999999999999900000</formula1>
      <formula2>9.99999999999999E+21</formula2>
    </dataValidation>
    <dataValidation type="whole" allowBlank="1" showInputMessage="1" showErrorMessage="1" sqref="C107:L133">
      <formula1>-99999999999</formula1>
      <formula2>99999999999</formula2>
    </dataValidation>
  </dataValidations>
  <printOptions horizontalCentered="1"/>
  <pageMargins left="0" right="0" top="0.78740157480314965" bottom="0.59055118110236227" header="0.51181102362204722" footer="0.39370078740157483"/>
  <pageSetup paperSize="9" scale="4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workbookViewId="0">
      <pane xSplit="2" ySplit="3" topLeftCell="K22" activePane="bottomRight" state="frozen"/>
      <selection activeCell="O37" sqref="A1:IV65536"/>
      <selection pane="topRight" activeCell="O37" sqref="A1:IV65536"/>
      <selection pane="bottomLeft" activeCell="O37" sqref="A1:IV65536"/>
      <selection pane="bottomRight" activeCell="E35" sqref="E35"/>
    </sheetView>
  </sheetViews>
  <sheetFormatPr defaultRowHeight="12.75"/>
  <cols>
    <col min="1" max="1" width="30.7109375" style="150" customWidth="1"/>
    <col min="2" max="2" width="3" style="248" customWidth="1"/>
    <col min="3" max="18" width="9.28515625" style="150" customWidth="1"/>
    <col min="19" max="20" width="9.140625" style="150"/>
    <col min="21" max="21" width="9.85546875" style="150" customWidth="1"/>
    <col min="22" max="22" width="9.5703125" style="150" customWidth="1"/>
    <col min="23" max="23" width="9.85546875" style="150" customWidth="1"/>
    <col min="24" max="26" width="9.5703125" style="150" customWidth="1"/>
    <col min="27" max="27" width="9.85546875" style="150" customWidth="1"/>
    <col min="28" max="30" width="9.5703125" style="150" customWidth="1"/>
    <col min="31" max="32" width="9.85546875" style="150" customWidth="1"/>
    <col min="33" max="16384" width="9.140625" style="150"/>
  </cols>
  <sheetData>
    <row r="1" spans="1:19" s="180" customFormat="1">
      <c r="A1" s="148" t="str">
        <f>muni&amp;" - "&amp;TableA2</f>
        <v>KZN225 Msunduzi - Supporting Table SA2 Matrix Financial Performance Budget (revenue source/expenditure type and dept.)</v>
      </c>
      <c r="B1" s="148"/>
      <c r="C1" s="148"/>
      <c r="D1" s="148"/>
      <c r="E1" s="148"/>
      <c r="F1" s="148"/>
      <c r="G1" s="148"/>
      <c r="H1" s="148"/>
      <c r="I1" s="148"/>
      <c r="J1" s="148"/>
      <c r="K1" s="148"/>
      <c r="L1" s="148"/>
      <c r="M1" s="148"/>
      <c r="N1" s="148"/>
      <c r="O1" s="148"/>
      <c r="P1" s="148"/>
      <c r="Q1" s="148"/>
      <c r="R1" s="148"/>
    </row>
    <row r="2" spans="1:19" s="373" customFormat="1" ht="43.5" customHeight="1">
      <c r="A2" s="143" t="str">
        <f>desc</f>
        <v>Description</v>
      </c>
      <c r="B2" s="422" t="str">
        <f>head27</f>
        <v>Ref</v>
      </c>
      <c r="C2" s="2443" t="str">
        <f>'A3-FinPerf V'!A5</f>
        <v>Vote 1 - Corporate Services and Planning</v>
      </c>
      <c r="D2" s="2443" t="str">
        <f>'A3-FinPerf V'!A6</f>
        <v>Vote 2 - Financial Management Area</v>
      </c>
      <c r="E2" s="2443" t="str">
        <f>'A3-FinPerf V'!A7</f>
        <v>Vote 3 - Infrastructure Development, Service Delivery and Maintenance Management</v>
      </c>
      <c r="F2" s="2443" t="str">
        <f>'A3-FinPerf V'!A8</f>
        <v>Vote 4 - Sustainable Community Service Delivery Provision Management</v>
      </c>
      <c r="G2" s="2443" t="str">
        <f>'A3-FinPerf V'!A9</f>
        <v>Example 5 - Vote5</v>
      </c>
      <c r="H2" s="2443" t="str">
        <f>'A3-FinPerf V'!A10</f>
        <v>Example 6 - Vote6</v>
      </c>
      <c r="I2" s="2443" t="str">
        <f>'A3-FinPerf V'!A11</f>
        <v>Example 7 - Vote7</v>
      </c>
      <c r="J2" s="2443" t="str">
        <f>'A3-FinPerf V'!A12</f>
        <v>Example 8 - Vote8</v>
      </c>
      <c r="K2" s="2443" t="str">
        <f>'A3-FinPerf V'!A13</f>
        <v>Example 9 - Vote9</v>
      </c>
      <c r="L2" s="2443" t="str">
        <f>'A3-FinPerf V'!A14</f>
        <v>Example 10 - Vote10</v>
      </c>
      <c r="M2" s="2443" t="str">
        <f>'A3-FinPerf V'!A15</f>
        <v>Example 11 - Vote11</v>
      </c>
      <c r="N2" s="2443" t="str">
        <f>'A3-FinPerf V'!A16</f>
        <v>Example 12 - Vote12</v>
      </c>
      <c r="O2" s="2443" t="str">
        <f>'A3-FinPerf V'!A17</f>
        <v>Example 13 - Vote13</v>
      </c>
      <c r="P2" s="2443" t="str">
        <f>'A3-FinPerf V'!A18</f>
        <v>Example 14 - Vote14</v>
      </c>
      <c r="Q2" s="2443" t="str">
        <f>'A3-FinPerf V'!A19</f>
        <v>Example 15 - Vote15</v>
      </c>
      <c r="R2" s="2445" t="s">
        <v>822</v>
      </c>
      <c r="S2" s="1646"/>
    </row>
    <row r="3" spans="1:19">
      <c r="A3" s="181" t="s">
        <v>703</v>
      </c>
      <c r="B3" s="291">
        <v>1</v>
      </c>
      <c r="C3" s="2444" t="s">
        <v>1103</v>
      </c>
      <c r="D3" s="2444" t="s">
        <v>1103</v>
      </c>
      <c r="E3" s="2444" t="s">
        <v>1103</v>
      </c>
      <c r="F3" s="2444" t="s">
        <v>1103</v>
      </c>
      <c r="G3" s="2444" t="s">
        <v>1103</v>
      </c>
      <c r="H3" s="2444" t="s">
        <v>1103</v>
      </c>
      <c r="I3" s="2444"/>
      <c r="J3" s="2444"/>
      <c r="K3" s="2444"/>
      <c r="L3" s="2444"/>
      <c r="M3" s="2444"/>
      <c r="N3" s="2444"/>
      <c r="O3" s="2444"/>
      <c r="P3" s="2444"/>
      <c r="Q3" s="2444" t="s">
        <v>1103</v>
      </c>
      <c r="R3" s="2446" t="s">
        <v>1103</v>
      </c>
    </row>
    <row r="4" spans="1:19" ht="11.25" customHeight="1">
      <c r="A4" s="182" t="str">
        <f>'A4-FinPerf RE'!A4</f>
        <v>Revenue By Source</v>
      </c>
      <c r="B4" s="294"/>
      <c r="C4" s="312"/>
      <c r="D4" s="312"/>
      <c r="E4" s="312"/>
      <c r="F4" s="312"/>
      <c r="G4" s="312"/>
      <c r="H4" s="312"/>
      <c r="I4" s="312"/>
      <c r="J4" s="312"/>
      <c r="K4" s="312"/>
      <c r="L4" s="312"/>
      <c r="M4" s="312"/>
      <c r="N4" s="312"/>
      <c r="O4" s="312"/>
      <c r="P4" s="312"/>
      <c r="Q4" s="312"/>
      <c r="R4" s="423"/>
    </row>
    <row r="5" spans="1:19" ht="11.25" customHeight="1">
      <c r="A5" s="326" t="str">
        <f>'A4-FinPerf RE'!A5</f>
        <v>Property rates</v>
      </c>
      <c r="B5" s="295"/>
      <c r="C5" s="1708"/>
      <c r="D5" s="1708">
        <v>488357600</v>
      </c>
      <c r="E5" s="1708"/>
      <c r="F5" s="1708"/>
      <c r="G5" s="1708"/>
      <c r="H5" s="1708"/>
      <c r="I5" s="1708"/>
      <c r="J5" s="1708"/>
      <c r="K5" s="1708"/>
      <c r="L5" s="1708"/>
      <c r="M5" s="1708"/>
      <c r="N5" s="1708"/>
      <c r="O5" s="1708"/>
      <c r="P5" s="1708"/>
      <c r="Q5" s="1708"/>
      <c r="R5" s="424">
        <f>SUM(C5:Q5)</f>
        <v>488357600</v>
      </c>
    </row>
    <row r="6" spans="1:19" ht="11.25" customHeight="1">
      <c r="A6" s="326" t="str">
        <f>'A4-FinPerf RE'!A6</f>
        <v>Property rates - penalties &amp; collection charges</v>
      </c>
      <c r="B6" s="295"/>
      <c r="C6" s="1708"/>
      <c r="D6" s="1708">
        <v>28454666</v>
      </c>
      <c r="E6" s="1708"/>
      <c r="F6" s="1708"/>
      <c r="G6" s="1708"/>
      <c r="H6" s="1708"/>
      <c r="I6" s="1708"/>
      <c r="J6" s="1708"/>
      <c r="K6" s="1708"/>
      <c r="L6" s="1708"/>
      <c r="M6" s="1708"/>
      <c r="N6" s="1708"/>
      <c r="O6" s="1708"/>
      <c r="P6" s="1708"/>
      <c r="Q6" s="1708"/>
      <c r="R6" s="424">
        <f t="shared" ref="R6:R21" si="0">SUM(C6:Q6)</f>
        <v>28454666</v>
      </c>
    </row>
    <row r="7" spans="1:19" ht="11.25" customHeight="1">
      <c r="A7" s="326" t="str">
        <f>'A4-FinPerf RE'!A7</f>
        <v>Service charges - electricity revenue</v>
      </c>
      <c r="B7" s="295"/>
      <c r="C7" s="1708"/>
      <c r="D7" s="1708"/>
      <c r="E7" s="1708">
        <v>1185516774</v>
      </c>
      <c r="F7" s="1708"/>
      <c r="G7" s="1708"/>
      <c r="H7" s="1708"/>
      <c r="I7" s="1708"/>
      <c r="J7" s="1708"/>
      <c r="K7" s="1708"/>
      <c r="L7" s="1708"/>
      <c r="M7" s="1708"/>
      <c r="N7" s="1708"/>
      <c r="O7" s="1708"/>
      <c r="P7" s="1708"/>
      <c r="Q7" s="1708"/>
      <c r="R7" s="424">
        <f t="shared" si="0"/>
        <v>1185516774</v>
      </c>
    </row>
    <row r="8" spans="1:19" ht="11.25" customHeight="1">
      <c r="A8" s="326" t="str">
        <f>'A4-FinPerf RE'!A8</f>
        <v>Service charges - water revenue</v>
      </c>
      <c r="B8" s="295"/>
      <c r="C8" s="1708"/>
      <c r="D8" s="1708"/>
      <c r="E8" s="1708">
        <v>301906355</v>
      </c>
      <c r="F8" s="1708"/>
      <c r="G8" s="1708"/>
      <c r="H8" s="1708"/>
      <c r="I8" s="1708"/>
      <c r="J8" s="1708"/>
      <c r="K8" s="1708"/>
      <c r="L8" s="1708"/>
      <c r="M8" s="1708"/>
      <c r="N8" s="1708"/>
      <c r="O8" s="1708"/>
      <c r="P8" s="1708"/>
      <c r="Q8" s="1708"/>
      <c r="R8" s="424">
        <f t="shared" si="0"/>
        <v>301906355</v>
      </c>
    </row>
    <row r="9" spans="1:19" ht="11.25" customHeight="1">
      <c r="A9" s="326" t="str">
        <f>'A4-FinPerf RE'!A9</f>
        <v>Service charges - sanitation revenue</v>
      </c>
      <c r="B9" s="295"/>
      <c r="C9" s="1708"/>
      <c r="D9" s="1708"/>
      <c r="E9" s="1708">
        <v>113759715</v>
      </c>
      <c r="F9" s="1708"/>
      <c r="G9" s="1708"/>
      <c r="H9" s="1708"/>
      <c r="I9" s="1708"/>
      <c r="J9" s="1708"/>
      <c r="K9" s="1708"/>
      <c r="L9" s="1708"/>
      <c r="M9" s="1708"/>
      <c r="N9" s="1708"/>
      <c r="O9" s="1708"/>
      <c r="P9" s="1708"/>
      <c r="Q9" s="1708"/>
      <c r="R9" s="424">
        <f t="shared" si="0"/>
        <v>113759715</v>
      </c>
    </row>
    <row r="10" spans="1:19" ht="11.25" customHeight="1">
      <c r="A10" s="326" t="str">
        <f>'A4-FinPerf RE'!A10</f>
        <v>Service charges - refuse revenue</v>
      </c>
      <c r="B10" s="295"/>
      <c r="C10" s="1708"/>
      <c r="D10" s="1708"/>
      <c r="E10" s="1708">
        <v>68603339</v>
      </c>
      <c r="F10" s="1708"/>
      <c r="G10" s="1708"/>
      <c r="H10" s="1708"/>
      <c r="I10" s="1708"/>
      <c r="J10" s="1708"/>
      <c r="K10" s="1708"/>
      <c r="L10" s="1708"/>
      <c r="M10" s="1708"/>
      <c r="N10" s="1708"/>
      <c r="O10" s="1708"/>
      <c r="P10" s="1708"/>
      <c r="Q10" s="1708"/>
      <c r="R10" s="424">
        <f t="shared" si="0"/>
        <v>68603339</v>
      </c>
    </row>
    <row r="11" spans="1:19" ht="11.25" customHeight="1">
      <c r="A11" s="326" t="str">
        <f>'A4-FinPerf RE'!A11</f>
        <v>Service charges - other</v>
      </c>
      <c r="B11" s="295"/>
      <c r="C11" s="1708"/>
      <c r="D11" s="1708"/>
      <c r="E11" s="1708"/>
      <c r="F11" s="1708"/>
      <c r="G11" s="1708"/>
      <c r="H11" s="1708"/>
      <c r="I11" s="1708"/>
      <c r="J11" s="1708"/>
      <c r="K11" s="1708"/>
      <c r="L11" s="1708"/>
      <c r="M11" s="1708"/>
      <c r="N11" s="1708"/>
      <c r="O11" s="1708"/>
      <c r="P11" s="1708"/>
      <c r="Q11" s="1708"/>
      <c r="R11" s="424">
        <f t="shared" si="0"/>
        <v>0</v>
      </c>
    </row>
    <row r="12" spans="1:19" ht="11.25" customHeight="1">
      <c r="A12" s="326" t="str">
        <f>'A4-FinPerf RE'!A12</f>
        <v>Rental of facilities and equipment</v>
      </c>
      <c r="B12" s="295"/>
      <c r="C12" s="1708"/>
      <c r="D12" s="1708">
        <v>486930</v>
      </c>
      <c r="E12" s="1708">
        <v>14741227</v>
      </c>
      <c r="F12" s="1708">
        <v>3032940</v>
      </c>
      <c r="G12" s="1708"/>
      <c r="H12" s="1708"/>
      <c r="I12" s="1708"/>
      <c r="J12" s="1708"/>
      <c r="K12" s="1708"/>
      <c r="L12" s="1708"/>
      <c r="M12" s="1708"/>
      <c r="N12" s="1708"/>
      <c r="O12" s="1708"/>
      <c r="P12" s="1708"/>
      <c r="Q12" s="1708"/>
      <c r="R12" s="424">
        <f t="shared" si="0"/>
        <v>18261097</v>
      </c>
    </row>
    <row r="13" spans="1:19" ht="11.25" customHeight="1">
      <c r="A13" s="326" t="str">
        <f>'A4-FinPerf RE'!A13</f>
        <v>Interest earned - external investments</v>
      </c>
      <c r="B13" s="295"/>
      <c r="C13" s="1708"/>
      <c r="D13" s="1708">
        <v>15800000</v>
      </c>
      <c r="E13" s="1708"/>
      <c r="F13" s="1708"/>
      <c r="G13" s="1708"/>
      <c r="H13" s="1708"/>
      <c r="I13" s="1708"/>
      <c r="J13" s="1708"/>
      <c r="K13" s="1708"/>
      <c r="L13" s="1708"/>
      <c r="M13" s="1708"/>
      <c r="N13" s="1708"/>
      <c r="O13" s="1708"/>
      <c r="P13" s="1708"/>
      <c r="Q13" s="1708"/>
      <c r="R13" s="424">
        <f t="shared" si="0"/>
        <v>15800000</v>
      </c>
    </row>
    <row r="14" spans="1:19" ht="11.25" customHeight="1">
      <c r="A14" s="326" t="str">
        <f>'A4-FinPerf RE'!A14</f>
        <v>Interest earned - outstanding debtors</v>
      </c>
      <c r="B14" s="295"/>
      <c r="C14" s="1708"/>
      <c r="D14" s="1708">
        <v>1018527</v>
      </c>
      <c r="E14" s="1708"/>
      <c r="F14" s="1708"/>
      <c r="G14" s="1708"/>
      <c r="H14" s="1708"/>
      <c r="I14" s="1708"/>
      <c r="J14" s="1708"/>
      <c r="K14" s="1708"/>
      <c r="L14" s="1708"/>
      <c r="M14" s="1708"/>
      <c r="N14" s="1708"/>
      <c r="O14" s="1708"/>
      <c r="P14" s="1708"/>
      <c r="Q14" s="1708"/>
      <c r="R14" s="424">
        <f t="shared" si="0"/>
        <v>1018527</v>
      </c>
    </row>
    <row r="15" spans="1:19" ht="11.25" customHeight="1">
      <c r="A15" s="326" t="str">
        <f>'A4-FinPerf RE'!A15</f>
        <v>Dividends received</v>
      </c>
      <c r="B15" s="295"/>
      <c r="C15" s="1708"/>
      <c r="D15" s="1708"/>
      <c r="E15" s="1708"/>
      <c r="F15" s="1708"/>
      <c r="G15" s="1708"/>
      <c r="H15" s="1708"/>
      <c r="I15" s="1708"/>
      <c r="J15" s="1708"/>
      <c r="K15" s="1708"/>
      <c r="L15" s="1708"/>
      <c r="M15" s="1708"/>
      <c r="N15" s="1708"/>
      <c r="O15" s="1708"/>
      <c r="P15" s="1708"/>
      <c r="Q15" s="1708"/>
      <c r="R15" s="424">
        <f t="shared" si="0"/>
        <v>0</v>
      </c>
    </row>
    <row r="16" spans="1:19" ht="11.25" customHeight="1">
      <c r="A16" s="326" t="str">
        <f>'A4-FinPerf RE'!A16</f>
        <v>Fines</v>
      </c>
      <c r="B16" s="295"/>
      <c r="C16" s="1708"/>
      <c r="D16" s="1708"/>
      <c r="E16" s="1708"/>
      <c r="F16" s="1708">
        <v>6072783</v>
      </c>
      <c r="G16" s="1708"/>
      <c r="H16" s="1708"/>
      <c r="I16" s="1708"/>
      <c r="J16" s="1708"/>
      <c r="K16" s="1708"/>
      <c r="L16" s="1708"/>
      <c r="M16" s="1708"/>
      <c r="N16" s="1708"/>
      <c r="O16" s="1708"/>
      <c r="P16" s="1708"/>
      <c r="Q16" s="1708"/>
      <c r="R16" s="424">
        <f t="shared" si="0"/>
        <v>6072783</v>
      </c>
    </row>
    <row r="17" spans="1:18" ht="11.25" customHeight="1">
      <c r="A17" s="326" t="str">
        <f>'A4-FinPerf RE'!A17</f>
        <v>Licences and permits</v>
      </c>
      <c r="B17" s="295"/>
      <c r="C17" s="1708"/>
      <c r="D17" s="1708"/>
      <c r="E17" s="1708"/>
      <c r="F17" s="1708">
        <v>89575</v>
      </c>
      <c r="G17" s="1708"/>
      <c r="H17" s="1708"/>
      <c r="I17" s="1708"/>
      <c r="J17" s="1708"/>
      <c r="K17" s="1708"/>
      <c r="L17" s="1708"/>
      <c r="M17" s="1708"/>
      <c r="N17" s="1708"/>
      <c r="O17" s="1708"/>
      <c r="P17" s="1708"/>
      <c r="Q17" s="1708"/>
      <c r="R17" s="424">
        <f t="shared" si="0"/>
        <v>89575</v>
      </c>
    </row>
    <row r="18" spans="1:18" ht="11.25" customHeight="1">
      <c r="A18" s="326" t="str">
        <f>'A4-FinPerf RE'!A18</f>
        <v>Agency services</v>
      </c>
      <c r="B18" s="295"/>
      <c r="C18" s="1708"/>
      <c r="D18" s="1708"/>
      <c r="E18" s="1708"/>
      <c r="F18" s="1708">
        <v>334800</v>
      </c>
      <c r="G18" s="1708"/>
      <c r="H18" s="1708"/>
      <c r="I18" s="1708"/>
      <c r="J18" s="1708"/>
      <c r="K18" s="1708"/>
      <c r="L18" s="1708"/>
      <c r="M18" s="1708"/>
      <c r="N18" s="1708"/>
      <c r="O18" s="1708"/>
      <c r="P18" s="1708"/>
      <c r="Q18" s="1708"/>
      <c r="R18" s="424">
        <f t="shared" si="0"/>
        <v>334800</v>
      </c>
    </row>
    <row r="19" spans="1:18" ht="11.25" customHeight="1">
      <c r="A19" s="191" t="str">
        <f>'A4-FinPerf RE'!A20</f>
        <v>Other revenue</v>
      </c>
      <c r="B19" s="294"/>
      <c r="C19" s="1708">
        <v>6842423</v>
      </c>
      <c r="D19" s="1708">
        <v>424311038</v>
      </c>
      <c r="E19" s="1708">
        <f>141746601+192546770+2268000</f>
        <v>336561371</v>
      </c>
      <c r="F19" s="1708">
        <f>17443178+2000000</f>
        <v>19443178</v>
      </c>
      <c r="G19" s="1708"/>
      <c r="H19" s="1708"/>
      <c r="I19" s="1708"/>
      <c r="J19" s="1708"/>
      <c r="K19" s="1708"/>
      <c r="L19" s="1708"/>
      <c r="M19" s="1708"/>
      <c r="N19" s="1708"/>
      <c r="O19" s="1708"/>
      <c r="P19" s="1708"/>
      <c r="Q19" s="1708"/>
      <c r="R19" s="424">
        <f t="shared" si="0"/>
        <v>787158010</v>
      </c>
    </row>
    <row r="20" spans="1:18" ht="11.25" customHeight="1">
      <c r="A20" s="326" t="str">
        <f>'A4-FinPerf RE'!A19</f>
        <v>Transfers recognised - operational</v>
      </c>
      <c r="B20" s="295"/>
      <c r="C20" s="1708"/>
      <c r="D20" s="1708">
        <v>27010273</v>
      </c>
      <c r="E20" s="1708">
        <v>292963759</v>
      </c>
      <c r="F20" s="1708">
        <v>3889000</v>
      </c>
      <c r="G20" s="1708"/>
      <c r="H20" s="1708"/>
      <c r="I20" s="1708"/>
      <c r="J20" s="1708"/>
      <c r="K20" s="1708"/>
      <c r="L20" s="1708"/>
      <c r="M20" s="1708"/>
      <c r="N20" s="1708"/>
      <c r="O20" s="1708"/>
      <c r="P20" s="1708"/>
      <c r="Q20" s="1708"/>
      <c r="R20" s="424">
        <f t="shared" si="0"/>
        <v>323863032</v>
      </c>
    </row>
    <row r="21" spans="1:18" ht="11.25" customHeight="1">
      <c r="A21" s="191" t="str">
        <f>'A4-FinPerf RE'!A21</f>
        <v>Gains on disposal of PPE</v>
      </c>
      <c r="B21" s="294"/>
      <c r="C21" s="1708"/>
      <c r="D21" s="1708"/>
      <c r="E21" s="1708"/>
      <c r="F21" s="1708"/>
      <c r="G21" s="1708"/>
      <c r="H21" s="1708"/>
      <c r="I21" s="1708"/>
      <c r="J21" s="1708"/>
      <c r="K21" s="1708"/>
      <c r="L21" s="1708"/>
      <c r="M21" s="1708"/>
      <c r="N21" s="1708"/>
      <c r="O21" s="1708"/>
      <c r="P21" s="1708"/>
      <c r="Q21" s="1708"/>
      <c r="R21" s="424">
        <f t="shared" si="0"/>
        <v>0</v>
      </c>
    </row>
    <row r="22" spans="1:18" ht="11.25" customHeight="1">
      <c r="A22" s="327" t="str">
        <f>'A4-FinPerf RE'!A22</f>
        <v>Total Revenue (excluding capital transfers and contributions)</v>
      </c>
      <c r="B22" s="294"/>
      <c r="C22" s="214">
        <f t="shared" ref="C22:R22" si="1">SUM(C5:C21)</f>
        <v>6842423</v>
      </c>
      <c r="D22" s="214">
        <f t="shared" si="1"/>
        <v>985439034</v>
      </c>
      <c r="E22" s="214">
        <f t="shared" si="1"/>
        <v>2314052540</v>
      </c>
      <c r="F22" s="214">
        <f t="shared" si="1"/>
        <v>32862276</v>
      </c>
      <c r="G22" s="214">
        <f t="shared" si="1"/>
        <v>0</v>
      </c>
      <c r="H22" s="214">
        <f t="shared" si="1"/>
        <v>0</v>
      </c>
      <c r="I22" s="214">
        <f t="shared" si="1"/>
        <v>0</v>
      </c>
      <c r="J22" s="214">
        <f t="shared" si="1"/>
        <v>0</v>
      </c>
      <c r="K22" s="214">
        <f t="shared" si="1"/>
        <v>0</v>
      </c>
      <c r="L22" s="214">
        <f t="shared" si="1"/>
        <v>0</v>
      </c>
      <c r="M22" s="214">
        <f t="shared" si="1"/>
        <v>0</v>
      </c>
      <c r="N22" s="214">
        <f t="shared" si="1"/>
        <v>0</v>
      </c>
      <c r="O22" s="214">
        <f t="shared" si="1"/>
        <v>0</v>
      </c>
      <c r="P22" s="214">
        <f t="shared" si="1"/>
        <v>0</v>
      </c>
      <c r="Q22" s="214">
        <f t="shared" si="1"/>
        <v>0</v>
      </c>
      <c r="R22" s="425">
        <f t="shared" si="1"/>
        <v>3339196273</v>
      </c>
    </row>
    <row r="23" spans="1:18" ht="5.0999999999999996" customHeight="1">
      <c r="A23" s="202"/>
      <c r="B23" s="294"/>
      <c r="C23" s="204"/>
      <c r="D23" s="204"/>
      <c r="E23" s="204"/>
      <c r="F23" s="204"/>
      <c r="G23" s="204"/>
      <c r="H23" s="204"/>
      <c r="I23" s="204"/>
      <c r="J23" s="204"/>
      <c r="K23" s="204"/>
      <c r="L23" s="204"/>
      <c r="M23" s="204"/>
      <c r="N23" s="204"/>
      <c r="O23" s="204"/>
      <c r="P23" s="204"/>
      <c r="Q23" s="204"/>
      <c r="R23" s="424"/>
    </row>
    <row r="24" spans="1:18" ht="11.25" customHeight="1">
      <c r="A24" s="182" t="str">
        <f>'A4-FinPerf RE'!A24</f>
        <v>Expenditure By Type</v>
      </c>
      <c r="B24" s="296"/>
      <c r="C24" s="204"/>
      <c r="D24" s="204"/>
      <c r="E24" s="204"/>
      <c r="F24" s="204"/>
      <c r="G24" s="204"/>
      <c r="H24" s="204"/>
      <c r="I24" s="204"/>
      <c r="J24" s="204"/>
      <c r="K24" s="204"/>
      <c r="L24" s="204"/>
      <c r="M24" s="204"/>
      <c r="N24" s="204"/>
      <c r="O24" s="204"/>
      <c r="P24" s="204"/>
      <c r="Q24" s="204"/>
      <c r="R24" s="424"/>
    </row>
    <row r="25" spans="1:18" ht="11.25" customHeight="1">
      <c r="A25" s="326" t="str">
        <f>'A4-FinPerf RE'!A25</f>
        <v>Employee related costs</v>
      </c>
      <c r="B25" s="295"/>
      <c r="C25" s="1708">
        <v>85286997</v>
      </c>
      <c r="D25" s="1708">
        <v>67922926</v>
      </c>
      <c r="E25" s="1708">
        <v>271476899</v>
      </c>
      <c r="F25" s="1708">
        <v>232409158</v>
      </c>
      <c r="G25" s="1708"/>
      <c r="H25" s="1708"/>
      <c r="I25" s="1708"/>
      <c r="J25" s="1708"/>
      <c r="K25" s="1708"/>
      <c r="L25" s="1708"/>
      <c r="M25" s="1708"/>
      <c r="N25" s="1708"/>
      <c r="O25" s="1708"/>
      <c r="P25" s="1708"/>
      <c r="Q25" s="1708"/>
      <c r="R25" s="424">
        <f>SUM(C25:Q25)</f>
        <v>657095980</v>
      </c>
    </row>
    <row r="26" spans="1:18" ht="11.25" customHeight="1">
      <c r="A26" s="326" t="str">
        <f>'A4-FinPerf RE'!A26</f>
        <v>Remuneration of councillors</v>
      </c>
      <c r="B26" s="295"/>
      <c r="C26" s="1708">
        <v>20954246</v>
      </c>
      <c r="D26" s="1708"/>
      <c r="E26" s="1708"/>
      <c r="F26" s="1708"/>
      <c r="G26" s="1708"/>
      <c r="H26" s="1708"/>
      <c r="I26" s="1708"/>
      <c r="J26" s="1708"/>
      <c r="K26" s="1708"/>
      <c r="L26" s="1708"/>
      <c r="M26" s="1708"/>
      <c r="N26" s="1708"/>
      <c r="O26" s="1708"/>
      <c r="P26" s="1708"/>
      <c r="Q26" s="1708"/>
      <c r="R26" s="424">
        <f t="shared" ref="R26:R35" si="2">SUM(C26:Q26)</f>
        <v>20954246</v>
      </c>
    </row>
    <row r="27" spans="1:18" ht="11.25" customHeight="1">
      <c r="A27" s="326" t="str">
        <f>'A4-FinPerf RE'!A27</f>
        <v>Debt impairment</v>
      </c>
      <c r="B27" s="295"/>
      <c r="C27" s="1708"/>
      <c r="D27" s="1708">
        <v>47000000</v>
      </c>
      <c r="E27" s="1708">
        <v>113917200</v>
      </c>
      <c r="F27" s="1708"/>
      <c r="G27" s="1708"/>
      <c r="H27" s="1708"/>
      <c r="I27" s="1708"/>
      <c r="J27" s="1708"/>
      <c r="K27" s="1708"/>
      <c r="L27" s="1708"/>
      <c r="M27" s="1708"/>
      <c r="N27" s="1708"/>
      <c r="O27" s="1708"/>
      <c r="P27" s="1708"/>
      <c r="Q27" s="1708"/>
      <c r="R27" s="424">
        <f t="shared" si="2"/>
        <v>160917200</v>
      </c>
    </row>
    <row r="28" spans="1:18" ht="11.25" customHeight="1">
      <c r="A28" s="326" t="str">
        <f>'A4-FinPerf RE'!A28</f>
        <v>Depreciation &amp; asset impairment</v>
      </c>
      <c r="B28" s="295"/>
      <c r="C28" s="1708">
        <v>3513511</v>
      </c>
      <c r="D28" s="1708">
        <v>20315942</v>
      </c>
      <c r="E28" s="1708">
        <v>51139139</v>
      </c>
      <c r="F28" s="1708">
        <v>49743282</v>
      </c>
      <c r="G28" s="1708"/>
      <c r="H28" s="1708"/>
      <c r="I28" s="1708"/>
      <c r="J28" s="1708"/>
      <c r="K28" s="1708"/>
      <c r="L28" s="1708"/>
      <c r="M28" s="1708"/>
      <c r="N28" s="1708"/>
      <c r="O28" s="1708"/>
      <c r="P28" s="1708"/>
      <c r="Q28" s="1708"/>
      <c r="R28" s="424">
        <f t="shared" si="2"/>
        <v>124711874</v>
      </c>
    </row>
    <row r="29" spans="1:18" ht="11.25" customHeight="1">
      <c r="A29" s="326" t="str">
        <f>'A4-FinPerf RE'!A29</f>
        <v>Finance charges</v>
      </c>
      <c r="B29" s="295"/>
      <c r="C29" s="1708">
        <v>1075719</v>
      </c>
      <c r="D29" s="1708">
        <v>2999195</v>
      </c>
      <c r="E29" s="1708">
        <v>46819368</v>
      </c>
      <c r="F29" s="1708">
        <v>6852858</v>
      </c>
      <c r="G29" s="1708"/>
      <c r="H29" s="1708"/>
      <c r="I29" s="1708"/>
      <c r="J29" s="1708"/>
      <c r="K29" s="1708"/>
      <c r="L29" s="1708"/>
      <c r="M29" s="1708"/>
      <c r="N29" s="1708"/>
      <c r="O29" s="1708"/>
      <c r="P29" s="1708"/>
      <c r="Q29" s="1708"/>
      <c r="R29" s="424">
        <f t="shared" si="2"/>
        <v>57747140</v>
      </c>
    </row>
    <row r="30" spans="1:18" ht="11.25" customHeight="1">
      <c r="A30" s="326" t="str">
        <f>'A4-FinPerf RE'!A30</f>
        <v>Bulk purchases</v>
      </c>
      <c r="B30" s="295"/>
      <c r="C30" s="1708"/>
      <c r="D30" s="1708"/>
      <c r="E30" s="1708">
        <v>1243499897</v>
      </c>
      <c r="F30" s="1708"/>
      <c r="G30" s="1708"/>
      <c r="H30" s="1708"/>
      <c r="I30" s="1708"/>
      <c r="J30" s="1708"/>
      <c r="K30" s="1708"/>
      <c r="L30" s="1708"/>
      <c r="M30" s="1708"/>
      <c r="N30" s="1708"/>
      <c r="O30" s="1708"/>
      <c r="P30" s="1708"/>
      <c r="Q30" s="1708"/>
      <c r="R30" s="424">
        <f t="shared" si="2"/>
        <v>1243499897</v>
      </c>
    </row>
    <row r="31" spans="1:18" ht="11.25" customHeight="1">
      <c r="A31" s="326" t="str">
        <f>'A4-FinPerf RE'!A31</f>
        <v>Other materials</v>
      </c>
      <c r="B31" s="295"/>
      <c r="C31" s="1708"/>
      <c r="D31" s="1708"/>
      <c r="E31" s="1708"/>
      <c r="F31" s="1708"/>
      <c r="G31" s="1708"/>
      <c r="H31" s="1708"/>
      <c r="I31" s="1708"/>
      <c r="J31" s="1708"/>
      <c r="K31" s="1708"/>
      <c r="L31" s="1708"/>
      <c r="M31" s="1708"/>
      <c r="N31" s="1708"/>
      <c r="O31" s="1708"/>
      <c r="P31" s="1708"/>
      <c r="Q31" s="1708"/>
      <c r="R31" s="424">
        <f t="shared" si="2"/>
        <v>0</v>
      </c>
    </row>
    <row r="32" spans="1:18" ht="11.25" customHeight="1">
      <c r="A32" s="326" t="str">
        <f>'A4-FinPerf RE'!A32</f>
        <v>Contracted services</v>
      </c>
      <c r="B32" s="295"/>
      <c r="C32" s="1708"/>
      <c r="D32" s="1708"/>
      <c r="E32" s="1708"/>
      <c r="F32" s="1708">
        <v>16050000</v>
      </c>
      <c r="G32" s="1708"/>
      <c r="H32" s="1708"/>
      <c r="I32" s="1708"/>
      <c r="J32" s="1708"/>
      <c r="K32" s="1708"/>
      <c r="L32" s="1708"/>
      <c r="M32" s="1708"/>
      <c r="N32" s="1708"/>
      <c r="O32" s="1708"/>
      <c r="P32" s="1708"/>
      <c r="Q32" s="1708"/>
      <c r="R32" s="424">
        <f t="shared" si="2"/>
        <v>16050000</v>
      </c>
    </row>
    <row r="33" spans="1:21" ht="11.25" customHeight="1">
      <c r="A33" s="326" t="str">
        <f>'A4-FinPerf RE'!A33</f>
        <v>Transfers and grants</v>
      </c>
      <c r="B33" s="295"/>
      <c r="C33" s="1708"/>
      <c r="D33" s="1708"/>
      <c r="E33" s="1708"/>
      <c r="F33" s="1708">
        <v>4500000</v>
      </c>
      <c r="G33" s="1708"/>
      <c r="H33" s="1708"/>
      <c r="I33" s="1708"/>
      <c r="J33" s="1708"/>
      <c r="K33" s="1708"/>
      <c r="L33" s="1708"/>
      <c r="M33" s="1708"/>
      <c r="N33" s="1708"/>
      <c r="O33" s="1708"/>
      <c r="P33" s="1708"/>
      <c r="Q33" s="1708"/>
      <c r="R33" s="424">
        <f t="shared" si="2"/>
        <v>4500000</v>
      </c>
    </row>
    <row r="34" spans="1:21" ht="11.25" customHeight="1">
      <c r="A34" s="326" t="str">
        <f>'A4-FinPerf RE'!A34</f>
        <v>Other expenditure</v>
      </c>
      <c r="B34" s="295"/>
      <c r="C34" s="1708">
        <v>102882749</v>
      </c>
      <c r="D34" s="1708">
        <f>518429178+790241</f>
        <v>519219419</v>
      </c>
      <c r="E34" s="1708">
        <f>348550979+2405000+2268000</f>
        <v>353223979</v>
      </c>
      <c r="F34" s="1708">
        <v>78304131</v>
      </c>
      <c r="G34" s="1708"/>
      <c r="H34" s="1708"/>
      <c r="I34" s="1708"/>
      <c r="J34" s="1708"/>
      <c r="K34" s="1708"/>
      <c r="L34" s="1708"/>
      <c r="M34" s="1708"/>
      <c r="N34" s="1708"/>
      <c r="O34" s="1708"/>
      <c r="P34" s="1708"/>
      <c r="Q34" s="1708"/>
      <c r="R34" s="424">
        <f t="shared" si="2"/>
        <v>1053630278</v>
      </c>
    </row>
    <row r="35" spans="1:21" ht="11.25" customHeight="1">
      <c r="A35" s="326" t="str">
        <f>'A4-FinPerf RE'!A35</f>
        <v>Loss on disposal of PPE</v>
      </c>
      <c r="B35" s="295"/>
      <c r="C35" s="1708"/>
      <c r="D35" s="1708"/>
      <c r="E35" s="1708"/>
      <c r="F35" s="1708"/>
      <c r="G35" s="1708"/>
      <c r="H35" s="1708"/>
      <c r="I35" s="1708"/>
      <c r="J35" s="1708"/>
      <c r="K35" s="1708"/>
      <c r="L35" s="1708"/>
      <c r="M35" s="1708"/>
      <c r="N35" s="1708"/>
      <c r="O35" s="1708"/>
      <c r="P35" s="1708"/>
      <c r="Q35" s="1708"/>
      <c r="R35" s="424">
        <f t="shared" si="2"/>
        <v>0</v>
      </c>
    </row>
    <row r="36" spans="1:21" ht="11.25" customHeight="1">
      <c r="A36" s="327" t="s">
        <v>1805</v>
      </c>
      <c r="B36" s="294"/>
      <c r="C36" s="214">
        <f t="shared" ref="C36:R36" si="3">SUM(C25:C35)</f>
        <v>213713222</v>
      </c>
      <c r="D36" s="214">
        <f t="shared" si="3"/>
        <v>657457482</v>
      </c>
      <c r="E36" s="214">
        <f t="shared" si="3"/>
        <v>2080076482</v>
      </c>
      <c r="F36" s="214">
        <f t="shared" si="3"/>
        <v>387859429</v>
      </c>
      <c r="G36" s="214">
        <f t="shared" si="3"/>
        <v>0</v>
      </c>
      <c r="H36" s="214">
        <f t="shared" si="3"/>
        <v>0</v>
      </c>
      <c r="I36" s="214">
        <f t="shared" si="3"/>
        <v>0</v>
      </c>
      <c r="J36" s="214">
        <f t="shared" si="3"/>
        <v>0</v>
      </c>
      <c r="K36" s="214">
        <f t="shared" si="3"/>
        <v>0</v>
      </c>
      <c r="L36" s="214">
        <f t="shared" si="3"/>
        <v>0</v>
      </c>
      <c r="M36" s="214">
        <f t="shared" si="3"/>
        <v>0</v>
      </c>
      <c r="N36" s="214">
        <f t="shared" si="3"/>
        <v>0</v>
      </c>
      <c r="O36" s="214">
        <f t="shared" si="3"/>
        <v>0</v>
      </c>
      <c r="P36" s="214">
        <f t="shared" si="3"/>
        <v>0</v>
      </c>
      <c r="Q36" s="214">
        <f t="shared" si="3"/>
        <v>0</v>
      </c>
      <c r="R36" s="425">
        <f t="shared" si="3"/>
        <v>3339106615</v>
      </c>
    </row>
    <row r="37" spans="1:21" ht="5.0999999999999996" customHeight="1">
      <c r="A37" s="202"/>
      <c r="B37" s="294"/>
      <c r="C37" s="219"/>
      <c r="D37" s="219"/>
      <c r="E37" s="219"/>
      <c r="F37" s="219"/>
      <c r="G37" s="219"/>
      <c r="H37" s="219"/>
      <c r="I37" s="219"/>
      <c r="J37" s="219"/>
      <c r="K37" s="219"/>
      <c r="L37" s="219"/>
      <c r="M37" s="219"/>
      <c r="N37" s="219"/>
      <c r="O37" s="219"/>
      <c r="P37" s="219"/>
      <c r="Q37" s="219"/>
      <c r="R37" s="424"/>
    </row>
    <row r="38" spans="1:21" ht="11.25" customHeight="1">
      <c r="A38" s="327" t="str">
        <f>'A4-FinPerf RE'!A38</f>
        <v>Surplus/(Deficit)</v>
      </c>
      <c r="B38" s="294"/>
      <c r="C38" s="214">
        <f t="shared" ref="C38:H38" si="4">C22-C36</f>
        <v>-206870799</v>
      </c>
      <c r="D38" s="214">
        <f t="shared" si="4"/>
        <v>327981552</v>
      </c>
      <c r="E38" s="214">
        <f t="shared" si="4"/>
        <v>233976058</v>
      </c>
      <c r="F38" s="214">
        <f t="shared" si="4"/>
        <v>-354997153</v>
      </c>
      <c r="G38" s="214">
        <f t="shared" si="4"/>
        <v>0</v>
      </c>
      <c r="H38" s="214">
        <f t="shared" si="4"/>
        <v>0</v>
      </c>
      <c r="I38" s="214">
        <f t="shared" ref="I38:Q38" si="5">I22-I36</f>
        <v>0</v>
      </c>
      <c r="J38" s="214">
        <f t="shared" si="5"/>
        <v>0</v>
      </c>
      <c r="K38" s="214">
        <f t="shared" si="5"/>
        <v>0</v>
      </c>
      <c r="L38" s="214">
        <f t="shared" si="5"/>
        <v>0</v>
      </c>
      <c r="M38" s="214">
        <f t="shared" si="5"/>
        <v>0</v>
      </c>
      <c r="N38" s="214">
        <f t="shared" si="5"/>
        <v>0</v>
      </c>
      <c r="O38" s="214">
        <f t="shared" si="5"/>
        <v>0</v>
      </c>
      <c r="P38" s="214">
        <f t="shared" si="5"/>
        <v>0</v>
      </c>
      <c r="Q38" s="214">
        <f t="shared" si="5"/>
        <v>0</v>
      </c>
      <c r="R38" s="425">
        <f>R22-R36</f>
        <v>89658</v>
      </c>
    </row>
    <row r="39" spans="1:21" ht="11.25" customHeight="1">
      <c r="A39" s="191" t="str">
        <f>'A4-FinPerf RE'!A39</f>
        <v>Transfers recognised - capital</v>
      </c>
      <c r="B39" s="294"/>
      <c r="C39" s="1743">
        <v>36560000</v>
      </c>
      <c r="D39" s="1743"/>
      <c r="E39" s="1743">
        <v>316516300</v>
      </c>
      <c r="F39" s="1743">
        <v>58237000</v>
      </c>
      <c r="G39" s="1743"/>
      <c r="H39" s="1743"/>
      <c r="I39" s="1743"/>
      <c r="J39" s="1743"/>
      <c r="K39" s="1743"/>
      <c r="L39" s="1743"/>
      <c r="M39" s="1743"/>
      <c r="N39" s="1743"/>
      <c r="O39" s="1743"/>
      <c r="P39" s="1743"/>
      <c r="Q39" s="1743"/>
      <c r="R39" s="424">
        <f>SUM(C39:Q39)</f>
        <v>411313300</v>
      </c>
    </row>
    <row r="40" spans="1:21">
      <c r="A40" s="426" t="str">
        <f>'A4-FinPerf RE'!A40</f>
        <v>Contributions recognised - capital</v>
      </c>
      <c r="B40" s="294"/>
      <c r="C40" s="1708"/>
      <c r="D40" s="1708"/>
      <c r="E40" s="1708"/>
      <c r="F40" s="1708"/>
      <c r="G40" s="1708"/>
      <c r="H40" s="1708"/>
      <c r="I40" s="1708"/>
      <c r="J40" s="1708"/>
      <c r="K40" s="1708"/>
      <c r="L40" s="1708"/>
      <c r="M40" s="1708"/>
      <c r="N40" s="1708"/>
      <c r="O40" s="1708"/>
      <c r="P40" s="1708"/>
      <c r="Q40" s="1708"/>
      <c r="R40" s="424">
        <f>SUM(C40:Q40)</f>
        <v>0</v>
      </c>
    </row>
    <row r="41" spans="1:21" ht="11.25" customHeight="1">
      <c r="A41" s="191" t="str">
        <f>'A4-FinPerf RE'!A41</f>
        <v>Contributed assets</v>
      </c>
      <c r="B41" s="294"/>
      <c r="C41" s="1743"/>
      <c r="D41" s="1743"/>
      <c r="E41" s="1743"/>
      <c r="F41" s="1743"/>
      <c r="G41" s="1743"/>
      <c r="H41" s="1743"/>
      <c r="I41" s="1743"/>
      <c r="J41" s="1743"/>
      <c r="K41" s="1743"/>
      <c r="L41" s="1743"/>
      <c r="M41" s="1743"/>
      <c r="N41" s="1743"/>
      <c r="O41" s="1743"/>
      <c r="P41" s="1743"/>
      <c r="Q41" s="1743"/>
      <c r="R41" s="424">
        <f>SUM(C41:Q41)</f>
        <v>0</v>
      </c>
    </row>
    <row r="42" spans="1:21" ht="25.5">
      <c r="A42" s="427" t="str">
        <f>'A4-FinPerf RE'!A42</f>
        <v>Surplus/(Deficit) after capital transfers &amp; contributions</v>
      </c>
      <c r="B42" s="307"/>
      <c r="C42" s="1325">
        <f t="shared" ref="C42:P42" si="6">SUM(C38:C41)</f>
        <v>-170310799</v>
      </c>
      <c r="D42" s="1325">
        <f t="shared" si="6"/>
        <v>327981552</v>
      </c>
      <c r="E42" s="1325">
        <f t="shared" si="6"/>
        <v>550492358</v>
      </c>
      <c r="F42" s="1325">
        <f t="shared" si="6"/>
        <v>-296760153</v>
      </c>
      <c r="G42" s="1325">
        <f t="shared" si="6"/>
        <v>0</v>
      </c>
      <c r="H42" s="1325">
        <f t="shared" si="6"/>
        <v>0</v>
      </c>
      <c r="I42" s="1325">
        <f t="shared" si="6"/>
        <v>0</v>
      </c>
      <c r="J42" s="1325">
        <f t="shared" si="6"/>
        <v>0</v>
      </c>
      <c r="K42" s="1325">
        <f t="shared" si="6"/>
        <v>0</v>
      </c>
      <c r="L42" s="1325">
        <f t="shared" si="6"/>
        <v>0</v>
      </c>
      <c r="M42" s="1325">
        <f t="shared" si="6"/>
        <v>0</v>
      </c>
      <c r="N42" s="1325">
        <f t="shared" si="6"/>
        <v>0</v>
      </c>
      <c r="O42" s="1325">
        <f t="shared" si="6"/>
        <v>0</v>
      </c>
      <c r="P42" s="1325">
        <f t="shared" si="6"/>
        <v>0</v>
      </c>
      <c r="Q42" s="1325">
        <f>SUM(Q38:Q41)</f>
        <v>0</v>
      </c>
      <c r="R42" s="1326">
        <f>SUM(R38:R41)</f>
        <v>411402958</v>
      </c>
    </row>
    <row r="43" spans="1:21" s="722" customFormat="1">
      <c r="A43" s="1276" t="str">
        <f>head27a</f>
        <v>References</v>
      </c>
      <c r="B43" s="1065"/>
      <c r="C43" s="1069"/>
      <c r="D43" s="1069"/>
      <c r="E43" s="1069"/>
      <c r="F43" s="1069"/>
      <c r="G43" s="1069"/>
      <c r="H43" s="1069"/>
      <c r="I43" s="1069"/>
      <c r="J43" s="1069"/>
      <c r="K43" s="1069"/>
      <c r="L43" s="1069"/>
      <c r="M43" s="1069"/>
      <c r="N43" s="1069"/>
      <c r="O43" s="1069"/>
      <c r="P43" s="1069"/>
      <c r="Q43" s="1069"/>
      <c r="R43" s="1069"/>
    </row>
    <row r="44" spans="1:21" s="722" customFormat="1" ht="11.25" customHeight="1">
      <c r="A44" s="1241" t="s">
        <v>1852</v>
      </c>
      <c r="B44" s="1065"/>
      <c r="C44" s="1069"/>
      <c r="D44" s="1068"/>
      <c r="E44" s="1069"/>
      <c r="F44" s="1069"/>
      <c r="G44" s="1069"/>
      <c r="H44" s="1069"/>
      <c r="I44" s="1069"/>
      <c r="J44" s="1069"/>
      <c r="K44" s="1069"/>
      <c r="L44" s="1069"/>
      <c r="M44" s="1069"/>
      <c r="N44" s="1069"/>
      <c r="O44" s="1069"/>
      <c r="P44" s="1069"/>
      <c r="Q44" s="1069"/>
      <c r="R44" s="1069"/>
    </row>
    <row r="45" spans="1:21" ht="11.25" customHeight="1">
      <c r="A45" s="289" t="s">
        <v>304</v>
      </c>
      <c r="B45" s="244"/>
      <c r="C45" s="246"/>
      <c r="D45" s="246"/>
      <c r="E45" s="246"/>
      <c r="F45" s="246"/>
      <c r="G45" s="246"/>
      <c r="H45" s="246"/>
      <c r="I45" s="246"/>
      <c r="J45" s="246"/>
      <c r="K45" s="246"/>
      <c r="L45" s="246"/>
      <c r="M45" s="246"/>
      <c r="N45" s="246"/>
      <c r="O45" s="246"/>
      <c r="P45" s="246"/>
      <c r="Q45" s="246"/>
      <c r="R45" s="1015">
        <f>'A4-FinPerf RE'!L46-'SA2'!R42</f>
        <v>-197078034.81763506</v>
      </c>
    </row>
    <row r="46" spans="1:21" ht="11.25" customHeight="1">
      <c r="A46" s="245"/>
      <c r="B46" s="244"/>
      <c r="C46" s="246"/>
      <c r="D46" s="246"/>
      <c r="E46" s="246"/>
      <c r="F46" s="246"/>
      <c r="G46" s="246"/>
      <c r="H46" s="246"/>
      <c r="I46" s="246"/>
      <c r="J46" s="246"/>
      <c r="K46" s="246"/>
      <c r="L46" s="246"/>
      <c r="M46" s="246"/>
      <c r="N46" s="246"/>
      <c r="O46" s="246"/>
      <c r="P46" s="246"/>
      <c r="Q46" s="246"/>
      <c r="R46" s="246"/>
    </row>
    <row r="47" spans="1:21" ht="11.25" customHeight="1">
      <c r="B47" s="150"/>
      <c r="U47" s="428"/>
    </row>
    <row r="48" spans="1:21" ht="11.25" customHeight="1">
      <c r="B48" s="150"/>
      <c r="G48" s="310"/>
      <c r="H48" s="310"/>
      <c r="I48" s="310"/>
      <c r="J48" s="310"/>
      <c r="K48" s="310"/>
      <c r="L48" s="310"/>
      <c r="M48" s="310"/>
      <c r="N48" s="310"/>
      <c r="O48" s="310"/>
      <c r="P48" s="310"/>
      <c r="Q48" s="310"/>
      <c r="R48" s="310"/>
    </row>
    <row r="49" spans="2:21" ht="11.25" customHeight="1">
      <c r="B49" s="150"/>
      <c r="G49" s="310"/>
      <c r="H49" s="310"/>
      <c r="I49" s="310"/>
      <c r="J49" s="310"/>
      <c r="K49" s="310"/>
      <c r="L49" s="310"/>
      <c r="M49" s="310"/>
      <c r="N49" s="310"/>
      <c r="O49" s="310"/>
      <c r="P49" s="310"/>
      <c r="Q49" s="310"/>
      <c r="R49" s="310"/>
    </row>
    <row r="50" spans="2:21" ht="11.25" customHeight="1">
      <c r="B50" s="150"/>
      <c r="G50" s="310"/>
      <c r="H50" s="310"/>
      <c r="I50" s="310"/>
      <c r="J50" s="310"/>
      <c r="K50" s="310"/>
      <c r="L50" s="310"/>
      <c r="M50" s="310"/>
      <c r="N50" s="310"/>
      <c r="O50" s="310"/>
      <c r="P50" s="310"/>
      <c r="Q50" s="310"/>
      <c r="R50" s="310"/>
    </row>
    <row r="51" spans="2:21" ht="11.25" customHeight="1">
      <c r="B51" s="150"/>
      <c r="U51" s="311"/>
    </row>
    <row r="52" spans="2:21" ht="11.25" customHeight="1">
      <c r="B52" s="150"/>
      <c r="U52" s="311"/>
    </row>
    <row r="53" spans="2:21" ht="11.25" customHeight="1">
      <c r="B53" s="150"/>
      <c r="U53" s="311"/>
    </row>
    <row r="54" spans="2:21" ht="11.25" customHeight="1">
      <c r="B54" s="150"/>
    </row>
    <row r="55" spans="2:21" ht="11.25" customHeight="1">
      <c r="B55" s="150"/>
    </row>
    <row r="56" spans="2:21" ht="11.25" customHeight="1">
      <c r="B56" s="150"/>
    </row>
    <row r="57" spans="2:21" ht="11.25" customHeight="1">
      <c r="B57" s="150"/>
    </row>
    <row r="58" spans="2:21" ht="11.25" customHeight="1">
      <c r="B58" s="150"/>
    </row>
    <row r="59" spans="2:21" ht="11.25" customHeight="1">
      <c r="B59" s="150"/>
    </row>
    <row r="60" spans="2:21" ht="11.25" customHeight="1">
      <c r="B60" s="150"/>
    </row>
    <row r="61" spans="2:21" ht="11.25" customHeight="1">
      <c r="B61" s="150"/>
    </row>
    <row r="62" spans="2:21" ht="11.25" customHeight="1">
      <c r="B62" s="150"/>
    </row>
    <row r="63" spans="2:21" ht="11.25" customHeight="1">
      <c r="B63" s="150"/>
    </row>
    <row r="64" spans="2:21" ht="11.25" customHeight="1">
      <c r="B64" s="150"/>
    </row>
    <row r="65" spans="2:2" ht="11.25" customHeight="1">
      <c r="B65" s="150"/>
    </row>
    <row r="66" spans="2:2" ht="11.25" customHeight="1">
      <c r="B66" s="150"/>
    </row>
    <row r="67" spans="2:2" ht="11.25" customHeight="1">
      <c r="B67" s="150"/>
    </row>
    <row r="68" spans="2:2" ht="11.25" customHeight="1">
      <c r="B68" s="150"/>
    </row>
    <row r="69" spans="2:2" ht="11.25" customHeight="1">
      <c r="B69" s="150"/>
    </row>
    <row r="70" spans="2:2" ht="11.25" customHeight="1">
      <c r="B70" s="150"/>
    </row>
    <row r="71" spans="2:2" ht="11.25" customHeight="1">
      <c r="B71" s="150"/>
    </row>
    <row r="72" spans="2:2" ht="11.25" customHeight="1">
      <c r="B72" s="150"/>
    </row>
    <row r="73" spans="2:2" ht="11.25" customHeight="1">
      <c r="B73" s="150"/>
    </row>
    <row r="74" spans="2:2" ht="11.25" customHeight="1">
      <c r="B74" s="150"/>
    </row>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row r="83" ht="11.25" customHeight="1"/>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5"/>
  <sheetViews>
    <sheetView showGridLines="0" workbookViewId="0">
      <pane xSplit="2" ySplit="4" topLeftCell="C20" activePane="bottomRight" state="frozen"/>
      <selection activeCell="O37" sqref="A1:IV65536"/>
      <selection pane="topRight" activeCell="O37" sqref="A1:IV65536"/>
      <selection pane="bottomLeft" activeCell="O37" sqref="A1:IV65536"/>
      <selection pane="bottomRight" activeCell="F36" sqref="F36"/>
    </sheetView>
  </sheetViews>
  <sheetFormatPr defaultRowHeight="12.75"/>
  <cols>
    <col min="1" max="1" width="30.7109375" style="150" customWidth="1"/>
    <col min="2" max="2" width="3" style="248" customWidth="1"/>
    <col min="3" max="8" width="9.28515625" style="150" customWidth="1"/>
    <col min="9" max="9" width="9.140625" style="150" customWidth="1"/>
    <col min="10" max="12" width="9.28515625" style="150"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2" s="180" customFormat="1">
      <c r="A1" s="148" t="str">
        <f>muni&amp;" - "&amp;TableA3</f>
        <v>KZN225 Msunduzi - Supporting Table SA3 Supportinging detail to 'Budgeted Financial Position'</v>
      </c>
      <c r="B1" s="148"/>
      <c r="C1" s="148"/>
      <c r="D1" s="148"/>
      <c r="E1" s="148"/>
      <c r="F1" s="148"/>
      <c r="G1" s="148"/>
      <c r="H1" s="148"/>
      <c r="I1" s="148"/>
      <c r="J1" s="148"/>
      <c r="K1" s="148"/>
      <c r="L1" s="148"/>
    </row>
    <row r="2" spans="1:12" ht="28.5" customHeight="1">
      <c r="A2" s="2439" t="str">
        <f>desc</f>
        <v>Description</v>
      </c>
      <c r="B2" s="2441" t="str">
        <f>head27</f>
        <v>Ref</v>
      </c>
      <c r="C2" s="151"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2" ht="33.75" customHeight="1">
      <c r="A3" s="2440"/>
      <c r="B3" s="2442"/>
      <c r="C3" s="153" t="str">
        <f>Head5</f>
        <v>Audited Outcome</v>
      </c>
      <c r="D3" s="153" t="str">
        <f>Head5</f>
        <v>Audited Outcome</v>
      </c>
      <c r="E3" s="154" t="str">
        <f>Head5</f>
        <v>Audited Outcome</v>
      </c>
      <c r="F3" s="152" t="str">
        <f>Head6</f>
        <v>Original Budget</v>
      </c>
      <c r="G3" s="153" t="str">
        <f>Head7</f>
        <v>Adjusted Budget</v>
      </c>
      <c r="H3" s="154" t="str">
        <f>Head8</f>
        <v>Full Year Forecast</v>
      </c>
      <c r="I3" s="155" t="str">
        <f>Head5b</f>
        <v>Pre-audit outcome</v>
      </c>
      <c r="J3" s="152" t="str">
        <f>Head9</f>
        <v>Budget Year 2011/12</v>
      </c>
      <c r="K3" s="153" t="str">
        <f>Head10</f>
        <v>Budget Year +1 2012/13</v>
      </c>
      <c r="L3" s="154" t="str">
        <f>Head11</f>
        <v>Budget Year +2 2013/14</v>
      </c>
    </row>
    <row r="4" spans="1:12" ht="11.25" customHeight="1">
      <c r="A4" s="181" t="s">
        <v>703</v>
      </c>
      <c r="B4" s="291"/>
      <c r="C4" s="138"/>
      <c r="D4" s="138"/>
      <c r="E4" s="157"/>
      <c r="F4" s="156"/>
      <c r="G4" s="138"/>
      <c r="H4" s="157"/>
      <c r="I4" s="158"/>
      <c r="J4" s="156"/>
      <c r="K4" s="138"/>
      <c r="L4" s="157"/>
    </row>
    <row r="5" spans="1:12" ht="11.25" customHeight="1">
      <c r="A5" s="327" t="s">
        <v>1104</v>
      </c>
      <c r="B5" s="292"/>
      <c r="C5" s="429"/>
      <c r="D5" s="429"/>
      <c r="E5" s="205"/>
      <c r="F5" s="206"/>
      <c r="G5" s="429"/>
      <c r="H5" s="205"/>
      <c r="I5" s="203"/>
      <c r="J5" s="430"/>
      <c r="K5" s="429"/>
      <c r="L5" s="205"/>
    </row>
    <row r="6" spans="1:12" ht="11.25" customHeight="1">
      <c r="A6" s="182" t="str">
        <f>'A6-FinPos'!A7</f>
        <v>Call investment deposits</v>
      </c>
      <c r="B6" s="294"/>
      <c r="C6" s="204"/>
      <c r="D6" s="204"/>
      <c r="E6" s="205"/>
      <c r="F6" s="206"/>
      <c r="G6" s="204"/>
      <c r="H6" s="205"/>
      <c r="I6" s="203"/>
      <c r="J6" s="207"/>
      <c r="K6" s="204"/>
      <c r="L6" s="205"/>
    </row>
    <row r="7" spans="1:12" ht="11.25" customHeight="1">
      <c r="A7" s="191" t="s">
        <v>881</v>
      </c>
      <c r="B7" s="294"/>
      <c r="C7" s="1080">
        <v>260420761</v>
      </c>
      <c r="D7" s="1081">
        <v>112867000</v>
      </c>
      <c r="E7" s="1710">
        <v>138024000</v>
      </c>
      <c r="F7" s="1712">
        <v>124900531</v>
      </c>
      <c r="G7" s="1708">
        <v>124900531</v>
      </c>
      <c r="H7" s="1708">
        <v>124900531</v>
      </c>
      <c r="I7" s="1708">
        <v>124900531</v>
      </c>
      <c r="J7" s="1730">
        <v>145000000</v>
      </c>
      <c r="K7" s="1708">
        <v>148905600</v>
      </c>
      <c r="L7" s="1730">
        <v>151243000</v>
      </c>
    </row>
    <row r="8" spans="1:12" ht="11.25" customHeight="1">
      <c r="A8" s="191" t="s">
        <v>1709</v>
      </c>
      <c r="B8" s="294"/>
      <c r="C8" s="1081"/>
      <c r="D8" s="1082"/>
      <c r="E8" s="1730"/>
      <c r="F8" s="1731"/>
      <c r="G8" s="1708"/>
      <c r="H8" s="1730"/>
      <c r="I8" s="1732"/>
      <c r="J8" s="1081"/>
      <c r="K8" s="1708"/>
      <c r="L8" s="1730"/>
    </row>
    <row r="9" spans="1:12" ht="11.25" customHeight="1">
      <c r="A9" s="327" t="str">
        <f>"Total "&amp;A6</f>
        <v>Total Call investment deposits</v>
      </c>
      <c r="B9" s="294">
        <v>2</v>
      </c>
      <c r="C9" s="214">
        <f>SUM(C7:C8)</f>
        <v>260420761</v>
      </c>
      <c r="D9" s="214">
        <f t="shared" ref="D9:L9" si="0">SUM(D7:D8)</f>
        <v>112867000</v>
      </c>
      <c r="E9" s="215">
        <f t="shared" si="0"/>
        <v>138024000</v>
      </c>
      <c r="F9" s="216">
        <f t="shared" si="0"/>
        <v>124900531</v>
      </c>
      <c r="G9" s="214">
        <f t="shared" si="0"/>
        <v>124900531</v>
      </c>
      <c r="H9" s="215">
        <f t="shared" si="0"/>
        <v>124900531</v>
      </c>
      <c r="I9" s="213">
        <f t="shared" si="0"/>
        <v>124900531</v>
      </c>
      <c r="J9" s="217">
        <f t="shared" si="0"/>
        <v>145000000</v>
      </c>
      <c r="K9" s="214">
        <f t="shared" si="0"/>
        <v>148905600</v>
      </c>
      <c r="L9" s="215">
        <f t="shared" si="0"/>
        <v>151243000</v>
      </c>
    </row>
    <row r="10" spans="1:12" ht="5.0999999999999996" customHeight="1">
      <c r="A10" s="202"/>
      <c r="B10" s="294"/>
      <c r="C10" s="204"/>
      <c r="D10" s="204"/>
      <c r="E10" s="205"/>
      <c r="F10" s="206"/>
      <c r="G10" s="204"/>
      <c r="H10" s="205"/>
      <c r="I10" s="203"/>
      <c r="J10" s="207"/>
      <c r="K10" s="204"/>
      <c r="L10" s="205"/>
    </row>
    <row r="11" spans="1:12" ht="11.25" customHeight="1">
      <c r="A11" s="182" t="str">
        <f>'A6-FinPos'!A8</f>
        <v>Consumer debtors</v>
      </c>
      <c r="B11" s="294"/>
      <c r="C11" s="204"/>
      <c r="D11" s="204"/>
      <c r="E11" s="205"/>
      <c r="F11" s="206"/>
      <c r="G11" s="204"/>
      <c r="H11" s="205"/>
      <c r="I11" s="203"/>
      <c r="J11" s="207"/>
      <c r="K11" s="204"/>
      <c r="L11" s="205"/>
    </row>
    <row r="12" spans="1:12" ht="11.25" customHeight="1">
      <c r="A12" s="191" t="str">
        <f>A11</f>
        <v>Consumer debtors</v>
      </c>
      <c r="B12" s="294"/>
      <c r="C12" s="1081">
        <v>435431707</v>
      </c>
      <c r="D12" s="1082">
        <f>505554000-2995000</f>
        <v>502559000</v>
      </c>
      <c r="E12" s="1710">
        <f>645057710-231862000</f>
        <v>413195710</v>
      </c>
      <c r="F12" s="1712">
        <f>834193000-74995000</f>
        <v>759198000</v>
      </c>
      <c r="G12" s="1712">
        <v>834193000</v>
      </c>
      <c r="H12" s="1712">
        <v>834193000</v>
      </c>
      <c r="I12" s="1712">
        <v>834193000</v>
      </c>
      <c r="J12" s="1708">
        <v>924193000</v>
      </c>
      <c r="K12" s="1708">
        <v>1014193000</v>
      </c>
      <c r="L12" s="1708">
        <v>1104193000</v>
      </c>
    </row>
    <row r="13" spans="1:12" ht="11.25" customHeight="1">
      <c r="A13" s="418" t="s">
        <v>394</v>
      </c>
      <c r="B13" s="294"/>
      <c r="C13" s="1081">
        <v>-178592417</v>
      </c>
      <c r="D13" s="1082">
        <v>-182249000</v>
      </c>
      <c r="E13" s="1084">
        <v>-198392417</v>
      </c>
      <c r="F13" s="1731">
        <v>-219817360</v>
      </c>
      <c r="G13" s="1731">
        <v>-96000000</v>
      </c>
      <c r="H13" s="1731">
        <v>-96000000</v>
      </c>
      <c r="I13" s="1731">
        <v>-96000000</v>
      </c>
      <c r="J13" s="1731">
        <v>-160917200</v>
      </c>
      <c r="K13" s="1731">
        <v>-169445812</v>
      </c>
      <c r="L13" s="1731">
        <v>-178765331</v>
      </c>
    </row>
    <row r="14" spans="1:12" ht="11.25" customHeight="1">
      <c r="A14" s="327" t="str">
        <f>"Total "&amp;A11</f>
        <v>Total Consumer debtors</v>
      </c>
      <c r="B14" s="294">
        <v>2</v>
      </c>
      <c r="C14" s="214">
        <f>SUM(C12:C13)</f>
        <v>256839290</v>
      </c>
      <c r="D14" s="214">
        <f t="shared" ref="D14:L14" si="1">SUM(D12:D13)</f>
        <v>320310000</v>
      </c>
      <c r="E14" s="215">
        <f t="shared" si="1"/>
        <v>214803293</v>
      </c>
      <c r="F14" s="216">
        <f>SUM(F12:F13)</f>
        <v>539380640</v>
      </c>
      <c r="G14" s="214">
        <f t="shared" si="1"/>
        <v>738193000</v>
      </c>
      <c r="H14" s="215">
        <f t="shared" si="1"/>
        <v>738193000</v>
      </c>
      <c r="I14" s="213">
        <f t="shared" si="1"/>
        <v>738193000</v>
      </c>
      <c r="J14" s="217">
        <f t="shared" si="1"/>
        <v>763275800</v>
      </c>
      <c r="K14" s="214">
        <f t="shared" si="1"/>
        <v>844747188</v>
      </c>
      <c r="L14" s="215">
        <f t="shared" si="1"/>
        <v>925427669</v>
      </c>
    </row>
    <row r="15" spans="1:12" ht="5.0999999999999996" customHeight="1">
      <c r="A15" s="202"/>
      <c r="B15" s="294"/>
      <c r="C15" s="204"/>
      <c r="D15" s="204"/>
      <c r="E15" s="205"/>
      <c r="F15" s="206"/>
      <c r="G15" s="204"/>
      <c r="H15" s="205"/>
      <c r="I15" s="203"/>
      <c r="J15" s="207"/>
      <c r="K15" s="204"/>
      <c r="L15" s="205"/>
    </row>
    <row r="16" spans="1:12" ht="11.25" customHeight="1">
      <c r="A16" s="1230" t="s">
        <v>3</v>
      </c>
      <c r="B16" s="294"/>
      <c r="C16" s="204"/>
      <c r="D16" s="204"/>
      <c r="E16" s="205"/>
      <c r="F16" s="206"/>
      <c r="G16" s="204"/>
      <c r="H16" s="205"/>
      <c r="I16" s="203"/>
      <c r="J16" s="207"/>
      <c r="K16" s="204"/>
      <c r="L16" s="205"/>
    </row>
    <row r="17" spans="1:12" ht="11.25" customHeight="1">
      <c r="A17" s="421" t="s">
        <v>4</v>
      </c>
      <c r="B17" s="294"/>
      <c r="C17" s="1708">
        <v>-207017944</v>
      </c>
      <c r="D17" s="1708">
        <v>-178592418</v>
      </c>
      <c r="E17" s="1730">
        <v>-182000434</v>
      </c>
      <c r="F17" s="1712">
        <v>-614381000</v>
      </c>
      <c r="G17" s="1712">
        <v>-614381000</v>
      </c>
      <c r="H17" s="1712">
        <v>-614381000</v>
      </c>
      <c r="I17" s="1712">
        <v>-614381000</v>
      </c>
      <c r="J17" s="1710">
        <v>-759198000</v>
      </c>
      <c r="K17" s="1710">
        <v>-759198000</v>
      </c>
      <c r="L17" s="1710">
        <v>-759198000</v>
      </c>
    </row>
    <row r="18" spans="1:12" ht="11.25" customHeight="1">
      <c r="A18" s="421" t="s">
        <v>5</v>
      </c>
      <c r="B18" s="294"/>
      <c r="C18" s="1708">
        <v>-70000000</v>
      </c>
      <c r="D18" s="1708">
        <v>-10000000</v>
      </c>
      <c r="E18" s="1730">
        <v>-250539606</v>
      </c>
      <c r="F18" s="1712"/>
      <c r="G18" s="1712">
        <v>-219817000</v>
      </c>
      <c r="H18" s="1712">
        <v>-96000000</v>
      </c>
      <c r="I18" s="1712">
        <v>-96000000</v>
      </c>
      <c r="J18" s="1710">
        <v>-160917200</v>
      </c>
      <c r="K18" s="1708">
        <v>-169445812</v>
      </c>
      <c r="L18" s="1730">
        <v>-178765331</v>
      </c>
    </row>
    <row r="19" spans="1:12" ht="11.25" customHeight="1">
      <c r="A19" s="421" t="s">
        <v>6</v>
      </c>
      <c r="B19" s="294"/>
      <c r="C19" s="1708">
        <v>98425526</v>
      </c>
      <c r="D19" s="1708">
        <v>6591984</v>
      </c>
      <c r="E19" s="1730">
        <v>1961909</v>
      </c>
      <c r="F19" s="1712">
        <v>75000000</v>
      </c>
      <c r="G19" s="1712">
        <v>75000000</v>
      </c>
      <c r="H19" s="1712">
        <v>75000000</v>
      </c>
      <c r="I19" s="1712">
        <v>75000000</v>
      </c>
      <c r="J19" s="1710"/>
      <c r="K19" s="1708"/>
      <c r="L19" s="1730"/>
    </row>
    <row r="20" spans="1:12" ht="11.25" customHeight="1">
      <c r="A20" s="1229" t="s">
        <v>7</v>
      </c>
      <c r="B20" s="294"/>
      <c r="C20" s="214">
        <f>SUM(C17:C19)</f>
        <v>-178592418</v>
      </c>
      <c r="D20" s="214">
        <f t="shared" ref="D20:L20" si="2">SUM(D17:D19)</f>
        <v>-182000434</v>
      </c>
      <c r="E20" s="215">
        <f t="shared" si="2"/>
        <v>-430578131</v>
      </c>
      <c r="F20" s="216">
        <f t="shared" si="2"/>
        <v>-539381000</v>
      </c>
      <c r="G20" s="214">
        <f t="shared" si="2"/>
        <v>-759198000</v>
      </c>
      <c r="H20" s="215">
        <f t="shared" si="2"/>
        <v>-635381000</v>
      </c>
      <c r="I20" s="213">
        <f t="shared" si="2"/>
        <v>-635381000</v>
      </c>
      <c r="J20" s="217">
        <f t="shared" si="2"/>
        <v>-920115200</v>
      </c>
      <c r="K20" s="214">
        <f t="shared" si="2"/>
        <v>-928643812</v>
      </c>
      <c r="L20" s="215">
        <f t="shared" si="2"/>
        <v>-937963331</v>
      </c>
    </row>
    <row r="21" spans="1:12" ht="5.0999999999999996" customHeight="1">
      <c r="A21" s="202"/>
      <c r="B21" s="294"/>
      <c r="C21" s="204"/>
      <c r="D21" s="204"/>
      <c r="E21" s="205"/>
      <c r="F21" s="206"/>
      <c r="G21" s="204"/>
      <c r="H21" s="205"/>
      <c r="I21" s="203"/>
      <c r="J21" s="207"/>
      <c r="K21" s="204"/>
      <c r="L21" s="205"/>
    </row>
    <row r="22" spans="1:12" ht="11.25" customHeight="1">
      <c r="A22" s="182" t="str">
        <f>'A6-FinPos'!A19&amp;" (PPE)"</f>
        <v>Property, plant and equipment (PPE)</v>
      </c>
      <c r="B22" s="294"/>
      <c r="C22" s="204"/>
      <c r="D22" s="204"/>
      <c r="E22" s="205"/>
      <c r="F22" s="206"/>
      <c r="G22" s="204"/>
      <c r="H22" s="205"/>
      <c r="I22" s="203"/>
      <c r="J22" s="207"/>
      <c r="K22" s="204"/>
      <c r="L22" s="205"/>
    </row>
    <row r="23" spans="1:12" ht="11.25" customHeight="1">
      <c r="A23" s="326" t="s">
        <v>1825</v>
      </c>
      <c r="B23" s="294"/>
      <c r="C23" s="1081">
        <v>2229338854</v>
      </c>
      <c r="D23" s="1082">
        <v>2510303955</v>
      </c>
      <c r="E23" s="1084">
        <f>6543092991+787469000</f>
        <v>7330561991</v>
      </c>
      <c r="F23" s="1712">
        <f>6631369000+535251000</f>
        <v>7166620000</v>
      </c>
      <c r="G23" s="1708">
        <v>7794521343</v>
      </c>
      <c r="H23" s="1708">
        <v>7794521343</v>
      </c>
      <c r="I23" s="1708">
        <v>7794521343</v>
      </c>
      <c r="J23" s="1081">
        <v>7995336342</v>
      </c>
      <c r="K23" s="1708">
        <v>8090836342</v>
      </c>
      <c r="L23" s="1730">
        <v>8142836342</v>
      </c>
    </row>
    <row r="24" spans="1:12" ht="11.25" customHeight="1">
      <c r="A24" s="326" t="s">
        <v>1141</v>
      </c>
      <c r="B24" s="294">
        <v>3</v>
      </c>
      <c r="C24" s="1081"/>
      <c r="D24" s="1082"/>
      <c r="E24" s="1084"/>
      <c r="F24" s="1712"/>
      <c r="G24" s="1708"/>
      <c r="H24" s="1708"/>
      <c r="I24" s="1708"/>
      <c r="J24" s="1081"/>
      <c r="K24" s="1708"/>
      <c r="L24" s="1730"/>
    </row>
    <row r="25" spans="1:12" ht="11.25" customHeight="1">
      <c r="A25" s="1627" t="s">
        <v>882</v>
      </c>
      <c r="B25" s="294"/>
      <c r="C25" s="1081">
        <v>988054219</v>
      </c>
      <c r="D25" s="1082">
        <v>1054616956</v>
      </c>
      <c r="E25" s="1084">
        <v>1108842671</v>
      </c>
      <c r="F25" s="1712">
        <v>127010000</v>
      </c>
      <c r="G25" s="1708">
        <v>1284432674</v>
      </c>
      <c r="H25" s="1708">
        <v>1284432674</v>
      </c>
      <c r="I25" s="1708">
        <v>1284432674</v>
      </c>
      <c r="J25" s="1081">
        <v>1409144874</v>
      </c>
      <c r="K25" s="1708">
        <v>1540466477</v>
      </c>
      <c r="L25" s="1730">
        <v>1679010768</v>
      </c>
    </row>
    <row r="26" spans="1:12" ht="11.25" customHeight="1">
      <c r="A26" s="327" t="str">
        <f>"Total "&amp;A22</f>
        <v>Total Property, plant and equipment (PPE)</v>
      </c>
      <c r="B26" s="294">
        <v>2</v>
      </c>
      <c r="C26" s="214">
        <f>SUM(C23:C24)-C25</f>
        <v>1241284635</v>
      </c>
      <c r="D26" s="214">
        <f t="shared" ref="D26:L26" si="3">SUM(D23:D24)-D25</f>
        <v>1455686999</v>
      </c>
      <c r="E26" s="215">
        <f t="shared" si="3"/>
        <v>6221719320</v>
      </c>
      <c r="F26" s="216">
        <f t="shared" si="3"/>
        <v>7039610000</v>
      </c>
      <c r="G26" s="214">
        <f t="shared" si="3"/>
        <v>6510088669</v>
      </c>
      <c r="H26" s="215">
        <f t="shared" si="3"/>
        <v>6510088669</v>
      </c>
      <c r="I26" s="213">
        <f t="shared" si="3"/>
        <v>6510088669</v>
      </c>
      <c r="J26" s="217">
        <f t="shared" si="3"/>
        <v>6586191468</v>
      </c>
      <c r="K26" s="214">
        <f t="shared" si="3"/>
        <v>6550369865</v>
      </c>
      <c r="L26" s="215">
        <f t="shared" si="3"/>
        <v>6463825574</v>
      </c>
    </row>
    <row r="27" spans="1:12" ht="5.0999999999999996" customHeight="1">
      <c r="A27" s="202"/>
      <c r="B27" s="294"/>
      <c r="C27" s="204"/>
      <c r="D27" s="204"/>
      <c r="E27" s="205"/>
      <c r="F27" s="206"/>
      <c r="G27" s="204"/>
      <c r="H27" s="205"/>
      <c r="I27" s="203"/>
      <c r="J27" s="207"/>
      <c r="K27" s="204"/>
      <c r="L27" s="205"/>
    </row>
    <row r="28" spans="1:12" ht="15.75" customHeight="1">
      <c r="A28" s="410" t="s">
        <v>603</v>
      </c>
      <c r="B28" s="411"/>
      <c r="C28" s="412"/>
      <c r="D28" s="412"/>
      <c r="E28" s="413"/>
      <c r="F28" s="414"/>
      <c r="G28" s="412"/>
      <c r="H28" s="413"/>
      <c r="I28" s="415"/>
      <c r="J28" s="416"/>
      <c r="K28" s="412"/>
      <c r="L28" s="413"/>
    </row>
    <row r="29" spans="1:12" ht="11.25" customHeight="1">
      <c r="A29" s="182" t="str">
        <f>'A6-FinPos'!A28&amp;" - "&amp;'A6-FinPos'!A30</f>
        <v>Current liabilities - Borrowing</v>
      </c>
      <c r="B29" s="294"/>
      <c r="C29" s="204"/>
      <c r="D29" s="204"/>
      <c r="E29" s="205"/>
      <c r="F29" s="206"/>
      <c r="G29" s="204"/>
      <c r="H29" s="205"/>
      <c r="I29" s="203"/>
      <c r="J29" s="207"/>
      <c r="K29" s="204"/>
      <c r="L29" s="205"/>
    </row>
    <row r="30" spans="1:12" ht="11.25" customHeight="1">
      <c r="A30" s="191" t="s">
        <v>743</v>
      </c>
      <c r="B30" s="294"/>
      <c r="C30" s="1081"/>
      <c r="D30" s="1082"/>
      <c r="E30" s="1730"/>
      <c r="F30" s="1731"/>
      <c r="G30" s="1708"/>
      <c r="H30" s="1730"/>
      <c r="I30" s="1732"/>
      <c r="J30" s="1081"/>
      <c r="K30" s="1708"/>
      <c r="L30" s="1730"/>
    </row>
    <row r="31" spans="1:12" ht="11.25" customHeight="1">
      <c r="A31" s="191" t="s">
        <v>1653</v>
      </c>
      <c r="B31" s="294"/>
      <c r="C31" s="1081">
        <v>40544487</v>
      </c>
      <c r="D31" s="1082">
        <v>85433653</v>
      </c>
      <c r="E31" s="1084">
        <v>47969108</v>
      </c>
      <c r="F31" s="1712">
        <v>38402000</v>
      </c>
      <c r="G31" s="1708">
        <v>42310273</v>
      </c>
      <c r="H31" s="1708">
        <v>42310273</v>
      </c>
      <c r="I31" s="1708">
        <v>42310273</v>
      </c>
      <c r="J31" s="1081">
        <v>41734041</v>
      </c>
      <c r="K31" s="1708">
        <v>41779139</v>
      </c>
      <c r="L31" s="1730">
        <v>37935450</v>
      </c>
    </row>
    <row r="32" spans="1:12" ht="11.25" customHeight="1">
      <c r="A32" s="327" t="str">
        <f>"Total "&amp;A29</f>
        <v>Total Current liabilities - Borrowing</v>
      </c>
      <c r="B32" s="294"/>
      <c r="C32" s="214">
        <f>SUM(C30:C31)</f>
        <v>40544487</v>
      </c>
      <c r="D32" s="214">
        <f t="shared" ref="D32:L32" si="4">SUM(D30:D31)</f>
        <v>85433653</v>
      </c>
      <c r="E32" s="215">
        <f t="shared" si="4"/>
        <v>47969108</v>
      </c>
      <c r="F32" s="216">
        <f t="shared" si="4"/>
        <v>38402000</v>
      </c>
      <c r="G32" s="214">
        <f t="shared" si="4"/>
        <v>42310273</v>
      </c>
      <c r="H32" s="215">
        <f t="shared" si="4"/>
        <v>42310273</v>
      </c>
      <c r="I32" s="213">
        <f t="shared" si="4"/>
        <v>42310273</v>
      </c>
      <c r="J32" s="217">
        <f t="shared" si="4"/>
        <v>41734041</v>
      </c>
      <c r="K32" s="214">
        <f t="shared" si="4"/>
        <v>41779139</v>
      </c>
      <c r="L32" s="215">
        <f t="shared" si="4"/>
        <v>37935450</v>
      </c>
    </row>
    <row r="33" spans="1:12" ht="5.0999999999999996" customHeight="1">
      <c r="A33" s="202"/>
      <c r="B33" s="294"/>
      <c r="C33" s="204"/>
      <c r="D33" s="204"/>
      <c r="E33" s="205"/>
      <c r="F33" s="206"/>
      <c r="G33" s="204"/>
      <c r="H33" s="205"/>
      <c r="I33" s="203"/>
      <c r="J33" s="207"/>
      <c r="K33" s="204"/>
      <c r="L33" s="205"/>
    </row>
    <row r="34" spans="1:12" ht="11.25" customHeight="1">
      <c r="A34" s="182" t="str">
        <f>'A6-FinPos'!A32</f>
        <v>Trade and other payables</v>
      </c>
      <c r="B34" s="294"/>
      <c r="C34" s="316"/>
      <c r="D34" s="316"/>
      <c r="E34" s="319"/>
      <c r="F34" s="318"/>
      <c r="G34" s="316"/>
      <c r="H34" s="319"/>
      <c r="I34" s="317"/>
      <c r="J34" s="409"/>
      <c r="K34" s="316"/>
      <c r="L34" s="319"/>
    </row>
    <row r="35" spans="1:12" ht="11.25" customHeight="1">
      <c r="A35" s="326" t="s">
        <v>1041</v>
      </c>
      <c r="B35" s="294"/>
      <c r="C35" s="1081">
        <v>295422470</v>
      </c>
      <c r="D35" s="1082">
        <v>309786616</v>
      </c>
      <c r="E35" s="1084">
        <v>325924128</v>
      </c>
      <c r="F35" s="1712">
        <f>210307000-700000</f>
        <v>209607000</v>
      </c>
      <c r="G35" s="1708">
        <v>210307000</v>
      </c>
      <c r="H35" s="1730">
        <v>210307000</v>
      </c>
      <c r="I35" s="1732">
        <v>210307000</v>
      </c>
      <c r="J35" s="1081">
        <v>245450000</v>
      </c>
      <c r="K35" s="1708">
        <v>258458850</v>
      </c>
      <c r="L35" s="1730">
        <v>272674087</v>
      </c>
    </row>
    <row r="36" spans="1:12" ht="11.25" customHeight="1">
      <c r="A36" s="326" t="s">
        <v>1155</v>
      </c>
      <c r="B36" s="294"/>
      <c r="C36" s="1081">
        <v>124585407</v>
      </c>
      <c r="D36" s="1082">
        <v>102271128</v>
      </c>
      <c r="E36" s="1084">
        <v>140882033</v>
      </c>
      <c r="F36" s="1712">
        <v>73567000</v>
      </c>
      <c r="G36" s="1708">
        <v>73567000</v>
      </c>
      <c r="H36" s="1730">
        <v>73567000</v>
      </c>
      <c r="I36" s="1732">
        <v>73567000</v>
      </c>
      <c r="J36" s="1081"/>
      <c r="K36" s="1708"/>
      <c r="L36" s="1730"/>
    </row>
    <row r="37" spans="1:12" ht="11.25" customHeight="1">
      <c r="A37" s="326" t="s">
        <v>1652</v>
      </c>
      <c r="B37" s="294"/>
      <c r="C37" s="1081">
        <v>5452189</v>
      </c>
      <c r="D37" s="1082">
        <v>27723000</v>
      </c>
      <c r="E37" s="1084">
        <v>22512954</v>
      </c>
      <c r="F37" s="1712">
        <v>55538000</v>
      </c>
      <c r="G37" s="1708">
        <v>55538000</v>
      </c>
      <c r="H37" s="1730">
        <v>55538000</v>
      </c>
      <c r="I37" s="1732">
        <v>55538000</v>
      </c>
      <c r="J37" s="1081">
        <v>24000000</v>
      </c>
      <c r="K37" s="1708">
        <v>23000000</v>
      </c>
      <c r="L37" s="1730">
        <v>25000000</v>
      </c>
    </row>
    <row r="38" spans="1:12" ht="11.25" customHeight="1">
      <c r="A38" s="327" t="str">
        <f>"Total "&amp;A34</f>
        <v>Total Trade and other payables</v>
      </c>
      <c r="B38" s="294">
        <v>2</v>
      </c>
      <c r="C38" s="214">
        <f t="shared" ref="C38:K38" si="5">SUM(C35:C37)</f>
        <v>425460066</v>
      </c>
      <c r="D38" s="214">
        <f t="shared" si="5"/>
        <v>439780744</v>
      </c>
      <c r="E38" s="215">
        <f t="shared" si="5"/>
        <v>489319115</v>
      </c>
      <c r="F38" s="216">
        <f t="shared" si="5"/>
        <v>338712000</v>
      </c>
      <c r="G38" s="214">
        <f t="shared" si="5"/>
        <v>339412000</v>
      </c>
      <c r="H38" s="215">
        <f t="shared" si="5"/>
        <v>339412000</v>
      </c>
      <c r="I38" s="213">
        <f t="shared" si="5"/>
        <v>339412000</v>
      </c>
      <c r="J38" s="217">
        <f t="shared" si="5"/>
        <v>269450000</v>
      </c>
      <c r="K38" s="214">
        <f t="shared" si="5"/>
        <v>281458850</v>
      </c>
      <c r="L38" s="215">
        <f>SUM(L35:L37)</f>
        <v>297674087</v>
      </c>
    </row>
    <row r="39" spans="1:12" ht="5.0999999999999996" customHeight="1">
      <c r="A39" s="202"/>
      <c r="B39" s="294"/>
      <c r="C39" s="204"/>
      <c r="D39" s="204"/>
      <c r="E39" s="205"/>
      <c r="F39" s="206"/>
      <c r="G39" s="204"/>
      <c r="H39" s="205"/>
      <c r="I39" s="203"/>
      <c r="J39" s="207"/>
      <c r="K39" s="204"/>
      <c r="L39" s="205"/>
    </row>
    <row r="40" spans="1:12" ht="11.25" customHeight="1">
      <c r="A40" s="182" t="str">
        <f>'A6-FinPos'!A36&amp;" - "&amp;'A6-FinPos'!A37</f>
        <v>Non current liabilities - Borrowing</v>
      </c>
      <c r="B40" s="294"/>
      <c r="C40" s="204"/>
      <c r="D40" s="204"/>
      <c r="E40" s="205"/>
      <c r="F40" s="206"/>
      <c r="G40" s="204"/>
      <c r="H40" s="205"/>
      <c r="I40" s="203"/>
      <c r="J40" s="207"/>
      <c r="K40" s="204"/>
      <c r="L40" s="205"/>
    </row>
    <row r="41" spans="1:12" ht="11.25" customHeight="1">
      <c r="A41" s="191" t="s">
        <v>1392</v>
      </c>
      <c r="B41" s="294">
        <v>4</v>
      </c>
      <c r="C41" s="1081">
        <v>344437394</v>
      </c>
      <c r="D41" s="1082">
        <v>339781000</v>
      </c>
      <c r="E41" s="1084">
        <v>562978504</v>
      </c>
      <c r="F41" s="1712">
        <v>682198000</v>
      </c>
      <c r="G41" s="1708">
        <v>516294563</v>
      </c>
      <c r="H41" s="1730">
        <v>516294563</v>
      </c>
      <c r="I41" s="1732">
        <v>516294563</v>
      </c>
      <c r="J41" s="1081">
        <v>474560522</v>
      </c>
      <c r="K41" s="1708">
        <v>432781382</v>
      </c>
      <c r="L41" s="1730">
        <v>394845932</v>
      </c>
    </row>
    <row r="42" spans="1:12" ht="11.25" customHeight="1">
      <c r="A42" s="191" t="s">
        <v>1131</v>
      </c>
      <c r="B42" s="294"/>
      <c r="C42" s="1708"/>
      <c r="D42" s="1708"/>
      <c r="E42" s="1730">
        <v>7150234</v>
      </c>
      <c r="F42" s="1731"/>
      <c r="G42" s="1708"/>
      <c r="H42" s="1730"/>
      <c r="I42" s="1732"/>
      <c r="J42" s="1081"/>
      <c r="K42" s="1708"/>
      <c r="L42" s="1730"/>
    </row>
    <row r="43" spans="1:12" ht="11.25" customHeight="1">
      <c r="A43" s="327" t="str">
        <f>"Total "&amp;A40</f>
        <v>Total Non current liabilities - Borrowing</v>
      </c>
      <c r="B43" s="294"/>
      <c r="C43" s="214">
        <f>SUM(C41:C42)</f>
        <v>344437394</v>
      </c>
      <c r="D43" s="214">
        <f t="shared" ref="D43:L43" si="6">SUM(D41:D42)</f>
        <v>339781000</v>
      </c>
      <c r="E43" s="215">
        <f t="shared" si="6"/>
        <v>570128738</v>
      </c>
      <c r="F43" s="216">
        <f t="shared" si="6"/>
        <v>682198000</v>
      </c>
      <c r="G43" s="214">
        <f t="shared" si="6"/>
        <v>516294563</v>
      </c>
      <c r="H43" s="215">
        <f t="shared" si="6"/>
        <v>516294563</v>
      </c>
      <c r="I43" s="213">
        <f t="shared" si="6"/>
        <v>516294563</v>
      </c>
      <c r="J43" s="217">
        <f t="shared" si="6"/>
        <v>474560522</v>
      </c>
      <c r="K43" s="214">
        <f t="shared" si="6"/>
        <v>432781382</v>
      </c>
      <c r="L43" s="215">
        <f t="shared" si="6"/>
        <v>394845932</v>
      </c>
    </row>
    <row r="44" spans="1:12" ht="5.0999999999999996" customHeight="1">
      <c r="A44" s="202"/>
      <c r="B44" s="294"/>
      <c r="C44" s="204"/>
      <c r="D44" s="204"/>
      <c r="E44" s="205"/>
      <c r="F44" s="206"/>
      <c r="G44" s="204"/>
      <c r="H44" s="205"/>
      <c r="I44" s="203"/>
      <c r="J44" s="207"/>
      <c r="K44" s="204"/>
      <c r="L44" s="205"/>
    </row>
    <row r="45" spans="1:12" ht="11.25" customHeight="1">
      <c r="A45" s="182" t="str">
        <f>'A6-FinPos'!A38&amp;" - non-current"</f>
        <v>Provisions - non-current</v>
      </c>
      <c r="B45" s="294"/>
      <c r="C45" s="204"/>
      <c r="D45" s="204"/>
      <c r="E45" s="205"/>
      <c r="F45" s="206"/>
      <c r="G45" s="204"/>
      <c r="H45" s="205"/>
      <c r="I45" s="203"/>
      <c r="J45" s="207"/>
      <c r="K45" s="204"/>
      <c r="L45" s="205"/>
    </row>
    <row r="46" spans="1:12" ht="11.25" customHeight="1">
      <c r="A46" s="191" t="s">
        <v>1474</v>
      </c>
      <c r="B46" s="294"/>
      <c r="C46" s="1081">
        <v>50000000</v>
      </c>
      <c r="D46" s="1708">
        <v>48089800</v>
      </c>
      <c r="E46" s="1084">
        <v>53007482</v>
      </c>
      <c r="F46" s="1084">
        <v>53007482</v>
      </c>
      <c r="G46" s="1084">
        <v>53007482</v>
      </c>
      <c r="H46" s="1084">
        <v>53007482</v>
      </c>
      <c r="I46" s="1084">
        <v>53007482</v>
      </c>
      <c r="J46" s="1084">
        <v>53007482</v>
      </c>
      <c r="K46" s="1084">
        <v>53007482</v>
      </c>
      <c r="L46" s="1084">
        <v>53007482</v>
      </c>
    </row>
    <row r="47" spans="1:12" ht="11.25" customHeight="1">
      <c r="A47" s="419" t="s">
        <v>1476</v>
      </c>
      <c r="B47" s="294"/>
      <c r="C47" s="204"/>
      <c r="D47" s="204"/>
      <c r="E47" s="205"/>
      <c r="F47" s="206"/>
      <c r="G47" s="204"/>
      <c r="H47" s="205"/>
      <c r="I47" s="203"/>
      <c r="J47" s="207"/>
      <c r="K47" s="204"/>
      <c r="L47" s="205"/>
    </row>
    <row r="48" spans="1:12" ht="11.25" customHeight="1">
      <c r="A48" s="1727" t="s">
        <v>289</v>
      </c>
      <c r="B48" s="294"/>
      <c r="C48" s="1081">
        <v>27500000</v>
      </c>
      <c r="D48" s="1082">
        <v>0</v>
      </c>
      <c r="E48" s="1084">
        <v>3623648</v>
      </c>
      <c r="F48" s="1712">
        <v>17833000</v>
      </c>
      <c r="G48" s="1712">
        <v>17833000</v>
      </c>
      <c r="H48" s="1712">
        <v>17833000</v>
      </c>
      <c r="I48" s="1712">
        <v>17833000</v>
      </c>
      <c r="J48" s="1084">
        <v>13779153</v>
      </c>
      <c r="K48" s="1084">
        <v>13779153</v>
      </c>
      <c r="L48" s="1084">
        <v>13779153</v>
      </c>
    </row>
    <row r="49" spans="1:12" ht="11.25" customHeight="1">
      <c r="A49" s="1727" t="s">
        <v>301</v>
      </c>
      <c r="B49" s="294"/>
      <c r="C49" s="1081">
        <v>410279</v>
      </c>
      <c r="D49" s="1082">
        <v>866110000</v>
      </c>
      <c r="E49" s="1084"/>
      <c r="F49" s="1731"/>
      <c r="G49" s="1708"/>
      <c r="H49" s="1730"/>
      <c r="I49" s="1732"/>
      <c r="J49" s="1081"/>
      <c r="K49" s="1708"/>
      <c r="L49" s="1730"/>
    </row>
    <row r="50" spans="1:12" ht="11.25" customHeight="1">
      <c r="A50" s="327" t="str">
        <f>"Total "&amp;A45</f>
        <v>Total Provisions - non-current</v>
      </c>
      <c r="B50" s="294"/>
      <c r="C50" s="214">
        <f t="shared" ref="C50:L50" si="7">SUM(C46:C49)</f>
        <v>77910279</v>
      </c>
      <c r="D50" s="214">
        <f t="shared" si="7"/>
        <v>914199800</v>
      </c>
      <c r="E50" s="215">
        <f t="shared" si="7"/>
        <v>56631130</v>
      </c>
      <c r="F50" s="216">
        <f t="shared" si="7"/>
        <v>70840482</v>
      </c>
      <c r="G50" s="214">
        <f t="shared" si="7"/>
        <v>70840482</v>
      </c>
      <c r="H50" s="215">
        <f t="shared" si="7"/>
        <v>70840482</v>
      </c>
      <c r="I50" s="213">
        <f t="shared" si="7"/>
        <v>70840482</v>
      </c>
      <c r="J50" s="217">
        <f t="shared" si="7"/>
        <v>66786635</v>
      </c>
      <c r="K50" s="214">
        <f t="shared" si="7"/>
        <v>66786635</v>
      </c>
      <c r="L50" s="215">
        <f t="shared" si="7"/>
        <v>66786635</v>
      </c>
    </row>
    <row r="51" spans="1:12" ht="5.0999999999999996" customHeight="1">
      <c r="A51" s="202"/>
      <c r="B51" s="294"/>
      <c r="C51" s="204"/>
      <c r="D51" s="204"/>
      <c r="E51" s="205"/>
      <c r="F51" s="206"/>
      <c r="G51" s="204"/>
      <c r="H51" s="205"/>
      <c r="I51" s="203"/>
      <c r="J51" s="207"/>
      <c r="K51" s="204"/>
      <c r="L51" s="205"/>
    </row>
    <row r="52" spans="1:12" ht="15.75" customHeight="1">
      <c r="A52" s="431" t="s">
        <v>1154</v>
      </c>
      <c r="B52" s="411"/>
      <c r="C52" s="412"/>
      <c r="D52" s="412"/>
      <c r="E52" s="413"/>
      <c r="F52" s="414"/>
      <c r="G52" s="412"/>
      <c r="H52" s="413"/>
      <c r="I52" s="415"/>
      <c r="J52" s="416"/>
      <c r="K52" s="412"/>
      <c r="L52" s="413"/>
    </row>
    <row r="53" spans="1:12" ht="11.25" customHeight="1">
      <c r="A53" s="405" t="str">
        <f>'A6-FinPos'!A45</f>
        <v>Accumulated Surplus/(Deficit)</v>
      </c>
      <c r="B53" s="294"/>
      <c r="C53" s="204"/>
      <c r="D53" s="204"/>
      <c r="E53" s="205"/>
      <c r="F53" s="206"/>
      <c r="G53" s="204"/>
      <c r="H53" s="205"/>
      <c r="I53" s="203"/>
      <c r="J53" s="207"/>
      <c r="K53" s="204"/>
      <c r="L53" s="205"/>
    </row>
    <row r="54" spans="1:12" ht="11.25" customHeight="1">
      <c r="A54" s="191" t="str">
        <f>A53&amp;" - opening balance"</f>
        <v>Accumulated Surplus/(Deficit) - opening balance</v>
      </c>
      <c r="B54" s="294"/>
      <c r="C54" s="1081">
        <v>319531000</v>
      </c>
      <c r="D54" s="1082">
        <v>319531000</v>
      </c>
      <c r="E54" s="1084">
        <v>5245543499</v>
      </c>
      <c r="F54" s="1731">
        <v>5012562666</v>
      </c>
      <c r="G54" s="1731">
        <v>5012562666</v>
      </c>
      <c r="H54" s="1731">
        <v>5012562666</v>
      </c>
      <c r="I54" s="1731">
        <v>5012562666</v>
      </c>
      <c r="J54" s="1081">
        <v>5023851000</v>
      </c>
      <c r="K54" s="1081">
        <v>5023851000</v>
      </c>
      <c r="L54" s="1081">
        <v>5023851000</v>
      </c>
    </row>
    <row r="55" spans="1:12" ht="11.25" customHeight="1">
      <c r="A55" s="191" t="s">
        <v>1857</v>
      </c>
      <c r="B55" s="294"/>
      <c r="C55" s="1081">
        <v>478599000</v>
      </c>
      <c r="D55" s="1082"/>
      <c r="E55" s="1730"/>
      <c r="F55" s="1731"/>
      <c r="G55" s="1708"/>
      <c r="H55" s="1730"/>
      <c r="I55" s="1732"/>
      <c r="J55" s="1081"/>
      <c r="K55" s="1708"/>
      <c r="L55" s="1730"/>
    </row>
    <row r="56" spans="1:12" ht="11.25" customHeight="1">
      <c r="A56" s="191" t="s">
        <v>1859</v>
      </c>
      <c r="B56" s="294"/>
      <c r="C56" s="204">
        <f>SUM(C54:C55)</f>
        <v>798130000</v>
      </c>
      <c r="D56" s="204">
        <f>SUM(D54:D55)</f>
        <v>319531000</v>
      </c>
      <c r="E56" s="205">
        <f>SUM(E54:E55)</f>
        <v>5245543499</v>
      </c>
      <c r="F56" s="206">
        <f t="shared" ref="F56:L56" si="8">SUM(F54:F55)</f>
        <v>5012562666</v>
      </c>
      <c r="G56" s="204">
        <f t="shared" si="8"/>
        <v>5012562666</v>
      </c>
      <c r="H56" s="205">
        <f t="shared" si="8"/>
        <v>5012562666</v>
      </c>
      <c r="I56" s="203">
        <f t="shared" si="8"/>
        <v>5012562666</v>
      </c>
      <c r="J56" s="207">
        <f t="shared" si="8"/>
        <v>5023851000</v>
      </c>
      <c r="K56" s="204">
        <f t="shared" si="8"/>
        <v>5023851000</v>
      </c>
      <c r="L56" s="205">
        <f t="shared" si="8"/>
        <v>5023851000</v>
      </c>
    </row>
    <row r="57" spans="1:12" ht="11.25" customHeight="1">
      <c r="A57" s="191" t="str">
        <f>'A4-FinPerf RE'!A38</f>
        <v>Surplus/(Deficit)</v>
      </c>
      <c r="B57" s="294"/>
      <c r="C57" s="208">
        <f>'A4-FinPerf RE'!C46</f>
        <v>350865149</v>
      </c>
      <c r="D57" s="208">
        <f>'A4-FinPerf RE'!D46</f>
        <v>101798421</v>
      </c>
      <c r="E57" s="265">
        <f>'A4-FinPerf RE'!E46</f>
        <v>-232890833</v>
      </c>
      <c r="F57" s="252">
        <f>'A4-FinPerf RE'!F46</f>
        <v>136626167</v>
      </c>
      <c r="G57" s="204">
        <f>'A4-FinPerf RE'!G46</f>
        <v>126626759</v>
      </c>
      <c r="H57" s="205">
        <f>'A4-FinPerf RE'!H46</f>
        <v>126626757</v>
      </c>
      <c r="I57" s="203">
        <f>'A4-FinPerf RE'!I46</f>
        <v>126626755</v>
      </c>
      <c r="J57" s="212">
        <f>'A4-FinPerf RE'!J46</f>
        <v>411403236</v>
      </c>
      <c r="K57" s="208">
        <f>'A4-FinPerf RE'!K46</f>
        <v>310919116.44300032</v>
      </c>
      <c r="L57" s="205">
        <f>'A4-FinPerf RE'!L46</f>
        <v>214324923.18236494</v>
      </c>
    </row>
    <row r="58" spans="1:12" ht="11.25" customHeight="1">
      <c r="A58" s="191" t="s">
        <v>1855</v>
      </c>
      <c r="B58" s="294"/>
      <c r="C58" s="1708"/>
      <c r="D58" s="1708"/>
      <c r="E58" s="1730"/>
      <c r="F58" s="1731">
        <v>0</v>
      </c>
      <c r="G58" s="1708"/>
      <c r="H58" s="1730"/>
      <c r="I58" s="1732"/>
      <c r="J58" s="1710"/>
      <c r="K58" s="1708"/>
      <c r="L58" s="1730"/>
    </row>
    <row r="59" spans="1:12" ht="11.25" customHeight="1">
      <c r="A59" s="191" t="s">
        <v>1856</v>
      </c>
      <c r="B59" s="294"/>
      <c r="C59" s="1708"/>
      <c r="D59" s="1708"/>
      <c r="E59" s="1730"/>
      <c r="F59" s="1731">
        <v>0</v>
      </c>
      <c r="G59" s="1708"/>
      <c r="H59" s="1730"/>
      <c r="I59" s="1732"/>
      <c r="J59" s="1710"/>
      <c r="K59" s="1708"/>
      <c r="L59" s="1730"/>
    </row>
    <row r="60" spans="1:12" ht="11.25" customHeight="1">
      <c r="A60" s="191" t="s">
        <v>1466</v>
      </c>
      <c r="B60" s="294"/>
      <c r="C60" s="1708"/>
      <c r="D60" s="1708"/>
      <c r="E60" s="1730"/>
      <c r="F60" s="1712">
        <v>11175879</v>
      </c>
      <c r="G60" s="1712">
        <v>11175879</v>
      </c>
      <c r="H60" s="1712">
        <v>11175879</v>
      </c>
      <c r="I60" s="1712">
        <v>11175879</v>
      </c>
      <c r="J60" s="1710">
        <v>96420346</v>
      </c>
      <c r="K60" s="1708">
        <v>101530509</v>
      </c>
      <c r="L60" s="1730">
        <v>107114686</v>
      </c>
    </row>
    <row r="61" spans="1:12" ht="11.25" customHeight="1">
      <c r="A61" s="191" t="s">
        <v>1858</v>
      </c>
      <c r="B61" s="294"/>
      <c r="C61" s="1081">
        <v>-90150000</v>
      </c>
      <c r="D61" s="1082">
        <v>6915000</v>
      </c>
      <c r="E61" s="1730"/>
      <c r="F61" s="1712">
        <v>-45106000</v>
      </c>
      <c r="G61" s="1708"/>
      <c r="H61" s="1730"/>
      <c r="I61" s="1732"/>
      <c r="J61" s="1710"/>
      <c r="K61" s="1708"/>
      <c r="L61" s="1730"/>
    </row>
    <row r="62" spans="1:12" ht="11.25" customHeight="1">
      <c r="A62" s="1332" t="s">
        <v>448</v>
      </c>
      <c r="B62" s="294">
        <v>1</v>
      </c>
      <c r="C62" s="214">
        <f>SUM(C56:C61)</f>
        <v>1058845149</v>
      </c>
      <c r="D62" s="214">
        <f>SUM(D56:D61)</f>
        <v>428244421</v>
      </c>
      <c r="E62" s="215">
        <f t="shared" ref="E62:L62" si="9">SUM(E56:E61)</f>
        <v>5012652666</v>
      </c>
      <c r="F62" s="216">
        <f t="shared" si="9"/>
        <v>5115258712</v>
      </c>
      <c r="G62" s="214">
        <f t="shared" si="9"/>
        <v>5150365304</v>
      </c>
      <c r="H62" s="215">
        <f t="shared" si="9"/>
        <v>5150365302</v>
      </c>
      <c r="I62" s="213">
        <f t="shared" si="9"/>
        <v>5150365300</v>
      </c>
      <c r="J62" s="217">
        <f t="shared" si="9"/>
        <v>5531674582</v>
      </c>
      <c r="K62" s="214">
        <f t="shared" si="9"/>
        <v>5436300625.4430008</v>
      </c>
      <c r="L62" s="215">
        <f t="shared" si="9"/>
        <v>5345290609.1823654</v>
      </c>
    </row>
    <row r="63" spans="1:12" ht="11.25" customHeight="1">
      <c r="A63" s="182" t="s">
        <v>795</v>
      </c>
      <c r="B63" s="296"/>
      <c r="C63" s="204"/>
      <c r="D63" s="204"/>
      <c r="E63" s="205"/>
      <c r="F63" s="206"/>
      <c r="G63" s="204"/>
      <c r="H63" s="205"/>
      <c r="I63" s="203"/>
      <c r="J63" s="207"/>
      <c r="K63" s="204"/>
      <c r="L63" s="205"/>
    </row>
    <row r="64" spans="1:12" ht="11.25" customHeight="1">
      <c r="A64" s="326" t="s">
        <v>105</v>
      </c>
      <c r="B64" s="294"/>
      <c r="C64" s="1081">
        <v>54756079</v>
      </c>
      <c r="D64" s="1082">
        <v>89586575</v>
      </c>
      <c r="E64" s="1084">
        <v>56968224.591600001</v>
      </c>
      <c r="F64" s="1712">
        <v>55605000</v>
      </c>
      <c r="G64" s="1712">
        <v>55605000</v>
      </c>
      <c r="H64" s="1712">
        <v>55605000</v>
      </c>
      <c r="I64" s="1712">
        <v>55605000</v>
      </c>
      <c r="J64" s="1081">
        <v>59108000</v>
      </c>
      <c r="K64" s="1708">
        <v>62655000</v>
      </c>
      <c r="L64" s="1730">
        <f>+K64+3547000</f>
        <v>66202000</v>
      </c>
    </row>
    <row r="65" spans="1:12" ht="11.25" customHeight="1">
      <c r="A65" s="326" t="s">
        <v>1642</v>
      </c>
      <c r="B65" s="294"/>
      <c r="C65" s="1081">
        <v>41035599</v>
      </c>
      <c r="D65" s="1082">
        <v>56218770.630000003</v>
      </c>
      <c r="E65" s="1084">
        <v>12635718</v>
      </c>
      <c r="F65" s="1731"/>
      <c r="G65" s="1708"/>
      <c r="H65" s="1730"/>
      <c r="I65" s="1732"/>
      <c r="J65" s="1081"/>
      <c r="K65" s="1708"/>
      <c r="L65" s="1730"/>
    </row>
    <row r="66" spans="1:12" ht="11.25" customHeight="1">
      <c r="A66" s="326" t="s">
        <v>1643</v>
      </c>
      <c r="B66" s="294"/>
      <c r="C66" s="1081">
        <v>0</v>
      </c>
      <c r="D66" s="1082"/>
      <c r="E66" s="1084">
        <v>0</v>
      </c>
      <c r="F66" s="1731"/>
      <c r="G66" s="1708"/>
      <c r="H66" s="1730"/>
      <c r="I66" s="1732"/>
      <c r="J66" s="1081">
        <v>0</v>
      </c>
      <c r="K66" s="1708"/>
      <c r="L66" s="1730"/>
    </row>
    <row r="67" spans="1:12" ht="11.25" customHeight="1">
      <c r="A67" s="326" t="s">
        <v>1644</v>
      </c>
      <c r="B67" s="294"/>
      <c r="C67" s="1081">
        <v>0</v>
      </c>
      <c r="D67" s="1082"/>
      <c r="E67" s="1084">
        <v>554976749</v>
      </c>
      <c r="F67" s="1731"/>
      <c r="G67" s="1708"/>
      <c r="H67" s="1730"/>
      <c r="I67" s="1732"/>
      <c r="J67" s="1081">
        <v>0</v>
      </c>
      <c r="K67" s="1708"/>
      <c r="L67" s="1730"/>
    </row>
    <row r="68" spans="1:12" ht="11.25" customHeight="1">
      <c r="A68" s="326" t="s">
        <v>1645</v>
      </c>
      <c r="B68" s="294"/>
      <c r="C68" s="1081">
        <v>0</v>
      </c>
      <c r="D68" s="1082"/>
      <c r="E68" s="1084">
        <v>0</v>
      </c>
      <c r="F68" s="1731"/>
      <c r="G68" s="1708"/>
      <c r="H68" s="1730"/>
      <c r="I68" s="1732"/>
      <c r="J68" s="1081">
        <v>0</v>
      </c>
      <c r="K68" s="1708"/>
      <c r="L68" s="1730"/>
    </row>
    <row r="69" spans="1:12" ht="11.25" customHeight="1">
      <c r="A69" s="326" t="s">
        <v>1646</v>
      </c>
      <c r="B69" s="294"/>
      <c r="C69" s="1081">
        <v>24618229</v>
      </c>
      <c r="D69" s="1082">
        <v>33752837.370000005</v>
      </c>
      <c r="E69" s="1084">
        <v>43045176</v>
      </c>
      <c r="F69" s="1731"/>
      <c r="G69" s="1708"/>
      <c r="H69" s="1730"/>
      <c r="I69" s="1732"/>
      <c r="J69" s="1081"/>
      <c r="K69" s="1708"/>
      <c r="L69" s="1730"/>
    </row>
    <row r="70" spans="1:12" ht="11.25" customHeight="1">
      <c r="A70" s="1727" t="s">
        <v>1477</v>
      </c>
      <c r="B70" s="294"/>
      <c r="C70" s="1081">
        <v>0</v>
      </c>
      <c r="D70" s="1082"/>
      <c r="E70" s="1084">
        <v>0</v>
      </c>
      <c r="F70" s="1731"/>
      <c r="G70" s="1708"/>
      <c r="H70" s="1730"/>
      <c r="I70" s="1732"/>
      <c r="J70" s="1081">
        <v>0</v>
      </c>
      <c r="K70" s="1708"/>
      <c r="L70" s="1730"/>
    </row>
    <row r="71" spans="1:12" ht="11.25" customHeight="1">
      <c r="A71" s="326" t="s">
        <v>1641</v>
      </c>
      <c r="B71" s="294"/>
      <c r="C71" s="1081">
        <v>0</v>
      </c>
      <c r="D71" s="1082"/>
      <c r="E71" s="1084">
        <v>0</v>
      </c>
      <c r="F71" s="1731"/>
      <c r="G71" s="1708"/>
      <c r="H71" s="1730"/>
      <c r="I71" s="1732"/>
      <c r="J71" s="1081">
        <v>0</v>
      </c>
      <c r="K71" s="1708"/>
      <c r="L71" s="1730"/>
    </row>
    <row r="72" spans="1:12" ht="11.25" customHeight="1">
      <c r="A72" s="327" t="s">
        <v>1168</v>
      </c>
      <c r="B72" s="294">
        <v>2</v>
      </c>
      <c r="C72" s="214">
        <f t="shared" ref="C72:L72" si="10">SUM(C64:C71)</f>
        <v>120409907</v>
      </c>
      <c r="D72" s="214">
        <f t="shared" si="10"/>
        <v>179558183</v>
      </c>
      <c r="E72" s="215">
        <f t="shared" si="10"/>
        <v>667625867.59159994</v>
      </c>
      <c r="F72" s="216">
        <f t="shared" si="10"/>
        <v>55605000</v>
      </c>
      <c r="G72" s="214">
        <f t="shared" si="10"/>
        <v>55605000</v>
      </c>
      <c r="H72" s="215">
        <f t="shared" si="10"/>
        <v>55605000</v>
      </c>
      <c r="I72" s="213">
        <f t="shared" si="10"/>
        <v>55605000</v>
      </c>
      <c r="J72" s="217">
        <f t="shared" si="10"/>
        <v>59108000</v>
      </c>
      <c r="K72" s="214">
        <f t="shared" si="10"/>
        <v>62655000</v>
      </c>
      <c r="L72" s="215">
        <f t="shared" si="10"/>
        <v>66202000</v>
      </c>
    </row>
    <row r="73" spans="1:12">
      <c r="A73" s="432" t="str">
        <f>'A6-FinPos'!A48</f>
        <v>TOTAL COMMUNITY WEALTH/EQUITY</v>
      </c>
      <c r="B73" s="307">
        <v>2</v>
      </c>
      <c r="C73" s="231">
        <f t="shared" ref="C73:L73" si="11">C62+C72</f>
        <v>1179255056</v>
      </c>
      <c r="D73" s="231">
        <f t="shared" si="11"/>
        <v>607802604</v>
      </c>
      <c r="E73" s="229">
        <f t="shared" si="11"/>
        <v>5680278533.5916004</v>
      </c>
      <c r="F73" s="230">
        <f t="shared" si="11"/>
        <v>5170863712</v>
      </c>
      <c r="G73" s="231">
        <f t="shared" si="11"/>
        <v>5205970304</v>
      </c>
      <c r="H73" s="229">
        <f t="shared" si="11"/>
        <v>5205970302</v>
      </c>
      <c r="I73" s="232">
        <f t="shared" si="11"/>
        <v>5205970300</v>
      </c>
      <c r="J73" s="233">
        <f t="shared" si="11"/>
        <v>5590782582</v>
      </c>
      <c r="K73" s="231">
        <f t="shared" si="11"/>
        <v>5498955625.4430008</v>
      </c>
      <c r="L73" s="229">
        <f t="shared" si="11"/>
        <v>5411492609.1823654</v>
      </c>
    </row>
    <row r="74" spans="1:12" ht="5.0999999999999996" customHeight="1">
      <c r="A74" s="238"/>
      <c r="B74" s="433"/>
      <c r="C74" s="239"/>
      <c r="D74" s="239"/>
      <c r="E74" s="239"/>
      <c r="F74" s="239"/>
      <c r="G74" s="239"/>
      <c r="H74" s="239"/>
      <c r="I74" s="239"/>
      <c r="J74" s="239"/>
      <c r="K74" s="239"/>
      <c r="L74" s="239"/>
    </row>
    <row r="75" spans="1:12" ht="13.5">
      <c r="A75" s="148" t="s">
        <v>1478</v>
      </c>
      <c r="B75" s="148"/>
      <c r="C75" s="148"/>
      <c r="D75" s="148"/>
      <c r="E75" s="148"/>
      <c r="F75" s="148"/>
      <c r="G75" s="148"/>
      <c r="H75" s="148"/>
      <c r="I75" s="148"/>
      <c r="J75" s="148"/>
      <c r="K75" s="148"/>
      <c r="L75" s="148"/>
    </row>
    <row r="76" spans="1:12">
      <c r="A76" s="434" t="s">
        <v>1602</v>
      </c>
      <c r="B76" s="435"/>
      <c r="C76" s="1778"/>
      <c r="D76" s="1778"/>
      <c r="E76" s="1779"/>
      <c r="F76" s="1780"/>
      <c r="G76" s="1778"/>
      <c r="H76" s="1779"/>
      <c r="I76" s="1781"/>
      <c r="J76" s="1782"/>
      <c r="K76" s="1778"/>
      <c r="L76" s="1779"/>
    </row>
    <row r="77" spans="1:12">
      <c r="A77" s="202" t="s">
        <v>1601</v>
      </c>
      <c r="B77" s="237"/>
      <c r="C77" s="1708"/>
      <c r="D77" s="1708"/>
      <c r="E77" s="1730"/>
      <c r="F77" s="1731"/>
      <c r="G77" s="1708"/>
      <c r="H77" s="1730"/>
      <c r="I77" s="1732"/>
      <c r="J77" s="1710"/>
      <c r="K77" s="1708"/>
      <c r="L77" s="1730"/>
    </row>
    <row r="78" spans="1:12">
      <c r="A78" s="1777"/>
      <c r="B78" s="338"/>
      <c r="C78" s="1783"/>
      <c r="D78" s="1783"/>
      <c r="E78" s="1784"/>
      <c r="F78" s="1785"/>
      <c r="G78" s="1783"/>
      <c r="H78" s="1784"/>
      <c r="I78" s="1786"/>
      <c r="J78" s="1787"/>
      <c r="K78" s="1783"/>
      <c r="L78" s="1784"/>
    </row>
    <row r="79" spans="1:12" ht="11.25" customHeight="1">
      <c r="A79" s="236" t="str">
        <f>head27a</f>
        <v>References</v>
      </c>
      <c r="B79" s="237"/>
      <c r="C79" s="242"/>
      <c r="D79" s="242"/>
      <c r="E79" s="242"/>
      <c r="F79" s="242"/>
      <c r="G79" s="242"/>
      <c r="H79" s="242"/>
      <c r="I79" s="242"/>
      <c r="J79" s="242"/>
      <c r="K79" s="242"/>
      <c r="L79" s="242"/>
    </row>
    <row r="80" spans="1:12" ht="11.25" customHeight="1">
      <c r="A80" s="288" t="str">
        <f>"1. Must reconcile with "&amp;'Template names'!F103</f>
        <v>1. Must reconcile with Table A4 Budgeted Financial Performance (revenue and expenditure)</v>
      </c>
      <c r="B80" s="237"/>
      <c r="C80" s="241"/>
      <c r="D80" s="241"/>
      <c r="E80" s="242"/>
      <c r="F80" s="242"/>
      <c r="G80" s="242"/>
      <c r="H80" s="242"/>
      <c r="I80" s="242"/>
      <c r="J80" s="242"/>
      <c r="K80" s="242"/>
      <c r="L80" s="242"/>
    </row>
    <row r="81" spans="1:12" ht="11.25" customHeight="1">
      <c r="A81" s="288" t="str">
        <f>"2. Must reconcile with "&amp;'Template names'!F105</f>
        <v>2. Must reconcile with Table A6 Budgeted Financial Position</v>
      </c>
      <c r="B81" s="237"/>
      <c r="C81" s="241"/>
      <c r="D81" s="241"/>
      <c r="E81" s="242"/>
      <c r="F81" s="242"/>
      <c r="G81" s="242"/>
      <c r="H81" s="242"/>
      <c r="I81" s="242"/>
      <c r="J81" s="242"/>
      <c r="K81" s="242"/>
      <c r="L81" s="242"/>
    </row>
    <row r="82" spans="1:12" ht="11.25" customHeight="1">
      <c r="A82" s="288" t="s">
        <v>1130</v>
      </c>
      <c r="B82" s="237"/>
      <c r="C82" s="241"/>
      <c r="D82" s="241"/>
      <c r="E82" s="242"/>
      <c r="F82" s="242"/>
      <c r="G82" s="242"/>
      <c r="H82" s="242"/>
      <c r="I82" s="242"/>
      <c r="J82" s="242"/>
      <c r="K82" s="242"/>
      <c r="L82" s="242"/>
    </row>
    <row r="83" spans="1:12" ht="11.25" customHeight="1">
      <c r="A83" s="288" t="s">
        <v>819</v>
      </c>
    </row>
    <row r="84" spans="1:12" ht="11.25" customHeight="1">
      <c r="A84" s="440" t="s">
        <v>1661</v>
      </c>
      <c r="C84" s="345">
        <f>C73-'A6-FinPos'!C48</f>
        <v>234182001</v>
      </c>
      <c r="D84" s="345">
        <f>D73-'A6-FinPos'!D48</f>
        <v>-95720579</v>
      </c>
      <c r="E84" s="345">
        <f>E73-'A6-FinPos'!E48</f>
        <v>453355666</v>
      </c>
      <c r="F84" s="345">
        <f>F73-'A6-FinPos'!F48</f>
        <v>-1479931288</v>
      </c>
      <c r="G84" s="441">
        <f>G73-'A6-FinPos'!G48</f>
        <v>-1816149696</v>
      </c>
      <c r="H84" s="441">
        <f>H73-'A6-FinPos'!H48</f>
        <v>-1816149698</v>
      </c>
      <c r="I84" s="441">
        <f>I73-'A6-FinPos'!I48</f>
        <v>-1816149700</v>
      </c>
      <c r="J84" s="441">
        <f>J73-'A6-FinPos'!J48</f>
        <v>-1674491418</v>
      </c>
      <c r="K84" s="441">
        <f>K73-'A6-FinPos'!K48</f>
        <v>-1850426374.5569992</v>
      </c>
      <c r="L84" s="441">
        <f>L73-'A6-FinPos'!L48</f>
        <v>-1965070390.8176346</v>
      </c>
    </row>
    <row r="85" spans="1:12" ht="11.25" customHeight="1">
      <c r="C85" s="311">
        <f>TREND(D85:H85)</f>
        <v>0</v>
      </c>
      <c r="D85" s="311">
        <f>TREND(E85:H85)</f>
        <v>0</v>
      </c>
      <c r="E85" s="311">
        <f>E76</f>
        <v>0</v>
      </c>
      <c r="F85" s="311">
        <f>H76</f>
        <v>0</v>
      </c>
      <c r="G85" s="311">
        <f>J76</f>
        <v>0</v>
      </c>
      <c r="H85" s="311">
        <f>K76</f>
        <v>0</v>
      </c>
      <c r="I85" s="311">
        <f>L76</f>
        <v>0</v>
      </c>
      <c r="J85" s="311"/>
      <c r="K85" s="311"/>
      <c r="L85" s="311"/>
    </row>
    <row r="86" spans="1:12" ht="11.25" customHeight="1"/>
    <row r="87" spans="1:12" ht="11.25" customHeight="1"/>
    <row r="88" spans="1:12" ht="11.25" customHeight="1"/>
    <row r="89" spans="1:12" ht="11.25" customHeight="1"/>
    <row r="90" spans="1:12" ht="11.25" customHeight="1"/>
    <row r="91" spans="1:12" ht="11.25" customHeight="1"/>
    <row r="92" spans="1:12" ht="11.25" customHeight="1"/>
    <row r="93" spans="1:12" ht="11.25" customHeight="1"/>
    <row r="94" spans="1:12" ht="11.25" customHeight="1"/>
    <row r="95" spans="1:12" ht="11.25" customHeight="1"/>
  </sheetData>
  <sheetProtection password="A35B" sheet="1" objects="1" scenarios="1"/>
  <mergeCells count="4">
    <mergeCell ref="A2:A3"/>
    <mergeCell ref="B2:B3"/>
    <mergeCell ref="J2:L2"/>
    <mergeCell ref="F2:I2"/>
  </mergeCells>
  <phoneticPr fontId="2" type="noConversion"/>
  <dataValidations count="1">
    <dataValidation type="whole" allowBlank="1" showInputMessage="1" showErrorMessage="1" sqref="C7:L8 C12:L13 C17:L19 C23:L25 C30:L31 C35:L37 C41:L42 C46:L46 C48:L49 C54:L55 C58:L61 C64:L71 C76:L78">
      <formula1>-99999999999999900000</formula1>
      <formula2>999999999999999000000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U35"/>
  <sheetViews>
    <sheetView showGridLines="0" workbookViewId="0">
      <pane xSplit="3" ySplit="3" topLeftCell="D25" activePane="bottomRight" state="frozen"/>
      <selection activeCell="O37" sqref="A1:IV65536"/>
      <selection pane="topRight" activeCell="O37" sqref="A1:IV65536"/>
      <selection pane="bottomLeft" activeCell="O37" sqref="A1:IV65536"/>
      <selection pane="bottomRight" activeCell="K32" sqref="K32"/>
    </sheetView>
  </sheetViews>
  <sheetFormatPr defaultRowHeight="12.75"/>
  <cols>
    <col min="1" max="2" width="18.7109375" style="150" customWidth="1"/>
    <col min="3" max="3" width="3" style="248" customWidth="1"/>
    <col min="4" max="12" width="9.28515625" style="150" customWidth="1"/>
    <col min="13" max="13" width="32.7109375" style="150" bestFit="1" customWidth="1"/>
    <col min="14" max="14" width="1.5703125" style="150" customWidth="1"/>
    <col min="15" max="19" width="7.85546875" style="150" bestFit="1" customWidth="1"/>
    <col min="20" max="23" width="8.7109375" style="150" bestFit="1" customWidth="1"/>
    <col min="24" max="25" width="9.85546875" style="150" customWidth="1"/>
    <col min="26" max="16384" width="9.140625" style="150"/>
  </cols>
  <sheetData>
    <row r="1" spans="1:21" s="180" customFormat="1">
      <c r="A1" s="148" t="str">
        <f>muni&amp;" - "&amp;TableA4</f>
        <v>KZN225 Msunduzi - Supporting Table SA4 Reconciliation of IDP strategic objectives and budget (revenue)</v>
      </c>
      <c r="B1" s="148"/>
      <c r="C1" s="148"/>
      <c r="D1" s="148"/>
      <c r="E1" s="148"/>
      <c r="F1" s="148"/>
      <c r="G1" s="148"/>
      <c r="H1" s="148"/>
      <c r="I1" s="148"/>
      <c r="J1" s="148"/>
      <c r="K1" s="148"/>
      <c r="L1" s="148"/>
    </row>
    <row r="2" spans="1:21" ht="28.5" customHeight="1">
      <c r="A2" s="1001" t="s">
        <v>1058</v>
      </c>
      <c r="B2" s="1010" t="s">
        <v>1479</v>
      </c>
      <c r="C2" s="2441" t="str">
        <f>head27</f>
        <v>Ref</v>
      </c>
      <c r="D2" s="146" t="str">
        <f>head1b</f>
        <v>2007/8</v>
      </c>
      <c r="E2" s="151" t="str">
        <f>head1A</f>
        <v>2008/9</v>
      </c>
      <c r="F2" s="147" t="str">
        <f>Head1</f>
        <v>2009/10</v>
      </c>
      <c r="G2" s="2415" t="str">
        <f>Head2</f>
        <v>Current Year 2010/11</v>
      </c>
      <c r="H2" s="2416"/>
      <c r="I2" s="2420"/>
      <c r="J2" s="2412" t="str">
        <f>Head3</f>
        <v>2011/12 Medium Term Revenue &amp; Expenditure Framework</v>
      </c>
      <c r="K2" s="2413"/>
      <c r="L2" s="2414"/>
    </row>
    <row r="3" spans="1:21" ht="25.5">
      <c r="A3" s="1017" t="s">
        <v>703</v>
      </c>
      <c r="B3" s="1016"/>
      <c r="C3" s="2447"/>
      <c r="D3" s="392" t="str">
        <f>Head5</f>
        <v>Audited Outcome</v>
      </c>
      <c r="E3" s="393" t="str">
        <f>Head5</f>
        <v>Audited Outcome</v>
      </c>
      <c r="F3" s="394" t="str">
        <f>Head5</f>
        <v>Audited Outcome</v>
      </c>
      <c r="G3" s="300" t="str">
        <f>Head6</f>
        <v>Original Budget</v>
      </c>
      <c r="H3" s="393" t="str">
        <f>Head7</f>
        <v>Adjusted Budget</v>
      </c>
      <c r="I3" s="394" t="str">
        <f>Head8</f>
        <v>Full Year Forecast</v>
      </c>
      <c r="J3" s="300" t="str">
        <f>Head9</f>
        <v>Budget Year 2011/12</v>
      </c>
      <c r="K3" s="393" t="str">
        <f>Head10</f>
        <v>Budget Year +1 2012/13</v>
      </c>
      <c r="L3" s="394" t="str">
        <f>Head11</f>
        <v>Budget Year +2 2013/14</v>
      </c>
    </row>
    <row r="4" spans="1:21" ht="25.5">
      <c r="A4" s="2273" t="s">
        <v>2190</v>
      </c>
      <c r="B4" s="2274" t="s">
        <v>2191</v>
      </c>
      <c r="C4" s="444"/>
      <c r="D4" s="1791">
        <v>8260000</v>
      </c>
      <c r="E4" s="1792">
        <v>9149000</v>
      </c>
      <c r="F4" s="1791">
        <v>9158000</v>
      </c>
      <c r="G4" s="1790">
        <v>9799000</v>
      </c>
      <c r="H4" s="1790">
        <v>23225</v>
      </c>
      <c r="I4" s="2355">
        <v>23225</v>
      </c>
      <c r="J4" s="2356"/>
      <c r="K4" s="2358"/>
      <c r="L4" s="1791"/>
      <c r="M4" s="246"/>
      <c r="N4" s="246"/>
      <c r="O4" s="246"/>
      <c r="P4" s="246"/>
      <c r="Q4" s="246"/>
      <c r="R4" s="246"/>
      <c r="S4" s="246"/>
      <c r="T4" s="246"/>
      <c r="U4" s="443"/>
    </row>
    <row r="5" spans="1:21" ht="63.75">
      <c r="A5" s="2273" t="s">
        <v>2192</v>
      </c>
      <c r="B5" s="2274" t="s">
        <v>2193</v>
      </c>
      <c r="C5" s="444"/>
      <c r="D5" s="1791">
        <v>48682000</v>
      </c>
      <c r="E5" s="1792">
        <v>1100000</v>
      </c>
      <c r="F5" s="1791">
        <v>1028000</v>
      </c>
      <c r="G5" s="1790">
        <v>1100000</v>
      </c>
      <c r="H5" s="1790">
        <v>53279239</v>
      </c>
      <c r="I5" s="1790">
        <v>53279239</v>
      </c>
      <c r="J5" s="2357"/>
      <c r="K5" s="2358"/>
      <c r="L5" s="1791"/>
      <c r="M5" s="246"/>
      <c r="N5" s="246"/>
      <c r="O5" s="246"/>
      <c r="P5" s="246"/>
      <c r="Q5" s="246"/>
      <c r="R5" s="246"/>
      <c r="S5" s="246"/>
      <c r="T5" s="246"/>
    </row>
    <row r="6" spans="1:21" ht="38.25">
      <c r="A6" s="2273" t="s">
        <v>2194</v>
      </c>
      <c r="B6" s="2274" t="s">
        <v>2193</v>
      </c>
      <c r="C6" s="444"/>
      <c r="D6" s="1791">
        <v>83000</v>
      </c>
      <c r="E6" s="1792">
        <v>1000</v>
      </c>
      <c r="F6" s="1791">
        <v>1000</v>
      </c>
      <c r="G6" s="1790">
        <v>1000</v>
      </c>
      <c r="H6" s="1790">
        <v>249290722</v>
      </c>
      <c r="I6" s="1790">
        <v>249290722</v>
      </c>
      <c r="J6" s="2357"/>
      <c r="K6" s="2358"/>
      <c r="L6" s="1791"/>
      <c r="M6" s="246"/>
      <c r="N6" s="246"/>
      <c r="O6" s="246"/>
      <c r="P6" s="246"/>
      <c r="Q6" s="246"/>
      <c r="R6" s="246"/>
      <c r="S6" s="246"/>
      <c r="T6" s="246"/>
    </row>
    <row r="7" spans="1:21" ht="51">
      <c r="A7" s="2273" t="s">
        <v>2195</v>
      </c>
      <c r="B7" s="2274" t="s">
        <v>2193</v>
      </c>
      <c r="C7" s="444"/>
      <c r="D7" s="1791">
        <v>256074000</v>
      </c>
      <c r="E7" s="1792">
        <v>265036000</v>
      </c>
      <c r="F7" s="1791">
        <v>263154000</v>
      </c>
      <c r="G7" s="1790">
        <v>281575000</v>
      </c>
      <c r="H7" s="1790">
        <v>430303484</v>
      </c>
      <c r="I7" s="1790">
        <v>430303484</v>
      </c>
      <c r="J7" s="2357"/>
      <c r="K7" s="2358"/>
      <c r="L7" s="1791"/>
      <c r="M7" s="246"/>
      <c r="N7" s="246"/>
      <c r="O7" s="246"/>
      <c r="P7" s="246"/>
      <c r="Q7" s="246"/>
      <c r="R7" s="246"/>
      <c r="S7" s="246"/>
      <c r="T7" s="246"/>
    </row>
    <row r="8" spans="1:21" ht="38.25">
      <c r="A8" s="2273" t="s">
        <v>2196</v>
      </c>
      <c r="B8" s="2274" t="s">
        <v>2193</v>
      </c>
      <c r="C8" s="444"/>
      <c r="D8" s="1791">
        <v>555919000</v>
      </c>
      <c r="E8" s="1792">
        <v>726984000</v>
      </c>
      <c r="F8" s="1791">
        <v>941120000</v>
      </c>
      <c r="G8" s="1790">
        <v>962335000</v>
      </c>
      <c r="H8" s="1790">
        <v>1189593256</v>
      </c>
      <c r="I8" s="1790">
        <v>1189593256</v>
      </c>
      <c r="J8" s="2357"/>
      <c r="K8" s="2358"/>
      <c r="L8" s="1791"/>
      <c r="M8" s="246"/>
      <c r="N8" s="246"/>
      <c r="O8" s="246"/>
      <c r="P8" s="246"/>
      <c r="Q8" s="246"/>
      <c r="R8" s="246"/>
      <c r="S8" s="246"/>
      <c r="T8" s="246"/>
    </row>
    <row r="9" spans="1:21">
      <c r="A9" s="2273"/>
      <c r="B9" s="2274"/>
      <c r="C9" s="444"/>
      <c r="D9" s="1791"/>
      <c r="E9" s="1792"/>
      <c r="F9" s="1791"/>
      <c r="G9" s="1790"/>
      <c r="H9" s="1790"/>
      <c r="I9" s="1790"/>
      <c r="J9" s="2357"/>
      <c r="K9" s="2358"/>
      <c r="L9" s="1791"/>
      <c r="M9" s="246"/>
      <c r="N9" s="246"/>
      <c r="O9" s="246"/>
      <c r="P9" s="246"/>
      <c r="Q9" s="246"/>
      <c r="R9" s="246"/>
      <c r="S9" s="246"/>
      <c r="T9" s="246"/>
    </row>
    <row r="10" spans="1:21" ht="25.5">
      <c r="A10" s="2273" t="s">
        <v>2197</v>
      </c>
      <c r="B10" s="2274" t="s">
        <v>2198</v>
      </c>
      <c r="C10" s="444"/>
      <c r="D10" s="1791">
        <f>3380000+27617000</f>
        <v>30997000</v>
      </c>
      <c r="E10" s="1792">
        <f>2526000+17182000</f>
        <v>19708000</v>
      </c>
      <c r="F10" s="1791">
        <v>575000</v>
      </c>
      <c r="G10" s="1790">
        <v>615000</v>
      </c>
      <c r="H10" s="1790">
        <v>957806</v>
      </c>
      <c r="I10" s="1790">
        <v>957806</v>
      </c>
      <c r="J10" s="2357"/>
      <c r="K10" s="2358"/>
      <c r="L10" s="1791"/>
      <c r="M10" s="246"/>
      <c r="N10" s="246"/>
      <c r="O10" s="246"/>
      <c r="P10" s="246"/>
      <c r="Q10" s="246"/>
      <c r="R10" s="246"/>
      <c r="S10" s="246"/>
      <c r="T10" s="246"/>
    </row>
    <row r="11" spans="1:21" ht="51">
      <c r="A11" s="2273" t="s">
        <v>2199</v>
      </c>
      <c r="B11" s="2274" t="s">
        <v>2200</v>
      </c>
      <c r="C11" s="444"/>
      <c r="D11" s="1791">
        <v>489893000</v>
      </c>
      <c r="E11" s="1792">
        <v>689077000</v>
      </c>
      <c r="F11" s="1791">
        <v>840966000</v>
      </c>
      <c r="G11" s="1790">
        <f>902815000-7878000</f>
        <v>894937000</v>
      </c>
      <c r="H11" s="1790">
        <f>928292727-658000</f>
        <v>927634727</v>
      </c>
      <c r="I11" s="1790">
        <f>928292727-658000</f>
        <v>927634727</v>
      </c>
      <c r="J11" s="2357"/>
      <c r="K11" s="2358"/>
      <c r="L11" s="1791"/>
      <c r="M11" s="246"/>
      <c r="N11" s="246"/>
      <c r="O11" s="246"/>
      <c r="P11" s="246"/>
      <c r="Q11" s="246"/>
      <c r="R11" s="246"/>
      <c r="S11" s="246"/>
      <c r="T11" s="246"/>
    </row>
    <row r="12" spans="1:21" ht="38.25">
      <c r="A12" s="2273" t="s">
        <v>2201</v>
      </c>
      <c r="B12" s="2274" t="s">
        <v>2202</v>
      </c>
      <c r="C12" s="444"/>
      <c r="D12" s="1791">
        <v>16381000</v>
      </c>
      <c r="E12" s="1792">
        <v>12964000</v>
      </c>
      <c r="F12" s="1791">
        <v>13147000</v>
      </c>
      <c r="G12" s="1790">
        <f>10369000+3698000</f>
        <v>14067000</v>
      </c>
      <c r="H12" s="1790"/>
      <c r="I12" s="1793"/>
      <c r="J12" s="2357"/>
      <c r="K12" s="2358"/>
      <c r="L12" s="1791"/>
      <c r="M12" s="246"/>
      <c r="N12" s="246"/>
      <c r="O12" s="246"/>
      <c r="P12" s="246"/>
      <c r="Q12" s="246"/>
      <c r="R12" s="246"/>
      <c r="S12" s="246"/>
      <c r="T12" s="246"/>
    </row>
    <row r="13" spans="1:21" ht="53.25" customHeight="1">
      <c r="A13" s="2273" t="s">
        <v>2203</v>
      </c>
      <c r="B13" s="2274" t="s">
        <v>2204</v>
      </c>
      <c r="C13" s="444"/>
      <c r="D13" s="1791">
        <v>14879000</v>
      </c>
      <c r="E13" s="1792">
        <v>4173000</v>
      </c>
      <c r="F13" s="1791">
        <v>7904000</v>
      </c>
      <c r="G13" s="1790">
        <v>8457000</v>
      </c>
      <c r="H13" s="1790">
        <v>13847082</v>
      </c>
      <c r="I13" s="1790">
        <v>13847082</v>
      </c>
      <c r="J13" s="2357"/>
      <c r="K13" s="2358"/>
      <c r="L13" s="1791"/>
      <c r="M13" s="246"/>
      <c r="N13" s="246"/>
      <c r="O13" s="246"/>
      <c r="P13" s="246"/>
      <c r="Q13" s="246"/>
      <c r="R13" s="246"/>
      <c r="S13" s="246"/>
      <c r="T13" s="246"/>
    </row>
    <row r="14" spans="1:21">
      <c r="A14" s="2273"/>
      <c r="B14" s="2274"/>
      <c r="C14" s="444"/>
      <c r="D14" s="1791"/>
      <c r="E14" s="1792"/>
      <c r="F14" s="1791"/>
      <c r="G14" s="1790"/>
      <c r="H14" s="1790"/>
      <c r="I14" s="1790"/>
      <c r="J14" s="2357"/>
      <c r="K14" s="2358"/>
      <c r="L14" s="1791"/>
      <c r="M14" s="246"/>
      <c r="N14" s="246"/>
      <c r="O14" s="246"/>
      <c r="P14" s="246"/>
      <c r="Q14" s="246"/>
      <c r="R14" s="246"/>
      <c r="S14" s="246"/>
      <c r="T14" s="246"/>
    </row>
    <row r="15" spans="1:21" ht="25.5">
      <c r="A15" s="2273" t="s">
        <v>2205</v>
      </c>
      <c r="B15" s="2274" t="s">
        <v>2202</v>
      </c>
      <c r="C15" s="444"/>
      <c r="D15" s="1791">
        <v>8916000</v>
      </c>
      <c r="E15" s="1792">
        <v>5624000</v>
      </c>
      <c r="F15" s="1791">
        <v>3533000</v>
      </c>
      <c r="G15" s="1790">
        <v>3780000</v>
      </c>
      <c r="H15" s="1790">
        <v>1044434</v>
      </c>
      <c r="I15" s="1790">
        <v>1044434</v>
      </c>
      <c r="J15" s="2357"/>
      <c r="K15" s="2358"/>
      <c r="L15" s="1791"/>
      <c r="M15" s="246"/>
      <c r="N15" s="246"/>
      <c r="O15" s="246"/>
      <c r="P15" s="246"/>
      <c r="Q15" s="246"/>
      <c r="R15" s="246"/>
      <c r="S15" s="246"/>
      <c r="T15" s="246"/>
    </row>
    <row r="16" spans="1:21" ht="25.5">
      <c r="A16" s="2273" t="s">
        <v>2206</v>
      </c>
      <c r="B16" s="2274" t="s">
        <v>2204</v>
      </c>
      <c r="C16" s="444"/>
      <c r="D16" s="1791">
        <f>24000+1565000+8000+906000</f>
        <v>2503000</v>
      </c>
      <c r="E16" s="1792">
        <f>20000+1536000+1068000</f>
        <v>2624000</v>
      </c>
      <c r="F16" s="1791">
        <v>2783000</v>
      </c>
      <c r="G16" s="1790">
        <f>19000+2415000+1213000</f>
        <v>3647000</v>
      </c>
      <c r="H16" s="1790">
        <v>3213766</v>
      </c>
      <c r="I16" s="1790">
        <v>3213766</v>
      </c>
      <c r="J16" s="2357"/>
      <c r="K16" s="2358"/>
      <c r="L16" s="1791"/>
      <c r="M16" s="246"/>
      <c r="N16" s="246"/>
      <c r="O16" s="246"/>
      <c r="P16" s="246"/>
      <c r="Q16" s="246"/>
      <c r="R16" s="246"/>
      <c r="S16" s="246"/>
      <c r="T16" s="246"/>
    </row>
    <row r="17" spans="1:20" ht="25.5">
      <c r="A17" s="2273" t="s">
        <v>2207</v>
      </c>
      <c r="B17" s="2274" t="s">
        <v>2204</v>
      </c>
      <c r="C17" s="444"/>
      <c r="D17" s="1791">
        <f>13000+74592000+1000</f>
        <v>74606000</v>
      </c>
      <c r="E17" s="1792">
        <f>6000+6000+16079000+3000+33159000</f>
        <v>49253000</v>
      </c>
      <c r="F17" s="1791">
        <v>54775000</v>
      </c>
      <c r="G17" s="1790">
        <f>55000+16600000+11800000+1000+27732000</f>
        <v>56188000</v>
      </c>
      <c r="H17" s="1790">
        <v>116657964</v>
      </c>
      <c r="I17" s="1790">
        <v>116657964</v>
      </c>
      <c r="J17" s="2357"/>
      <c r="K17" s="2358"/>
      <c r="L17" s="1791"/>
      <c r="M17" s="246"/>
      <c r="N17" s="246"/>
      <c r="O17" s="246"/>
      <c r="P17" s="246"/>
      <c r="Q17" s="246"/>
      <c r="R17" s="246"/>
      <c r="S17" s="246"/>
      <c r="T17" s="246"/>
    </row>
    <row r="18" spans="1:20" ht="25.5">
      <c r="A18" s="2273" t="s">
        <v>2208</v>
      </c>
      <c r="B18" s="2274" t="s">
        <v>2204</v>
      </c>
      <c r="C18" s="444"/>
      <c r="D18" s="1791">
        <f>25909000+169438000-79060000</f>
        <v>116287000</v>
      </c>
      <c r="E18" s="1792">
        <f>136123000-17195000</f>
        <v>118928000</v>
      </c>
      <c r="F18" s="1791">
        <v>140332000</v>
      </c>
      <c r="G18" s="1790">
        <f>157326000-5418000</f>
        <v>151908000</v>
      </c>
      <c r="H18" s="1790">
        <v>50022423</v>
      </c>
      <c r="I18" s="1790">
        <v>50022423</v>
      </c>
      <c r="J18" s="2357"/>
      <c r="K18" s="2358"/>
      <c r="L18" s="1791"/>
      <c r="M18" s="246"/>
      <c r="N18" s="246"/>
      <c r="O18" s="246"/>
      <c r="P18" s="246"/>
      <c r="Q18" s="246"/>
      <c r="R18" s="246"/>
      <c r="S18" s="246"/>
      <c r="T18" s="246"/>
    </row>
    <row r="19" spans="1:20" ht="38.25">
      <c r="A19" s="2273" t="s">
        <v>2224</v>
      </c>
      <c r="B19" s="2274" t="s">
        <v>2225</v>
      </c>
      <c r="C19" s="444"/>
      <c r="D19" s="1791"/>
      <c r="E19" s="1792"/>
      <c r="F19" s="1791"/>
      <c r="G19" s="1790"/>
      <c r="H19" s="1790"/>
      <c r="I19" s="1793"/>
      <c r="J19" s="2357">
        <f>957674201+3058000</f>
        <v>960732201</v>
      </c>
      <c r="K19" s="2358">
        <f>1008430934+800000</f>
        <v>1009230934</v>
      </c>
      <c r="L19" s="1791">
        <f>1063894635+900000</f>
        <v>1064794635</v>
      </c>
      <c r="M19" s="246"/>
      <c r="N19" s="246"/>
      <c r="O19" s="246"/>
      <c r="P19" s="246"/>
      <c r="Q19" s="246"/>
      <c r="R19" s="246"/>
      <c r="S19" s="246"/>
      <c r="T19" s="246"/>
    </row>
    <row r="20" spans="1:20" ht="63.75">
      <c r="A20" s="2273" t="s">
        <v>2226</v>
      </c>
      <c r="B20" s="2274" t="s">
        <v>2227</v>
      </c>
      <c r="C20" s="444"/>
      <c r="D20" s="1791"/>
      <c r="E20" s="1792"/>
      <c r="F20" s="1791"/>
      <c r="G20" s="1790"/>
      <c r="H20" s="1790"/>
      <c r="I20" s="1793"/>
      <c r="J20" s="2357">
        <f>2384920862-55700000</f>
        <v>2329220862</v>
      </c>
      <c r="K20" s="2358">
        <f>2511321668-21198000</f>
        <v>2490123668</v>
      </c>
      <c r="L20" s="1791">
        <f>2649444360-57253000</f>
        <v>2592191360</v>
      </c>
      <c r="M20" s="246"/>
      <c r="N20" s="246"/>
      <c r="O20" s="246"/>
      <c r="P20" s="246"/>
      <c r="Q20" s="246"/>
      <c r="R20" s="246"/>
      <c r="S20" s="246"/>
      <c r="T20" s="246"/>
    </row>
    <row r="21" spans="1:20" ht="63.75">
      <c r="A21" s="2273" t="s">
        <v>2228</v>
      </c>
      <c r="B21" s="2274" t="s">
        <v>2229</v>
      </c>
      <c r="C21" s="444"/>
      <c r="D21" s="1791"/>
      <c r="E21" s="1792"/>
      <c r="F21" s="1791"/>
      <c r="G21" s="1790"/>
      <c r="H21" s="1790"/>
      <c r="I21" s="1793"/>
      <c r="J21" s="2357">
        <v>9472093</v>
      </c>
      <c r="K21" s="2358">
        <v>9974114</v>
      </c>
      <c r="L21" s="1791">
        <v>10522690</v>
      </c>
      <c r="M21" s="246"/>
      <c r="N21" s="246"/>
      <c r="O21" s="246"/>
      <c r="P21" s="246"/>
      <c r="Q21" s="246"/>
      <c r="R21" s="246"/>
      <c r="S21" s="246"/>
      <c r="T21" s="246"/>
    </row>
    <row r="22" spans="1:20" ht="38.25">
      <c r="A22" s="2273" t="s">
        <v>2230</v>
      </c>
      <c r="B22" s="2274" t="s">
        <v>2231</v>
      </c>
      <c r="C22" s="444"/>
      <c r="D22" s="1791"/>
      <c r="E22" s="1792"/>
      <c r="F22" s="1791"/>
      <c r="G22" s="1790"/>
      <c r="H22" s="1790"/>
      <c r="I22" s="1793"/>
      <c r="J22" s="2357">
        <v>286582</v>
      </c>
      <c r="K22" s="2358">
        <v>6337194</v>
      </c>
      <c r="L22" s="1791">
        <v>6685740</v>
      </c>
      <c r="M22" s="246"/>
      <c r="N22" s="246"/>
      <c r="O22" s="246"/>
      <c r="P22" s="246"/>
      <c r="Q22" s="246"/>
      <c r="R22" s="246"/>
      <c r="S22" s="246"/>
      <c r="T22" s="246"/>
    </row>
    <row r="23" spans="1:20" ht="38.25">
      <c r="A23" s="2273" t="s">
        <v>2232</v>
      </c>
      <c r="B23" s="2274" t="s">
        <v>2231</v>
      </c>
      <c r="C23" s="444"/>
      <c r="D23" s="1791"/>
      <c r="E23" s="1792"/>
      <c r="F23" s="1791"/>
      <c r="G23" s="1790"/>
      <c r="H23" s="1790"/>
      <c r="I23" s="1793"/>
      <c r="J23" s="2357">
        <v>379320</v>
      </c>
      <c r="K23" s="2358">
        <v>399424</v>
      </c>
      <c r="L23" s="1791">
        <v>421392</v>
      </c>
      <c r="M23" s="246"/>
      <c r="N23" s="246"/>
      <c r="O23" s="246"/>
      <c r="P23" s="246"/>
      <c r="Q23" s="246"/>
      <c r="R23" s="246"/>
      <c r="S23" s="246"/>
      <c r="T23" s="246"/>
    </row>
    <row r="24" spans="1:20" ht="25.5">
      <c r="A24" s="2273" t="s">
        <v>2233</v>
      </c>
      <c r="B24" s="2274" t="s">
        <v>2234</v>
      </c>
      <c r="C24" s="444"/>
      <c r="D24" s="1791"/>
      <c r="E24" s="1792"/>
      <c r="F24" s="1791"/>
      <c r="G24" s="1790"/>
      <c r="H24" s="1790"/>
      <c r="I24" s="1793"/>
      <c r="J24" s="2357">
        <v>39105171</v>
      </c>
      <c r="K24" s="2358">
        <v>35142594</v>
      </c>
      <c r="L24" s="1791">
        <v>37074902</v>
      </c>
      <c r="M24" s="246"/>
      <c r="N24" s="246"/>
      <c r="O24" s="246"/>
      <c r="P24" s="246"/>
      <c r="Q24" s="246"/>
      <c r="R24" s="246"/>
      <c r="S24" s="246"/>
      <c r="T24" s="246"/>
    </row>
    <row r="25" spans="1:20">
      <c r="A25" s="2273"/>
      <c r="B25" s="2274"/>
      <c r="C25" s="444"/>
      <c r="D25" s="1791"/>
      <c r="E25" s="1792"/>
      <c r="F25" s="1791"/>
      <c r="G25" s="1790"/>
      <c r="H25" s="1790"/>
      <c r="I25" s="1793"/>
      <c r="J25" s="2357"/>
      <c r="K25" s="2358"/>
      <c r="L25" s="1791"/>
      <c r="M25" s="246"/>
      <c r="N25" s="246"/>
      <c r="O25" s="246"/>
      <c r="P25" s="246"/>
      <c r="Q25" s="246"/>
      <c r="R25" s="246"/>
      <c r="S25" s="246"/>
      <c r="T25" s="246"/>
    </row>
    <row r="26" spans="1:20">
      <c r="A26" s="2273"/>
      <c r="B26" s="2274"/>
      <c r="C26" s="444"/>
      <c r="D26" s="1791"/>
      <c r="E26" s="1792"/>
      <c r="F26" s="1791"/>
      <c r="G26" s="1790"/>
      <c r="H26" s="1790"/>
      <c r="I26" s="1793"/>
      <c r="J26" s="2357"/>
      <c r="K26" s="2358"/>
      <c r="L26" s="1791"/>
      <c r="M26" s="246"/>
      <c r="N26" s="246"/>
      <c r="O26" s="246"/>
      <c r="P26" s="246"/>
      <c r="Q26" s="246"/>
      <c r="R26" s="246"/>
      <c r="S26" s="246"/>
      <c r="T26" s="246"/>
    </row>
    <row r="27" spans="1:20">
      <c r="A27" s="2273"/>
      <c r="B27" s="2274"/>
      <c r="C27" s="444"/>
      <c r="D27" s="1791"/>
      <c r="E27" s="1792"/>
      <c r="F27" s="1791"/>
      <c r="G27" s="1790"/>
      <c r="H27" s="1790"/>
      <c r="I27" s="1793"/>
      <c r="J27" s="2357"/>
      <c r="K27" s="2358"/>
      <c r="L27" s="1791"/>
      <c r="M27" s="246"/>
      <c r="N27" s="246"/>
      <c r="O27" s="246"/>
      <c r="P27" s="246"/>
      <c r="Q27" s="246"/>
      <c r="R27" s="246"/>
      <c r="S27" s="246"/>
      <c r="T27" s="246"/>
    </row>
    <row r="28" spans="1:20">
      <c r="A28" s="2275"/>
      <c r="B28" s="2276"/>
      <c r="C28" s="444"/>
      <c r="D28" s="1791"/>
      <c r="E28" s="1792"/>
      <c r="F28" s="1791"/>
      <c r="G28" s="1790"/>
      <c r="H28" s="1790"/>
      <c r="I28" s="1793"/>
      <c r="J28" s="2357"/>
      <c r="K28" s="2358"/>
      <c r="L28" s="1791"/>
      <c r="M28" s="246"/>
      <c r="N28" s="246"/>
      <c r="O28" s="246"/>
      <c r="P28" s="246"/>
      <c r="Q28" s="246"/>
      <c r="R28" s="246"/>
      <c r="S28" s="246"/>
      <c r="T28" s="246"/>
    </row>
    <row r="29" spans="1:20" ht="12.75" customHeight="1">
      <c r="A29" s="347" t="str">
        <f>'A4-FinPerf RE'!A22</f>
        <v>Total Revenue (excluding capital transfers and contributions)</v>
      </c>
      <c r="B29" s="445"/>
      <c r="C29" s="348">
        <v>1</v>
      </c>
      <c r="D29" s="231">
        <f t="shared" ref="D29:L29" si="0">SUM(D4:D28)</f>
        <v>1623480000</v>
      </c>
      <c r="E29" s="231">
        <f t="shared" si="0"/>
        <v>1904621000</v>
      </c>
      <c r="F29" s="229">
        <f t="shared" si="0"/>
        <v>2278476000</v>
      </c>
      <c r="G29" s="230">
        <f t="shared" si="0"/>
        <v>2388409000</v>
      </c>
      <c r="H29" s="231">
        <f t="shared" si="0"/>
        <v>3035868128</v>
      </c>
      <c r="I29" s="232">
        <f t="shared" si="0"/>
        <v>3035868128</v>
      </c>
      <c r="J29" s="2360">
        <f t="shared" si="0"/>
        <v>3339196229</v>
      </c>
      <c r="K29" s="2359">
        <f t="shared" si="0"/>
        <v>3551207928</v>
      </c>
      <c r="L29" s="229">
        <f t="shared" si="0"/>
        <v>3711690719</v>
      </c>
    </row>
    <row r="30" spans="1:20" s="722" customFormat="1">
      <c r="A30" s="1276" t="str">
        <f>head27a</f>
        <v>References</v>
      </c>
      <c r="B30" s="1068"/>
      <c r="C30" s="1065"/>
      <c r="D30" s="1069"/>
      <c r="E30" s="1069"/>
      <c r="F30" s="1069"/>
      <c r="G30" s="1069"/>
      <c r="H30" s="1069"/>
      <c r="I30" s="1069"/>
      <c r="J30" s="1069"/>
      <c r="K30" s="1069"/>
      <c r="L30" s="1069"/>
    </row>
    <row r="31" spans="1:20" s="722" customFormat="1">
      <c r="A31" s="1238" t="str">
        <f>"1. Total revenue must reconcile to "&amp;'Template names'!F103</f>
        <v>1. Total revenue must reconcile to Table A4 Budgeted Financial Performance (revenue and expenditure)</v>
      </c>
      <c r="B31" s="1089"/>
      <c r="C31" s="1065"/>
      <c r="D31" s="1069"/>
      <c r="E31" s="1068"/>
      <c r="F31" s="1069"/>
      <c r="G31" s="1069"/>
      <c r="H31" s="1069"/>
      <c r="I31" s="1069"/>
      <c r="J31" s="1069"/>
      <c r="K31" s="1069"/>
      <c r="L31" s="1069"/>
    </row>
    <row r="32" spans="1:20">
      <c r="A32" s="289" t="s">
        <v>1061</v>
      </c>
      <c r="B32" s="247"/>
      <c r="C32" s="237"/>
      <c r="D32" s="203">
        <f>D29-'A4-FinPerf RE'!C60</f>
        <v>-323601812</v>
      </c>
      <c r="E32" s="203">
        <f>E29-'A4-FinPerf RE'!D60</f>
        <v>-24447437</v>
      </c>
      <c r="F32" s="256">
        <f>F29-'A4-FinPerf RE'!E60</f>
        <v>-578907235</v>
      </c>
      <c r="G32" s="256">
        <f>G29-'A4-FinPerf RE'!F60</f>
        <v>-136512996</v>
      </c>
      <c r="H32" s="256">
        <f>H29-'A4-FinPerf RE'!G60</f>
        <v>-126213300</v>
      </c>
      <c r="I32" s="256">
        <f>I29-'A4-FinPerf RE'!H60</f>
        <v>-126213298</v>
      </c>
      <c r="J32" s="256">
        <f>J29-'A4-FinPerf RE'!J60</f>
        <v>-411313255</v>
      </c>
      <c r="K32" s="256">
        <f>K29-'A4-FinPerf RE'!K60</f>
        <v>-310819303.62900019</v>
      </c>
      <c r="L32" s="256">
        <f>L29-'A4-FinPerf RE'!L60</f>
        <v>-214215684.54359484</v>
      </c>
    </row>
    <row r="33" spans="4:6">
      <c r="D33" s="452"/>
      <c r="F33" s="364"/>
    </row>
    <row r="34" spans="4:6">
      <c r="D34" s="452"/>
    </row>
    <row r="35" spans="4:6">
      <c r="D35" s="452"/>
    </row>
  </sheetData>
  <mergeCells count="3">
    <mergeCell ref="G2:I2"/>
    <mergeCell ref="J2:L2"/>
    <mergeCell ref="C2:C3"/>
  </mergeCells>
  <phoneticPr fontId="2" type="noConversion"/>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X29"/>
  <sheetViews>
    <sheetView showGridLines="0" workbookViewId="0">
      <pane xSplit="3" ySplit="3" topLeftCell="D22" activePane="bottomRight" state="frozen"/>
      <selection activeCell="O37" sqref="A1:IV65536"/>
      <selection pane="topRight" activeCell="O37" sqref="A1:IV65536"/>
      <selection pane="bottomLeft" activeCell="O37" sqref="A1:IV65536"/>
      <selection pane="bottomRight" activeCell="L18" sqref="L18"/>
    </sheetView>
  </sheetViews>
  <sheetFormatPr defaultRowHeight="12.75"/>
  <cols>
    <col min="1" max="2" width="18.7109375" style="150" customWidth="1"/>
    <col min="3" max="3" width="3" style="248" customWidth="1"/>
    <col min="4" max="12" width="9.28515625" style="150" customWidth="1"/>
    <col min="13" max="13" width="32.7109375" style="150" bestFit="1" customWidth="1"/>
    <col min="14" max="14" width="1.5703125" style="150" customWidth="1"/>
    <col min="15" max="16" width="8" style="150" bestFit="1" customWidth="1"/>
    <col min="17" max="17" width="8.42578125" style="150" bestFit="1" customWidth="1"/>
    <col min="18" max="19" width="8" style="150" bestFit="1" customWidth="1"/>
    <col min="20" max="23" width="8.85546875" style="150" bestFit="1" customWidth="1"/>
    <col min="24" max="25" width="9.85546875" style="150" customWidth="1"/>
    <col min="26" max="16384" width="9.140625" style="150"/>
  </cols>
  <sheetData>
    <row r="1" spans="1:24" ht="13.5">
      <c r="A1" s="148" t="str">
        <f>muni&amp;" - "&amp;TableA5</f>
        <v>KZN225 Msunduzi - Supporting Table SA5 Reconciliation of IDP strategic objectives and budget (operating expenditure)</v>
      </c>
      <c r="B1" s="148"/>
      <c r="C1" s="148"/>
      <c r="D1" s="148"/>
      <c r="E1" s="148"/>
      <c r="F1" s="148"/>
      <c r="G1" s="148"/>
      <c r="H1" s="148"/>
      <c r="I1" s="148"/>
      <c r="J1" s="148"/>
      <c r="K1" s="148"/>
      <c r="L1" s="148"/>
      <c r="M1" s="247"/>
      <c r="N1" s="247"/>
      <c r="O1" s="247"/>
      <c r="P1" s="247"/>
    </row>
    <row r="2" spans="1:24" ht="28.5" customHeight="1">
      <c r="A2" s="1001" t="s">
        <v>1058</v>
      </c>
      <c r="B2" s="1010" t="s">
        <v>1479</v>
      </c>
      <c r="C2" s="2441" t="str">
        <f>head27</f>
        <v>Ref</v>
      </c>
      <c r="D2" s="146" t="str">
        <f>head1b</f>
        <v>2007/8</v>
      </c>
      <c r="E2" s="151" t="str">
        <f>head1A</f>
        <v>2008/9</v>
      </c>
      <c r="F2" s="147" t="str">
        <f>Head1</f>
        <v>2009/10</v>
      </c>
      <c r="G2" s="2415" t="str">
        <f>Head2</f>
        <v>Current Year 2010/11</v>
      </c>
      <c r="H2" s="2416"/>
      <c r="I2" s="2420"/>
      <c r="J2" s="2412" t="str">
        <f>Head3</f>
        <v>2011/12 Medium Term Revenue &amp; Expenditure Framework</v>
      </c>
      <c r="K2" s="2413"/>
      <c r="L2" s="2414"/>
      <c r="M2" s="247"/>
      <c r="N2" s="247"/>
      <c r="O2" s="247"/>
      <c r="P2" s="247"/>
    </row>
    <row r="3" spans="1:24" ht="25.5">
      <c r="A3" s="1017" t="s">
        <v>703</v>
      </c>
      <c r="B3" s="1016"/>
      <c r="C3" s="2447"/>
      <c r="D3" s="392" t="str">
        <f>Head5</f>
        <v>Audited Outcome</v>
      </c>
      <c r="E3" s="393" t="str">
        <f>Head5</f>
        <v>Audited Outcome</v>
      </c>
      <c r="F3" s="394" t="str">
        <f>Head5</f>
        <v>Audited Outcome</v>
      </c>
      <c r="G3" s="300" t="str">
        <f>Head6</f>
        <v>Original Budget</v>
      </c>
      <c r="H3" s="393" t="str">
        <f>Head7</f>
        <v>Adjusted Budget</v>
      </c>
      <c r="I3" s="394" t="str">
        <f>Head8</f>
        <v>Full Year Forecast</v>
      </c>
      <c r="J3" s="300" t="str">
        <f>Head9</f>
        <v>Budget Year 2011/12</v>
      </c>
      <c r="K3" s="393" t="str">
        <f>Head10</f>
        <v>Budget Year +1 2012/13</v>
      </c>
      <c r="L3" s="394" t="str">
        <f>Head11</f>
        <v>Budget Year +2 2013/14</v>
      </c>
      <c r="M3" s="247"/>
      <c r="N3" s="247"/>
      <c r="O3" s="247"/>
      <c r="P3" s="247"/>
    </row>
    <row r="4" spans="1:24" ht="42.75" customHeight="1">
      <c r="A4" s="2273" t="s">
        <v>2190</v>
      </c>
      <c r="B4" s="2274" t="s">
        <v>2191</v>
      </c>
      <c r="C4" s="444"/>
      <c r="D4" s="1791">
        <v>43249000</v>
      </c>
      <c r="E4" s="1792">
        <v>46851000</v>
      </c>
      <c r="F4" s="1794">
        <v>55341000</v>
      </c>
      <c r="G4" s="1790">
        <v>58014000</v>
      </c>
      <c r="H4" s="1790">
        <v>50754245</v>
      </c>
      <c r="I4" s="1790">
        <v>50754245</v>
      </c>
      <c r="J4" s="2356"/>
      <c r="K4" s="2358"/>
      <c r="L4" s="1791"/>
      <c r="M4" s="447"/>
      <c r="N4" s="447"/>
      <c r="O4" s="256"/>
      <c r="P4" s="256"/>
      <c r="Q4" s="256"/>
      <c r="R4" s="256"/>
      <c r="S4" s="256"/>
      <c r="T4" s="256"/>
      <c r="U4" s="256"/>
      <c r="V4" s="256"/>
      <c r="W4" s="256"/>
      <c r="X4" s="448"/>
    </row>
    <row r="5" spans="1:24" ht="42.75" customHeight="1">
      <c r="A5" s="2273" t="s">
        <v>2192</v>
      </c>
      <c r="B5" s="2274" t="s">
        <v>2193</v>
      </c>
      <c r="C5" s="444"/>
      <c r="D5" s="1791">
        <v>147060000</v>
      </c>
      <c r="E5" s="1792">
        <v>125322000</v>
      </c>
      <c r="F5" s="1794">
        <v>158553000</v>
      </c>
      <c r="G5" s="1790">
        <v>158766000</v>
      </c>
      <c r="H5" s="1790">
        <v>192409347</v>
      </c>
      <c r="I5" s="1790">
        <v>192409347</v>
      </c>
      <c r="J5" s="2357"/>
      <c r="K5" s="2358"/>
      <c r="L5" s="1791"/>
      <c r="M5" s="449"/>
      <c r="N5" s="449"/>
      <c r="O5" s="256"/>
      <c r="P5" s="256"/>
      <c r="Q5" s="256"/>
      <c r="R5" s="256"/>
      <c r="S5" s="256"/>
      <c r="T5" s="256"/>
      <c r="U5" s="256"/>
      <c r="V5" s="256"/>
      <c r="W5" s="256"/>
    </row>
    <row r="6" spans="1:24" ht="42.75" customHeight="1">
      <c r="A6" s="2273" t="s">
        <v>2194</v>
      </c>
      <c r="B6" s="2274" t="s">
        <v>2193</v>
      </c>
      <c r="C6" s="444"/>
      <c r="D6" s="1791">
        <v>5845000</v>
      </c>
      <c r="E6" s="1792">
        <v>20718000</v>
      </c>
      <c r="F6" s="1794">
        <v>20896000</v>
      </c>
      <c r="G6" s="1790">
        <v>22272000</v>
      </c>
      <c r="H6" s="1790">
        <v>183416608</v>
      </c>
      <c r="I6" s="1790">
        <v>183416608</v>
      </c>
      <c r="J6" s="2357"/>
      <c r="K6" s="2358"/>
      <c r="L6" s="1791"/>
      <c r="M6" s="449"/>
      <c r="N6" s="449"/>
      <c r="O6" s="256"/>
      <c r="P6" s="256"/>
      <c r="Q6" s="256"/>
      <c r="R6" s="256"/>
      <c r="S6" s="256"/>
      <c r="T6" s="256"/>
      <c r="U6" s="256"/>
      <c r="V6" s="256"/>
      <c r="W6" s="256"/>
    </row>
    <row r="7" spans="1:24" ht="42.75" customHeight="1">
      <c r="A7" s="2273" t="s">
        <v>2195</v>
      </c>
      <c r="B7" s="2274" t="s">
        <v>2193</v>
      </c>
      <c r="C7" s="444"/>
      <c r="D7" s="1791">
        <v>248235000</v>
      </c>
      <c r="E7" s="1792">
        <v>257823000</v>
      </c>
      <c r="F7" s="1794">
        <v>260688000</v>
      </c>
      <c r="G7" s="1790">
        <v>278936000</v>
      </c>
      <c r="H7" s="1790">
        <v>427827066</v>
      </c>
      <c r="I7" s="1790">
        <v>427827066</v>
      </c>
      <c r="J7" s="2357"/>
      <c r="K7" s="2358"/>
      <c r="L7" s="1791"/>
      <c r="M7" s="450"/>
      <c r="N7" s="450"/>
      <c r="O7" s="256"/>
      <c r="P7" s="256"/>
      <c r="Q7" s="256"/>
      <c r="R7" s="256"/>
      <c r="S7" s="256"/>
      <c r="T7" s="256"/>
      <c r="U7" s="256"/>
      <c r="V7" s="256"/>
      <c r="W7" s="256"/>
    </row>
    <row r="8" spans="1:24" ht="42.75" customHeight="1">
      <c r="A8" s="2273" t="s">
        <v>2196</v>
      </c>
      <c r="B8" s="2274" t="s">
        <v>2193</v>
      </c>
      <c r="C8" s="444"/>
      <c r="D8" s="1791">
        <v>456420000</v>
      </c>
      <c r="E8" s="1792">
        <v>722221000</v>
      </c>
      <c r="F8" s="1794">
        <v>938360000</v>
      </c>
      <c r="G8" s="1790">
        <v>997309000</v>
      </c>
      <c r="H8" s="1790">
        <v>970513519</v>
      </c>
      <c r="I8" s="1790">
        <v>970513519</v>
      </c>
      <c r="J8" s="2357"/>
      <c r="K8" s="2358"/>
      <c r="L8" s="1791"/>
      <c r="M8" s="450"/>
      <c r="N8" s="450"/>
      <c r="O8" s="256"/>
      <c r="P8" s="256"/>
      <c r="Q8" s="256"/>
      <c r="R8" s="256"/>
      <c r="S8" s="256"/>
      <c r="T8" s="256"/>
      <c r="U8" s="256"/>
      <c r="V8" s="256"/>
      <c r="W8" s="256"/>
    </row>
    <row r="9" spans="1:24" ht="42.75" customHeight="1">
      <c r="A9" s="2273" t="s">
        <v>2197</v>
      </c>
      <c r="B9" s="2274" t="s">
        <v>2198</v>
      </c>
      <c r="C9" s="444"/>
      <c r="D9" s="1791">
        <v>16680000</v>
      </c>
      <c r="E9" s="1792">
        <v>15720000</v>
      </c>
      <c r="F9" s="1794">
        <v>22580000</v>
      </c>
      <c r="G9" s="1790">
        <v>26379000</v>
      </c>
      <c r="H9" s="1790">
        <v>69732472</v>
      </c>
      <c r="I9" s="1790">
        <v>69732472</v>
      </c>
      <c r="J9" s="2357"/>
      <c r="K9" s="2358"/>
      <c r="L9" s="1791"/>
      <c r="M9" s="450"/>
      <c r="N9" s="450"/>
      <c r="O9" s="256"/>
      <c r="P9" s="256"/>
      <c r="Q9" s="256"/>
      <c r="R9" s="256"/>
      <c r="S9" s="256"/>
      <c r="T9" s="256"/>
      <c r="U9" s="256"/>
      <c r="V9" s="256"/>
      <c r="W9" s="256"/>
    </row>
    <row r="10" spans="1:24" ht="42.75" customHeight="1">
      <c r="A10" s="2273" t="s">
        <v>2199</v>
      </c>
      <c r="B10" s="2274" t="s">
        <v>2200</v>
      </c>
      <c r="C10" s="444"/>
      <c r="D10" s="1791">
        <v>124353000</v>
      </c>
      <c r="E10" s="1792">
        <v>213395000</v>
      </c>
      <c r="F10" s="1794">
        <v>262582000</v>
      </c>
      <c r="G10" s="1790">
        <v>250858000</v>
      </c>
      <c r="H10" s="1790">
        <v>713563452</v>
      </c>
      <c r="I10" s="1790">
        <v>713563452</v>
      </c>
      <c r="J10" s="2357"/>
      <c r="K10" s="2358"/>
      <c r="L10" s="1791"/>
      <c r="M10" s="247"/>
      <c r="N10" s="247"/>
      <c r="O10" s="256"/>
      <c r="P10" s="256"/>
      <c r="Q10" s="256"/>
      <c r="R10" s="256"/>
      <c r="S10" s="256"/>
      <c r="T10" s="256"/>
      <c r="U10" s="256"/>
      <c r="V10" s="256"/>
      <c r="W10" s="256"/>
    </row>
    <row r="11" spans="1:24" ht="42.75" customHeight="1">
      <c r="A11" s="2273" t="s">
        <v>2201</v>
      </c>
      <c r="B11" s="2274" t="s">
        <v>2202</v>
      </c>
      <c r="C11" s="444"/>
      <c r="D11" s="1791">
        <f>90822000+12771000</f>
        <v>103593000</v>
      </c>
      <c r="E11" s="1792">
        <f>85777000+13895000</f>
        <v>99672000</v>
      </c>
      <c r="F11" s="1794">
        <f>104126000+16308000</f>
        <v>120434000</v>
      </c>
      <c r="G11" s="1790">
        <f>109459000+16757000</f>
        <v>126216000</v>
      </c>
      <c r="H11" s="1790">
        <v>43377323</v>
      </c>
      <c r="I11" s="1790">
        <v>43377323</v>
      </c>
      <c r="J11" s="2357"/>
      <c r="K11" s="2358"/>
      <c r="L11" s="1791"/>
      <c r="M11" s="247"/>
      <c r="N11" s="247"/>
      <c r="O11" s="256"/>
      <c r="P11" s="256"/>
      <c r="Q11" s="256"/>
      <c r="R11" s="256"/>
      <c r="S11" s="256"/>
      <c r="T11" s="256"/>
      <c r="U11" s="256"/>
      <c r="V11" s="256"/>
      <c r="W11" s="256"/>
    </row>
    <row r="12" spans="1:24" ht="42.75" customHeight="1">
      <c r="A12" s="2273" t="s">
        <v>2203</v>
      </c>
      <c r="B12" s="2274" t="s">
        <v>2204</v>
      </c>
      <c r="C12" s="444"/>
      <c r="D12" s="1791">
        <v>33734000</v>
      </c>
      <c r="E12" s="1792">
        <v>19976000</v>
      </c>
      <c r="F12" s="1794">
        <v>20873000</v>
      </c>
      <c r="G12" s="1790">
        <v>21847000</v>
      </c>
      <c r="H12" s="1790">
        <v>32947806</v>
      </c>
      <c r="I12" s="1790">
        <v>32947806</v>
      </c>
      <c r="J12" s="2357"/>
      <c r="K12" s="2358"/>
      <c r="L12" s="1791"/>
      <c r="M12" s="247"/>
      <c r="N12" s="247"/>
      <c r="O12" s="256"/>
      <c r="P12" s="256"/>
      <c r="Q12" s="256"/>
      <c r="R12" s="256"/>
      <c r="S12" s="256"/>
      <c r="T12" s="256"/>
      <c r="U12" s="256"/>
      <c r="V12" s="256"/>
      <c r="W12" s="256"/>
    </row>
    <row r="13" spans="1:24" ht="42.75" customHeight="1">
      <c r="A13" s="2273" t="s">
        <v>2205</v>
      </c>
      <c r="B13" s="2274" t="s">
        <v>2202</v>
      </c>
      <c r="C13" s="444"/>
      <c r="D13" s="1791">
        <v>1598000</v>
      </c>
      <c r="E13" s="1792">
        <v>2125000</v>
      </c>
      <c r="F13" s="1794">
        <v>-9022000</v>
      </c>
      <c r="G13" s="1790"/>
      <c r="H13" s="1790">
        <v>152628</v>
      </c>
      <c r="I13" s="1790">
        <v>152628</v>
      </c>
      <c r="J13" s="2357"/>
      <c r="K13" s="2358"/>
      <c r="L13" s="1791"/>
      <c r="M13" s="247"/>
      <c r="N13" s="247"/>
      <c r="O13" s="203"/>
      <c r="P13" s="203"/>
      <c r="Q13" s="203"/>
      <c r="R13" s="203"/>
      <c r="S13" s="203"/>
      <c r="T13" s="203"/>
      <c r="U13" s="203"/>
      <c r="V13" s="203"/>
      <c r="W13" s="203"/>
    </row>
    <row r="14" spans="1:24" ht="42.75" customHeight="1">
      <c r="A14" s="2273" t="s">
        <v>2206</v>
      </c>
      <c r="B14" s="2274" t="s">
        <v>2204</v>
      </c>
      <c r="C14" s="444"/>
      <c r="D14" s="1791">
        <f>1785000+19072000+48688000+1228000+28873000</f>
        <v>99646000</v>
      </c>
      <c r="E14" s="1792">
        <f>19561000+52948000+2232000+32365000</f>
        <v>107106000</v>
      </c>
      <c r="F14" s="1794">
        <f>17985000+19599000+57717000+3683000</f>
        <v>98984000</v>
      </c>
      <c r="G14" s="1790">
        <v>1746000</v>
      </c>
      <c r="H14" s="1790">
        <v>2860482</v>
      </c>
      <c r="I14" s="1790">
        <v>2860482</v>
      </c>
      <c r="J14" s="2357"/>
      <c r="K14" s="2358"/>
      <c r="L14" s="1791"/>
      <c r="M14" s="247"/>
      <c r="N14" s="247"/>
      <c r="O14" s="256"/>
      <c r="P14" s="256"/>
      <c r="Q14" s="256"/>
      <c r="R14" s="256"/>
      <c r="S14" s="256"/>
      <c r="T14" s="256"/>
      <c r="U14" s="256"/>
      <c r="V14" s="256"/>
      <c r="W14" s="256"/>
    </row>
    <row r="15" spans="1:24" ht="42.75" customHeight="1">
      <c r="A15" s="2273" t="s">
        <v>2207</v>
      </c>
      <c r="B15" s="2274" t="s">
        <v>2204</v>
      </c>
      <c r="C15" s="444"/>
      <c r="D15" s="1791">
        <f>44100000+32464000</f>
        <v>76564000</v>
      </c>
      <c r="E15" s="1792">
        <f>57108000+25694000</f>
        <v>82802000</v>
      </c>
      <c r="F15" s="1794">
        <f>54810000+39211000+31933000</f>
        <v>125954000</v>
      </c>
      <c r="G15" s="1790">
        <f>55830000+39427000+34161000+101900000</f>
        <v>231318000</v>
      </c>
      <c r="H15" s="1790">
        <v>101029126</v>
      </c>
      <c r="I15" s="1790">
        <v>101029126</v>
      </c>
      <c r="J15" s="2357"/>
      <c r="K15" s="2358"/>
      <c r="L15" s="1791"/>
      <c r="M15" s="247"/>
      <c r="N15" s="247"/>
      <c r="O15" s="247"/>
      <c r="P15" s="247"/>
    </row>
    <row r="16" spans="1:24" ht="42.75" customHeight="1">
      <c r="A16" s="2273" t="s">
        <v>2208</v>
      </c>
      <c r="B16" s="2274" t="s">
        <v>2204</v>
      </c>
      <c r="C16" s="444"/>
      <c r="D16" s="1791">
        <v>149820000</v>
      </c>
      <c r="E16" s="1792">
        <v>183633000</v>
      </c>
      <c r="F16" s="1794">
        <v>200626000</v>
      </c>
      <c r="G16" s="1790">
        <f>213525000+1110000</f>
        <v>214635000</v>
      </c>
      <c r="H16" s="1790">
        <v>246871044</v>
      </c>
      <c r="I16" s="1790">
        <v>246871044</v>
      </c>
      <c r="J16" s="2357"/>
      <c r="K16" s="2358"/>
      <c r="L16" s="1791"/>
      <c r="M16" s="247"/>
      <c r="N16" s="247"/>
      <c r="O16" s="247"/>
      <c r="P16" s="247"/>
    </row>
    <row r="17" spans="1:16" ht="42.75" customHeight="1">
      <c r="A17" s="1788" t="s">
        <v>2224</v>
      </c>
      <c r="B17" s="1789" t="s">
        <v>2225</v>
      </c>
      <c r="C17" s="444"/>
      <c r="D17" s="1790"/>
      <c r="E17" s="1790"/>
      <c r="F17" s="1794"/>
      <c r="G17" s="1792"/>
      <c r="H17" s="1790"/>
      <c r="I17" s="1793"/>
      <c r="J17" s="2357">
        <f>1134320650+3058000</f>
        <v>1137378650</v>
      </c>
      <c r="K17" s="2358">
        <f>673551052+800000</f>
        <v>674351052</v>
      </c>
      <c r="L17" s="1791">
        <f>708584891+900000</f>
        <v>709484891</v>
      </c>
      <c r="M17" s="247"/>
      <c r="N17" s="247"/>
      <c r="O17" s="247"/>
      <c r="P17" s="247"/>
    </row>
    <row r="18" spans="1:16" ht="42.75" customHeight="1">
      <c r="A18" s="1788" t="s">
        <v>2226</v>
      </c>
      <c r="B18" s="1789" t="s">
        <v>2227</v>
      </c>
      <c r="C18" s="444"/>
      <c r="D18" s="1790"/>
      <c r="E18" s="1790"/>
      <c r="F18" s="1794"/>
      <c r="G18" s="1792"/>
      <c r="H18" s="1790"/>
      <c r="I18" s="1793"/>
      <c r="J18" s="2357">
        <f>2042350990-55700000</f>
        <v>1986650990</v>
      </c>
      <c r="K18" s="2358">
        <f>2026109880+576794000+73031000</f>
        <v>2675934880</v>
      </c>
      <c r="L18" s="1791">
        <f>2139711281+612382000+37783000</f>
        <v>2789876281</v>
      </c>
      <c r="M18" s="247"/>
      <c r="N18" s="247"/>
      <c r="O18" s="247"/>
      <c r="P18" s="247"/>
    </row>
    <row r="19" spans="1:16" ht="42.75" customHeight="1">
      <c r="A19" s="1788" t="s">
        <v>2228</v>
      </c>
      <c r="B19" s="1789" t="s">
        <v>2229</v>
      </c>
      <c r="C19" s="444"/>
      <c r="D19" s="1790"/>
      <c r="E19" s="1790"/>
      <c r="F19" s="1794"/>
      <c r="G19" s="1792"/>
      <c r="H19" s="1790"/>
      <c r="I19" s="1793"/>
      <c r="J19" s="2357">
        <v>23793351</v>
      </c>
      <c r="K19" s="2358">
        <v>20871537</v>
      </c>
      <c r="L19" s="1791">
        <v>22018483</v>
      </c>
      <c r="M19" s="247"/>
      <c r="N19" s="247"/>
      <c r="O19" s="247"/>
      <c r="P19" s="247"/>
    </row>
    <row r="20" spans="1:16" ht="42.75" customHeight="1">
      <c r="A20" s="1788" t="s">
        <v>2230</v>
      </c>
      <c r="B20" s="1789" t="s">
        <v>2231</v>
      </c>
      <c r="C20" s="444"/>
      <c r="D20" s="1790"/>
      <c r="E20" s="1790"/>
      <c r="F20" s="1791"/>
      <c r="G20" s="1792"/>
      <c r="H20" s="1790"/>
      <c r="I20" s="1793"/>
      <c r="J20" s="2357">
        <v>160835711</v>
      </c>
      <c r="K20" s="2358">
        <v>147682671</v>
      </c>
      <c r="L20" s="1791">
        <v>155998795</v>
      </c>
      <c r="M20" s="247"/>
      <c r="N20" s="247"/>
      <c r="O20" s="247"/>
      <c r="P20" s="247"/>
    </row>
    <row r="21" spans="1:16" ht="42.75" customHeight="1">
      <c r="A21" s="1788" t="s">
        <v>2232</v>
      </c>
      <c r="B21" s="1789" t="s">
        <v>2231</v>
      </c>
      <c r="C21" s="444"/>
      <c r="D21" s="1790"/>
      <c r="E21" s="1790"/>
      <c r="F21" s="1791"/>
      <c r="G21" s="1792"/>
      <c r="H21" s="1790"/>
      <c r="I21" s="1793"/>
      <c r="J21" s="2357">
        <v>30068428</v>
      </c>
      <c r="K21" s="2358">
        <v>31868763</v>
      </c>
      <c r="L21" s="1791">
        <v>33781626</v>
      </c>
      <c r="M21" s="247"/>
      <c r="N21" s="247"/>
      <c r="O21" s="247"/>
      <c r="P21" s="247"/>
    </row>
    <row r="22" spans="1:16" ht="42.75" customHeight="1">
      <c r="A22" s="1788" t="s">
        <v>2233</v>
      </c>
      <c r="B22" s="1789" t="s">
        <v>2234</v>
      </c>
      <c r="C22" s="444"/>
      <c r="D22" s="1790"/>
      <c r="E22" s="1790"/>
      <c r="F22" s="1791"/>
      <c r="G22" s="1792"/>
      <c r="H22" s="1790"/>
      <c r="I22" s="1793"/>
      <c r="J22" s="2357">
        <v>379320</v>
      </c>
      <c r="K22" s="2358">
        <v>399424</v>
      </c>
      <c r="L22" s="1791">
        <v>421392</v>
      </c>
      <c r="M22" s="247"/>
      <c r="N22" s="247"/>
      <c r="O22" s="247"/>
      <c r="P22" s="247"/>
    </row>
    <row r="23" spans="1:16">
      <c r="A23" s="347"/>
      <c r="B23" s="445"/>
      <c r="C23" s="348">
        <v>1</v>
      </c>
      <c r="D23" s="231">
        <f t="shared" ref="D23:L23" si="0">SUM(D4:D22)</f>
        <v>1506797000</v>
      </c>
      <c r="E23" s="231">
        <f t="shared" si="0"/>
        <v>1897364000</v>
      </c>
      <c r="F23" s="229">
        <f t="shared" si="0"/>
        <v>2276849000</v>
      </c>
      <c r="G23" s="230">
        <f t="shared" si="0"/>
        <v>2388296000</v>
      </c>
      <c r="H23" s="231">
        <f t="shared" si="0"/>
        <v>3035455118</v>
      </c>
      <c r="I23" s="232">
        <f t="shared" si="0"/>
        <v>3035455118</v>
      </c>
      <c r="J23" s="2360">
        <f t="shared" si="0"/>
        <v>3339106450</v>
      </c>
      <c r="K23" s="2359">
        <f t="shared" si="0"/>
        <v>3551108327</v>
      </c>
      <c r="L23" s="229">
        <f t="shared" si="0"/>
        <v>3711581468</v>
      </c>
      <c r="M23" s="247"/>
      <c r="N23" s="247"/>
      <c r="O23" s="247"/>
      <c r="P23" s="247"/>
    </row>
    <row r="24" spans="1:16" s="722" customFormat="1">
      <c r="A24" s="1276" t="str">
        <f>head27a</f>
        <v>References</v>
      </c>
      <c r="B24" s="1068"/>
      <c r="C24" s="1065"/>
      <c r="D24" s="1069"/>
      <c r="E24" s="1069"/>
      <c r="F24" s="1069"/>
      <c r="G24" s="1069"/>
      <c r="H24" s="1069"/>
      <c r="I24" s="1069"/>
      <c r="J24" s="1069"/>
      <c r="K24" s="1069"/>
      <c r="L24" s="1069"/>
    </row>
    <row r="25" spans="1:16" s="722" customFormat="1">
      <c r="A25" s="1238" t="str">
        <f>"1. Total expenditure must reconcile to "&amp;'Template names'!F103</f>
        <v>1. Total expenditure must reconcile to Table A4 Budgeted Financial Performance (revenue and expenditure)</v>
      </c>
      <c r="B25" s="1096"/>
      <c r="C25" s="1065"/>
      <c r="D25" s="1068"/>
      <c r="E25" s="1068"/>
      <c r="F25" s="1069"/>
      <c r="G25" s="1069"/>
      <c r="H25" s="1069"/>
      <c r="I25" s="1069"/>
      <c r="J25" s="1069"/>
      <c r="K25" s="1069"/>
      <c r="L25" s="1069"/>
    </row>
    <row r="26" spans="1:16" s="722" customFormat="1">
      <c r="A26" s="1307" t="s">
        <v>1062</v>
      </c>
      <c r="B26" s="1071"/>
      <c r="C26" s="1070"/>
      <c r="D26" s="1457">
        <f>D23-'A4-FinPerf RE'!C36</f>
        <v>-89419663</v>
      </c>
      <c r="E26" s="1457">
        <f>E23-'A4-FinPerf RE'!D36</f>
        <v>70093984</v>
      </c>
      <c r="F26" s="1458">
        <f>F23-'A4-FinPerf RE'!E36</f>
        <v>-813425068</v>
      </c>
      <c r="G26" s="1458">
        <f>G23-'A4-FinPerf RE'!F36</f>
        <v>171</v>
      </c>
      <c r="H26" s="1458">
        <f>H23-'A4-FinPerf RE'!G36</f>
        <v>449</v>
      </c>
      <c r="I26" s="1458">
        <f>I23-'A4-FinPerf RE'!H36</f>
        <v>449</v>
      </c>
      <c r="J26" s="1458">
        <f>J23-'A4-FinPerf RE'!J36</f>
        <v>202</v>
      </c>
      <c r="K26" s="1458">
        <f>K23-'A4-FinPerf RE'!K36</f>
        <v>211.81400012969971</v>
      </c>
      <c r="L26" s="1458">
        <f>L23-'A4-FinPerf RE'!L36</f>
        <v>-12.36122989654541</v>
      </c>
    </row>
    <row r="27" spans="1:16">
      <c r="D27" s="452"/>
      <c r="E27" s="452"/>
      <c r="F27" s="364"/>
    </row>
    <row r="28" spans="1:16">
      <c r="D28" s="452"/>
    </row>
    <row r="29" spans="1:16">
      <c r="D29" s="452"/>
    </row>
  </sheetData>
  <mergeCells count="3">
    <mergeCell ref="G2:I2"/>
    <mergeCell ref="J2:L2"/>
    <mergeCell ref="C2:C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31"/>
  <sheetViews>
    <sheetView showGridLines="0" workbookViewId="0">
      <pane xSplit="4" ySplit="3" topLeftCell="E23" activePane="bottomRight" state="frozen"/>
      <selection activeCell="O37" sqref="A1:IV65536"/>
      <selection pane="topRight" activeCell="O37" sqref="A1:IV65536"/>
      <selection pane="bottomLeft" activeCell="O37" sqref="A1:IV65536"/>
      <selection pane="bottomRight" activeCell="K19" sqref="K19"/>
    </sheetView>
  </sheetViews>
  <sheetFormatPr defaultRowHeight="12.75"/>
  <cols>
    <col min="1" max="2" width="18.7109375" style="150" customWidth="1"/>
    <col min="3" max="3" width="4.42578125" style="150" customWidth="1"/>
    <col min="4" max="4" width="3" style="248" customWidth="1"/>
    <col min="5" max="13" width="9.28515625" style="150" customWidth="1"/>
    <col min="14" max="14" width="32.7109375" style="150" bestFit="1" customWidth="1"/>
    <col min="15" max="15" width="1.5703125" style="150" customWidth="1"/>
    <col min="16" max="20" width="7.85546875" style="150" bestFit="1" customWidth="1"/>
    <col min="21" max="24" width="8.7109375" style="150" bestFit="1" customWidth="1"/>
    <col min="25" max="26" width="9.85546875" style="150" customWidth="1"/>
    <col min="27" max="16384" width="9.140625" style="150"/>
  </cols>
  <sheetData>
    <row r="1" spans="1:24" ht="13.5">
      <c r="A1" s="148" t="str">
        <f>muni&amp;" - "&amp;TableA6</f>
        <v>KZN225 Msunduzi - Supporting Table SA6 Reconciliation of IDP strategic objectives and budget (capital expenditure)</v>
      </c>
      <c r="B1" s="148"/>
      <c r="C1" s="148"/>
      <c r="D1" s="148"/>
      <c r="E1" s="148"/>
      <c r="F1" s="148"/>
      <c r="G1" s="148"/>
      <c r="H1" s="148"/>
      <c r="I1" s="148"/>
      <c r="J1" s="148"/>
      <c r="K1" s="148"/>
      <c r="L1" s="148"/>
      <c r="M1" s="148"/>
      <c r="N1" s="247"/>
      <c r="O1" s="247"/>
      <c r="P1" s="247"/>
      <c r="Q1" s="247"/>
    </row>
    <row r="2" spans="1:24" ht="28.5" customHeight="1">
      <c r="A2" s="1001" t="s">
        <v>1058</v>
      </c>
      <c r="B2" s="1010" t="s">
        <v>1479</v>
      </c>
      <c r="C2" s="645" t="s">
        <v>1016</v>
      </c>
      <c r="D2" s="2441" t="str">
        <f>head27</f>
        <v>Ref</v>
      </c>
      <c r="E2" s="146" t="str">
        <f>head1b</f>
        <v>2007/8</v>
      </c>
      <c r="F2" s="151" t="str">
        <f>head1A</f>
        <v>2008/9</v>
      </c>
      <c r="G2" s="147" t="str">
        <f>Head1</f>
        <v>2009/10</v>
      </c>
      <c r="H2" s="2415" t="str">
        <f>Head2</f>
        <v>Current Year 2010/11</v>
      </c>
      <c r="I2" s="2416"/>
      <c r="J2" s="2420"/>
      <c r="K2" s="2412" t="str">
        <f>Head3</f>
        <v>2011/12 Medium Term Revenue &amp; Expenditure Framework</v>
      </c>
      <c r="L2" s="2413"/>
      <c r="M2" s="2414"/>
      <c r="N2" s="247"/>
      <c r="O2" s="247"/>
      <c r="P2" s="247"/>
      <c r="Q2" s="247"/>
    </row>
    <row r="3" spans="1:24" ht="25.5">
      <c r="A3" s="1017" t="s">
        <v>703</v>
      </c>
      <c r="B3" s="1016"/>
      <c r="C3" s="1016"/>
      <c r="D3" s="2447"/>
      <c r="E3" s="392" t="str">
        <f>Head5</f>
        <v>Audited Outcome</v>
      </c>
      <c r="F3" s="393" t="str">
        <f>Head5</f>
        <v>Audited Outcome</v>
      </c>
      <c r="G3" s="394" t="str">
        <f>Head5</f>
        <v>Audited Outcome</v>
      </c>
      <c r="H3" s="300" t="str">
        <f>Head6</f>
        <v>Original Budget</v>
      </c>
      <c r="I3" s="393" t="str">
        <f>Head7</f>
        <v>Adjusted Budget</v>
      </c>
      <c r="J3" s="394" t="str">
        <f>Head8</f>
        <v>Full Year Forecast</v>
      </c>
      <c r="K3" s="300" t="str">
        <f>Head9</f>
        <v>Budget Year 2011/12</v>
      </c>
      <c r="L3" s="393" t="str">
        <f>Head10</f>
        <v>Budget Year +1 2012/13</v>
      </c>
      <c r="M3" s="394" t="str">
        <f>Head11</f>
        <v>Budget Year +2 2013/14</v>
      </c>
      <c r="N3" s="247"/>
      <c r="O3" s="247"/>
      <c r="P3" s="247"/>
      <c r="Q3" s="247"/>
    </row>
    <row r="4" spans="1:24" ht="42.75" customHeight="1">
      <c r="A4" s="2273" t="s">
        <v>2190</v>
      </c>
      <c r="B4" s="2274" t="s">
        <v>2191</v>
      </c>
      <c r="C4" s="1795" t="s">
        <v>429</v>
      </c>
      <c r="D4" s="444"/>
      <c r="E4" s="1791">
        <v>2294297</v>
      </c>
      <c r="F4" s="1792"/>
      <c r="G4" s="2356">
        <v>4226110</v>
      </c>
      <c r="H4" s="2356">
        <v>960000</v>
      </c>
      <c r="I4" s="2358">
        <v>3032000</v>
      </c>
      <c r="J4" s="1793">
        <v>3032000</v>
      </c>
      <c r="K4" s="2356"/>
      <c r="L4" s="1790"/>
      <c r="M4" s="1791"/>
      <c r="N4" s="449"/>
      <c r="O4" s="449"/>
      <c r="P4" s="256"/>
      <c r="Q4" s="256"/>
      <c r="R4" s="256"/>
      <c r="S4" s="256"/>
      <c r="T4" s="256"/>
      <c r="U4" s="256"/>
      <c r="V4" s="256"/>
      <c r="W4" s="256"/>
      <c r="X4" s="256"/>
    </row>
    <row r="5" spans="1:24" ht="42.75" customHeight="1">
      <c r="A5" s="2273" t="s">
        <v>2192</v>
      </c>
      <c r="B5" s="2274" t="s">
        <v>2193</v>
      </c>
      <c r="C5" s="1795" t="s">
        <v>1467</v>
      </c>
      <c r="D5" s="444"/>
      <c r="E5" s="1791">
        <f>6976135+30000432</f>
        <v>36976567</v>
      </c>
      <c r="F5" s="1792">
        <f>116974785+74217260</f>
        <v>191192045</v>
      </c>
      <c r="G5" s="2357">
        <v>95082657</v>
      </c>
      <c r="H5" s="1791">
        <v>153515333</v>
      </c>
      <c r="I5" s="2358">
        <f>91315375+21300000</f>
        <v>112615375</v>
      </c>
      <c r="J5" s="1793">
        <v>112615375</v>
      </c>
      <c r="K5" s="2357"/>
      <c r="L5" s="1790"/>
      <c r="M5" s="1791"/>
      <c r="N5" s="449"/>
      <c r="O5" s="449"/>
      <c r="P5" s="256"/>
      <c r="Q5" s="256"/>
      <c r="R5" s="256"/>
      <c r="S5" s="256"/>
      <c r="T5" s="256"/>
      <c r="U5" s="256"/>
      <c r="V5" s="256"/>
      <c r="W5" s="256"/>
      <c r="X5" s="256"/>
    </row>
    <row r="6" spans="1:24" ht="42.75" customHeight="1">
      <c r="A6" s="2273" t="s">
        <v>2194</v>
      </c>
      <c r="B6" s="2274" t="s">
        <v>2193</v>
      </c>
      <c r="C6" s="1795" t="s">
        <v>526</v>
      </c>
      <c r="D6" s="444"/>
      <c r="E6" s="1791">
        <v>34517185</v>
      </c>
      <c r="F6" s="1792">
        <v>2000000</v>
      </c>
      <c r="G6" s="2357">
        <v>73500000</v>
      </c>
      <c r="H6" s="2357">
        <v>41330000</v>
      </c>
      <c r="I6" s="2358"/>
      <c r="J6" s="1793"/>
      <c r="K6" s="2357"/>
      <c r="L6" s="1790"/>
      <c r="M6" s="1791"/>
      <c r="N6" s="449"/>
      <c r="O6" s="449"/>
      <c r="P6" s="256"/>
      <c r="Q6" s="256"/>
      <c r="R6" s="256"/>
      <c r="S6" s="256"/>
      <c r="T6" s="256"/>
      <c r="U6" s="256"/>
      <c r="V6" s="256"/>
      <c r="W6" s="256"/>
      <c r="X6" s="256"/>
    </row>
    <row r="7" spans="1:24" ht="42.75" customHeight="1">
      <c r="A7" s="2273" t="s">
        <v>2195</v>
      </c>
      <c r="B7" s="2274" t="s">
        <v>2193</v>
      </c>
      <c r="C7" s="1795" t="s">
        <v>577</v>
      </c>
      <c r="D7" s="444"/>
      <c r="E7" s="1791">
        <v>10822648</v>
      </c>
      <c r="F7" s="1792">
        <v>6350000</v>
      </c>
      <c r="G7" s="2357">
        <v>23700000</v>
      </c>
      <c r="H7" s="2357">
        <v>28000000</v>
      </c>
      <c r="I7" s="2358">
        <v>33169628</v>
      </c>
      <c r="J7" s="1793">
        <v>33169628</v>
      </c>
      <c r="K7" s="2357"/>
      <c r="L7" s="1790"/>
      <c r="M7" s="1791"/>
      <c r="N7" s="449"/>
      <c r="O7" s="449"/>
      <c r="P7" s="256"/>
      <c r="Q7" s="256"/>
      <c r="R7" s="256"/>
      <c r="S7" s="256"/>
      <c r="T7" s="256"/>
      <c r="U7" s="256"/>
      <c r="V7" s="256"/>
      <c r="W7" s="256"/>
      <c r="X7" s="256"/>
    </row>
    <row r="8" spans="1:24" ht="42.75" customHeight="1">
      <c r="A8" s="2273" t="s">
        <v>2196</v>
      </c>
      <c r="B8" s="2274" t="s">
        <v>2193</v>
      </c>
      <c r="C8" s="1795" t="s">
        <v>1695</v>
      </c>
      <c r="D8" s="444"/>
      <c r="E8" s="1791">
        <v>35339781</v>
      </c>
      <c r="F8" s="1792">
        <v>6000000</v>
      </c>
      <c r="G8" s="2357">
        <v>51225227</v>
      </c>
      <c r="H8" s="2357">
        <v>35339000</v>
      </c>
      <c r="I8" s="2358">
        <v>121373741</v>
      </c>
      <c r="J8" s="1793">
        <v>121373741</v>
      </c>
      <c r="K8" s="2357"/>
      <c r="L8" s="1790"/>
      <c r="M8" s="1791"/>
      <c r="N8" s="449"/>
      <c r="O8" s="449"/>
      <c r="P8" s="256"/>
      <c r="Q8" s="256"/>
      <c r="R8" s="256"/>
      <c r="S8" s="256"/>
      <c r="T8" s="256"/>
      <c r="U8" s="256"/>
      <c r="V8" s="256"/>
      <c r="W8" s="256"/>
      <c r="X8" s="256"/>
    </row>
    <row r="9" spans="1:24" ht="42.75" customHeight="1">
      <c r="A9" s="2273" t="s">
        <v>2209</v>
      </c>
      <c r="B9" s="2274" t="s">
        <v>2191</v>
      </c>
      <c r="C9" s="1795" t="s">
        <v>1696</v>
      </c>
      <c r="D9" s="444"/>
      <c r="E9" s="1791">
        <v>213799</v>
      </c>
      <c r="F9" s="1792"/>
      <c r="G9" s="2357">
        <v>5100000</v>
      </c>
      <c r="H9" s="2357">
        <v>968000</v>
      </c>
      <c r="I9" s="2358"/>
      <c r="J9" s="1793"/>
      <c r="K9" s="2357"/>
      <c r="L9" s="1790"/>
      <c r="M9" s="1791"/>
      <c r="N9" s="310"/>
      <c r="O9" s="310"/>
      <c r="P9" s="256"/>
      <c r="Q9" s="256"/>
      <c r="R9" s="256"/>
      <c r="S9" s="256"/>
      <c r="T9" s="256"/>
      <c r="U9" s="256"/>
      <c r="V9" s="256"/>
      <c r="W9" s="256"/>
      <c r="X9" s="256"/>
    </row>
    <row r="10" spans="1:24" ht="42.75" customHeight="1">
      <c r="A10" s="2273" t="s">
        <v>2197</v>
      </c>
      <c r="B10" s="2274" t="s">
        <v>2198</v>
      </c>
      <c r="C10" s="1795" t="s">
        <v>1697</v>
      </c>
      <c r="D10" s="444"/>
      <c r="E10" s="1791">
        <v>3793722</v>
      </c>
      <c r="F10" s="1792">
        <v>836000</v>
      </c>
      <c r="G10" s="2357">
        <v>17980000</v>
      </c>
      <c r="H10" s="2357">
        <v>13085347</v>
      </c>
      <c r="I10" s="2358">
        <v>9920000</v>
      </c>
      <c r="J10" s="1793">
        <v>9920000</v>
      </c>
      <c r="K10" s="2357"/>
      <c r="L10" s="2358"/>
      <c r="M10" s="1791"/>
      <c r="N10" s="247"/>
      <c r="O10" s="247"/>
      <c r="P10" s="256"/>
      <c r="Q10" s="256"/>
      <c r="R10" s="256"/>
      <c r="S10" s="256"/>
      <c r="T10" s="256"/>
      <c r="U10" s="256"/>
      <c r="V10" s="256"/>
      <c r="W10" s="256"/>
      <c r="X10" s="256"/>
    </row>
    <row r="11" spans="1:24" ht="42.75" customHeight="1">
      <c r="A11" s="2273" t="s">
        <v>2199</v>
      </c>
      <c r="B11" s="2274" t="s">
        <v>2200</v>
      </c>
      <c r="C11" s="1795" t="s">
        <v>591</v>
      </c>
      <c r="D11" s="444"/>
      <c r="E11" s="1791">
        <f>205430+1080213</f>
        <v>1285643</v>
      </c>
      <c r="F11" s="1792">
        <v>2700000</v>
      </c>
      <c r="G11" s="2357">
        <v>1495000</v>
      </c>
      <c r="H11" s="2357">
        <v>0</v>
      </c>
      <c r="I11" s="2358">
        <v>60693263</v>
      </c>
      <c r="J11" s="1793">
        <v>60693263</v>
      </c>
      <c r="K11" s="2357"/>
      <c r="L11" s="1790"/>
      <c r="M11" s="1791"/>
      <c r="N11" s="247"/>
      <c r="O11" s="247"/>
      <c r="P11" s="256"/>
      <c r="Q11" s="256"/>
      <c r="R11" s="256"/>
      <c r="S11" s="256"/>
      <c r="T11" s="256"/>
      <c r="U11" s="256"/>
      <c r="V11" s="256"/>
      <c r="W11" s="256"/>
      <c r="X11" s="256"/>
    </row>
    <row r="12" spans="1:24" ht="42.75" customHeight="1">
      <c r="A12" s="2273" t="s">
        <v>2201</v>
      </c>
      <c r="B12" s="2274" t="s">
        <v>2202</v>
      </c>
      <c r="C12" s="1795" t="s">
        <v>592</v>
      </c>
      <c r="D12" s="444"/>
      <c r="E12" s="1791">
        <v>2256496</v>
      </c>
      <c r="F12" s="1792"/>
      <c r="G12" s="2357">
        <v>1315000</v>
      </c>
      <c r="H12" s="2357">
        <v>450000</v>
      </c>
      <c r="I12" s="2358"/>
      <c r="J12" s="1793"/>
      <c r="K12" s="2357"/>
      <c r="L12" s="1790"/>
      <c r="M12" s="1791"/>
      <c r="N12" s="247"/>
      <c r="O12" s="247"/>
      <c r="P12" s="256"/>
      <c r="Q12" s="256"/>
      <c r="R12" s="256"/>
      <c r="S12" s="256"/>
      <c r="T12" s="256"/>
      <c r="U12" s="256"/>
      <c r="V12" s="256"/>
      <c r="W12" s="256"/>
      <c r="X12" s="256"/>
    </row>
    <row r="13" spans="1:24" ht="42.75" customHeight="1">
      <c r="A13" s="2273" t="s">
        <v>2203</v>
      </c>
      <c r="B13" s="2274" t="s">
        <v>2204</v>
      </c>
      <c r="C13" s="1795" t="s">
        <v>1017</v>
      </c>
      <c r="D13" s="444"/>
      <c r="E13" s="1791">
        <v>2827856</v>
      </c>
      <c r="F13" s="1792">
        <v>10000000</v>
      </c>
      <c r="G13" s="2357">
        <v>4680000</v>
      </c>
      <c r="H13" s="2357">
        <v>11300000</v>
      </c>
      <c r="I13" s="2358"/>
      <c r="J13" s="1793"/>
      <c r="K13" s="2357"/>
      <c r="L13" s="1790"/>
      <c r="M13" s="1791"/>
      <c r="N13" s="247"/>
      <c r="O13" s="247"/>
      <c r="P13" s="203"/>
      <c r="Q13" s="203"/>
      <c r="R13" s="203"/>
      <c r="S13" s="203"/>
      <c r="T13" s="203"/>
      <c r="U13" s="203"/>
      <c r="V13" s="203"/>
      <c r="W13" s="203"/>
      <c r="X13" s="203"/>
    </row>
    <row r="14" spans="1:24" ht="42.75" customHeight="1">
      <c r="A14" s="2273" t="s">
        <v>2205</v>
      </c>
      <c r="B14" s="2274" t="s">
        <v>2202</v>
      </c>
      <c r="C14" s="1795" t="s">
        <v>1018</v>
      </c>
      <c r="D14" s="444"/>
      <c r="E14" s="1791">
        <v>1200194</v>
      </c>
      <c r="F14" s="1792">
        <v>1700000</v>
      </c>
      <c r="G14" s="2357">
        <v>11410000</v>
      </c>
      <c r="H14" s="2357"/>
      <c r="I14" s="2358"/>
      <c r="J14" s="1793"/>
      <c r="K14" s="2357"/>
      <c r="L14" s="1790"/>
      <c r="M14" s="1791"/>
      <c r="N14" s="247"/>
      <c r="O14" s="247"/>
      <c r="P14" s="256"/>
      <c r="Q14" s="256"/>
      <c r="R14" s="256"/>
      <c r="S14" s="256"/>
      <c r="T14" s="256"/>
      <c r="U14" s="256"/>
      <c r="V14" s="256"/>
      <c r="W14" s="256"/>
      <c r="X14" s="256"/>
    </row>
    <row r="15" spans="1:24" ht="42.75" customHeight="1">
      <c r="A15" s="2273" t="s">
        <v>2206</v>
      </c>
      <c r="B15" s="2274" t="s">
        <v>2204</v>
      </c>
      <c r="C15" s="1795" t="s">
        <v>1019</v>
      </c>
      <c r="D15" s="444"/>
      <c r="E15" s="2361">
        <f>4080910+14604432</f>
        <v>18685342</v>
      </c>
      <c r="F15" s="1793">
        <f>2750000+550000+2600000</f>
        <v>5900000</v>
      </c>
      <c r="G15" s="2357">
        <v>15850000</v>
      </c>
      <c r="H15" s="2357">
        <v>13075000</v>
      </c>
      <c r="I15" s="2358">
        <v>8495000</v>
      </c>
      <c r="J15" s="1793">
        <v>8495000</v>
      </c>
      <c r="K15" s="2357"/>
      <c r="L15" s="1790"/>
      <c r="M15" s="1791"/>
      <c r="N15" s="247"/>
      <c r="O15" s="247"/>
      <c r="P15" s="247"/>
      <c r="Q15" s="247"/>
    </row>
    <row r="16" spans="1:24" ht="42.75" customHeight="1">
      <c r="A16" s="2273" t="s">
        <v>2207</v>
      </c>
      <c r="B16" s="2274" t="s">
        <v>2204</v>
      </c>
      <c r="C16" s="1795" t="s">
        <v>1020</v>
      </c>
      <c r="D16" s="444"/>
      <c r="E16" s="2361">
        <v>19904231</v>
      </c>
      <c r="F16" s="1793">
        <f>7545000+600000-6000</f>
        <v>8139000</v>
      </c>
      <c r="G16" s="2357">
        <v>14899000</v>
      </c>
      <c r="H16" s="2357">
        <v>24751000</v>
      </c>
      <c r="I16" s="2358">
        <v>10252000</v>
      </c>
      <c r="J16" s="1793">
        <v>10252000</v>
      </c>
      <c r="K16" s="2357"/>
      <c r="L16" s="2358"/>
      <c r="M16" s="1791"/>
      <c r="N16" s="247"/>
      <c r="O16" s="247"/>
      <c r="P16" s="247"/>
      <c r="Q16" s="247"/>
    </row>
    <row r="17" spans="1:13" ht="42.75" customHeight="1">
      <c r="A17" s="2273" t="s">
        <v>2208</v>
      </c>
      <c r="B17" s="2274" t="s">
        <v>2204</v>
      </c>
      <c r="C17" s="1795" t="s">
        <v>1021</v>
      </c>
      <c r="D17" s="444"/>
      <c r="E17" s="2361">
        <v>26956000</v>
      </c>
      <c r="F17" s="1793">
        <v>2000000</v>
      </c>
      <c r="G17" s="2357">
        <v>6880000</v>
      </c>
      <c r="H17" s="2357">
        <v>300</v>
      </c>
      <c r="I17" s="2358">
        <v>34997000</v>
      </c>
      <c r="J17" s="1793">
        <v>34997000</v>
      </c>
      <c r="K17" s="2357"/>
      <c r="L17" s="2358"/>
      <c r="M17" s="1791"/>
    </row>
    <row r="18" spans="1:13" ht="42.75" customHeight="1">
      <c r="A18" s="2273" t="s">
        <v>2235</v>
      </c>
      <c r="B18" s="2274" t="s">
        <v>2236</v>
      </c>
      <c r="C18" s="1795" t="s">
        <v>1022</v>
      </c>
      <c r="D18" s="444"/>
      <c r="E18" s="2361"/>
      <c r="F18" s="1793"/>
      <c r="G18" s="2357"/>
      <c r="H18" s="2357"/>
      <c r="I18" s="2358"/>
      <c r="J18" s="1793"/>
      <c r="K18" s="2357">
        <f>92311000+65000000+40000000+9400000+4000000+875000+20000000+26361300+15000000+6500000+30000000+2268000+2000000+4000000+23637000-118000-790000-22355000</f>
        <v>318089300</v>
      </c>
      <c r="L18" s="2358">
        <f>26307000+84398000+89500000+6000000+44062000-800000</f>
        <v>249467000</v>
      </c>
      <c r="M18" s="1791">
        <f>89040000+27754000+52000000+32392800-31593000-900000</f>
        <v>168693800</v>
      </c>
    </row>
    <row r="19" spans="1:13" ht="42.75" customHeight="1">
      <c r="A19" s="2273" t="s">
        <v>2224</v>
      </c>
      <c r="B19" s="2274" t="s">
        <v>2237</v>
      </c>
      <c r="C19" s="1795" t="s">
        <v>1023</v>
      </c>
      <c r="D19" s="444"/>
      <c r="E19" s="2361"/>
      <c r="F19" s="1793"/>
      <c r="G19" s="2357"/>
      <c r="H19" s="2357"/>
      <c r="I19" s="2358"/>
      <c r="J19" s="1793"/>
      <c r="K19" s="2357"/>
      <c r="L19" s="2358"/>
      <c r="M19" s="1791"/>
    </row>
    <row r="20" spans="1:13" ht="42.75" customHeight="1">
      <c r="A20" s="2273" t="s">
        <v>2235</v>
      </c>
      <c r="B20" s="2274" t="s">
        <v>2238</v>
      </c>
      <c r="C20" s="1795" t="s">
        <v>1024</v>
      </c>
      <c r="D20" s="444"/>
      <c r="E20" s="2361"/>
      <c r="F20" s="1793"/>
      <c r="G20" s="2357"/>
      <c r="H20" s="2357"/>
      <c r="I20" s="2358"/>
      <c r="J20" s="1793"/>
      <c r="K20" s="2357"/>
      <c r="L20" s="2358"/>
      <c r="M20" s="1791"/>
    </row>
    <row r="21" spans="1:13" ht="42.75" customHeight="1">
      <c r="A21" s="2273" t="s">
        <v>2233</v>
      </c>
      <c r="B21" s="2274" t="s">
        <v>2239</v>
      </c>
      <c r="C21" s="1795"/>
      <c r="D21" s="444"/>
      <c r="E21" s="2361"/>
      <c r="F21" s="1793"/>
      <c r="G21" s="2357"/>
      <c r="H21" s="2357"/>
      <c r="I21" s="2358"/>
      <c r="J21" s="1793"/>
      <c r="K21" s="2357">
        <f>16000000+300000+300000+2000000+300000+300000+200000+200000+200000+2520000+500000+300000+500000+500000+3617000+5657000-10000+450000+10000000+830000</f>
        <v>44664000</v>
      </c>
      <c r="L21" s="2358">
        <f>43052000+13800000</f>
        <v>56852000</v>
      </c>
      <c r="M21" s="1791">
        <v>45521000</v>
      </c>
    </row>
    <row r="22" spans="1:13" ht="42.75" customHeight="1">
      <c r="A22" s="2273" t="s">
        <v>2228</v>
      </c>
      <c r="B22" s="2274" t="s">
        <v>2240</v>
      </c>
      <c r="C22" s="1795"/>
      <c r="D22" s="444"/>
      <c r="E22" s="2361"/>
      <c r="F22" s="1793"/>
      <c r="G22" s="2357"/>
      <c r="H22" s="2357"/>
      <c r="I22" s="2358"/>
      <c r="J22" s="1793"/>
      <c r="K22" s="2357">
        <f>760000+16000000+2000000+21800000+3500000</f>
        <v>44060000</v>
      </c>
      <c r="L22" s="2358"/>
      <c r="M22" s="1791"/>
    </row>
    <row r="23" spans="1:13" ht="42.75" customHeight="1">
      <c r="A23" s="2273" t="s">
        <v>2235</v>
      </c>
      <c r="B23" s="2274" t="s">
        <v>2241</v>
      </c>
      <c r="C23" s="1795"/>
      <c r="D23" s="444"/>
      <c r="E23" s="2361"/>
      <c r="F23" s="1793"/>
      <c r="G23" s="2357"/>
      <c r="H23" s="2357"/>
      <c r="I23" s="2358"/>
      <c r="J23" s="1793"/>
      <c r="K23" s="2357">
        <v>4500000</v>
      </c>
      <c r="L23" s="2358">
        <v>4500000</v>
      </c>
      <c r="M23" s="1791"/>
    </row>
    <row r="24" spans="1:13">
      <c r="A24" s="347"/>
      <c r="B24" s="445"/>
      <c r="C24" s="445"/>
      <c r="D24" s="348">
        <v>1</v>
      </c>
      <c r="E24" s="2362">
        <f t="shared" ref="E24:M24" si="0">SUM(E4:E23)</f>
        <v>197073761</v>
      </c>
      <c r="F24" s="232">
        <f t="shared" si="0"/>
        <v>236817045</v>
      </c>
      <c r="G24" s="2360">
        <f t="shared" si="0"/>
        <v>327342994</v>
      </c>
      <c r="H24" s="2360">
        <f t="shared" si="0"/>
        <v>322773980</v>
      </c>
      <c r="I24" s="2359">
        <f t="shared" si="0"/>
        <v>394548007</v>
      </c>
      <c r="J24" s="232">
        <f t="shared" si="0"/>
        <v>394548007</v>
      </c>
      <c r="K24" s="2360">
        <f t="shared" si="0"/>
        <v>411313300</v>
      </c>
      <c r="L24" s="2359">
        <f t="shared" si="0"/>
        <v>310819000</v>
      </c>
      <c r="M24" s="229">
        <f t="shared" si="0"/>
        <v>214214800</v>
      </c>
    </row>
    <row r="25" spans="1:13" s="722" customFormat="1">
      <c r="A25" s="1276" t="str">
        <f>head27a</f>
        <v>References</v>
      </c>
      <c r="B25" s="1068"/>
      <c r="C25" s="1068"/>
      <c r="D25" s="1065"/>
      <c r="E25" s="1069"/>
      <c r="F25" s="1069"/>
      <c r="G25" s="1069"/>
      <c r="H25" s="1069"/>
      <c r="I25" s="1069"/>
      <c r="J25" s="1069"/>
      <c r="K25" s="1069"/>
      <c r="L25" s="1069"/>
      <c r="M25" s="1069"/>
    </row>
    <row r="26" spans="1:13" s="722" customFormat="1">
      <c r="A26" s="1238" t="s">
        <v>1481</v>
      </c>
      <c r="B26" s="1068"/>
      <c r="C26" s="1068"/>
      <c r="D26" s="1065"/>
      <c r="E26" s="1069"/>
      <c r="F26" s="1069"/>
      <c r="G26" s="1069"/>
      <c r="H26" s="1069"/>
      <c r="I26" s="1069"/>
      <c r="J26" s="1069"/>
      <c r="K26" s="1069"/>
      <c r="L26" s="1069"/>
      <c r="M26" s="1069"/>
    </row>
    <row r="27" spans="1:13" s="722" customFormat="1">
      <c r="A27" s="1238" t="s">
        <v>1025</v>
      </c>
      <c r="B27" s="1089"/>
      <c r="C27" s="1089"/>
      <c r="D27" s="1065"/>
      <c r="E27" s="1068"/>
      <c r="F27" s="1068"/>
      <c r="G27" s="1069"/>
      <c r="H27" s="1069"/>
      <c r="I27" s="1069"/>
      <c r="J27" s="1069"/>
      <c r="K27" s="1069"/>
      <c r="L27" s="1069"/>
      <c r="M27" s="1069"/>
    </row>
    <row r="28" spans="1:13">
      <c r="A28" s="391" t="s">
        <v>447</v>
      </c>
      <c r="B28" s="391"/>
      <c r="C28" s="391"/>
      <c r="E28" s="451">
        <f>E24-'A5-Capex'!C40</f>
        <v>197073761</v>
      </c>
      <c r="F28" s="451">
        <f>F24-'A5-Capex'!D40</f>
        <v>236817045</v>
      </c>
      <c r="G28" s="451">
        <f>G24-'A5-Capex'!E40</f>
        <v>151309502</v>
      </c>
      <c r="H28" s="451">
        <f>H24-'A5-Capex'!F40</f>
        <v>26836714</v>
      </c>
      <c r="I28" s="451">
        <f>I24-'A5-Capex'!G40</f>
        <v>0</v>
      </c>
      <c r="J28" s="451">
        <f>J24-'A5-Capex'!H40</f>
        <v>0</v>
      </c>
      <c r="K28" s="451">
        <f>K24-'A5-Capex'!J40</f>
        <v>0</v>
      </c>
      <c r="L28" s="451">
        <f>L24-'A5-Capex'!K40</f>
        <v>-300</v>
      </c>
      <c r="M28" s="451">
        <f>M24-'A5-Capex'!L40</f>
        <v>-200</v>
      </c>
    </row>
    <row r="29" spans="1:13">
      <c r="E29" s="452"/>
      <c r="F29" s="364"/>
      <c r="G29" s="364"/>
    </row>
    <row r="30" spans="1:13">
      <c r="E30" s="452"/>
    </row>
    <row r="31" spans="1:13">
      <c r="E31" s="452"/>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workbookViewId="0">
      <pane xSplit="2" ySplit="3" topLeftCell="C7" activePane="bottomRight" state="frozen"/>
      <selection activeCell="O37" sqref="A1:IV65536"/>
      <selection pane="topRight" activeCell="O37" sqref="A1:IV65536"/>
      <selection pane="bottomLeft" activeCell="O37" sqref="A1:IV65536"/>
      <selection pane="bottomRight" activeCell="A4" sqref="A4"/>
    </sheetView>
  </sheetViews>
  <sheetFormatPr defaultRowHeight="11.25" customHeight="1"/>
  <cols>
    <col min="1" max="1" width="29.28515625" style="150" customWidth="1"/>
    <col min="2" max="2" width="15.7109375" style="150" customWidth="1"/>
    <col min="3" max="11" width="9.28515625" style="150" customWidth="1"/>
    <col min="12" max="16384" width="9.140625" style="150"/>
  </cols>
  <sheetData>
    <row r="1" spans="1:11" s="180" customFormat="1" ht="12.75">
      <c r="A1" s="148" t="str">
        <f>muni&amp;" - "&amp;TableA7</f>
        <v>KZN225 Msunduzi - Supporting Table SA7 Measureable performance objectives</v>
      </c>
      <c r="B1" s="148"/>
      <c r="C1" s="148"/>
      <c r="D1" s="148"/>
      <c r="E1" s="148"/>
      <c r="F1" s="148"/>
      <c r="G1" s="148"/>
      <c r="H1" s="148"/>
      <c r="I1" s="148"/>
      <c r="J1" s="148"/>
      <c r="K1" s="148"/>
    </row>
    <row r="2" spans="1:11" ht="28.5" customHeight="1">
      <c r="A2" s="2450" t="s">
        <v>821</v>
      </c>
      <c r="B2" s="2448" t="s">
        <v>443</v>
      </c>
      <c r="C2" s="146"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1" ht="25.5">
      <c r="A3" s="2451"/>
      <c r="B3" s="2449"/>
      <c r="C3" s="392" t="str">
        <f>Head5</f>
        <v>Audited Outcome</v>
      </c>
      <c r="D3" s="393"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1.25" customHeight="1">
      <c r="A4" s="1611" t="s">
        <v>1514</v>
      </c>
      <c r="B4" s="1796"/>
      <c r="C4" s="1797"/>
      <c r="D4" s="1798"/>
      <c r="E4" s="1798"/>
      <c r="F4" s="1798"/>
      <c r="G4" s="1798"/>
      <c r="H4" s="1799"/>
      <c r="I4" s="1799"/>
      <c r="J4" s="1798"/>
      <c r="K4" s="1798"/>
    </row>
    <row r="5" spans="1:11" ht="11.25" customHeight="1">
      <c r="A5" s="1618" t="s">
        <v>1515</v>
      </c>
      <c r="B5" s="1800"/>
      <c r="C5" s="1797"/>
      <c r="D5" s="1798"/>
      <c r="E5" s="1798"/>
      <c r="F5" s="1798"/>
      <c r="G5" s="1798"/>
      <c r="H5" s="1798"/>
      <c r="I5" s="1798"/>
      <c r="J5" s="1798"/>
      <c r="K5" s="1798"/>
    </row>
    <row r="6" spans="1:11" ht="11.25" customHeight="1">
      <c r="A6" s="1619" t="s">
        <v>1516</v>
      </c>
      <c r="B6" s="1801"/>
      <c r="C6" s="1797"/>
      <c r="D6" s="1798"/>
      <c r="E6" s="1798"/>
      <c r="F6" s="1798"/>
      <c r="G6" s="1798"/>
      <c r="H6" s="1798"/>
      <c r="I6" s="1798"/>
      <c r="J6" s="1798"/>
      <c r="K6" s="1798"/>
    </row>
    <row r="7" spans="1:11" ht="11.25" customHeight="1">
      <c r="A7" s="1802" t="s">
        <v>1184</v>
      </c>
      <c r="B7" s="1801"/>
      <c r="C7" s="1797"/>
      <c r="D7" s="1798"/>
      <c r="E7" s="1798"/>
      <c r="F7" s="1798"/>
      <c r="G7" s="1798"/>
      <c r="H7" s="1798"/>
      <c r="I7" s="1798"/>
      <c r="J7" s="1798"/>
      <c r="K7" s="1798"/>
    </row>
    <row r="8" spans="1:11" ht="11.25" customHeight="1">
      <c r="A8" s="1803"/>
      <c r="B8" s="1801"/>
      <c r="C8" s="1797"/>
      <c r="D8" s="1798"/>
      <c r="E8" s="1798"/>
      <c r="F8" s="1798"/>
      <c r="G8" s="1798"/>
      <c r="H8" s="1798"/>
      <c r="I8" s="1798"/>
      <c r="J8" s="1798"/>
      <c r="K8" s="1798"/>
    </row>
    <row r="9" spans="1:11" ht="11.25" customHeight="1">
      <c r="A9" s="1619" t="s">
        <v>1518</v>
      </c>
      <c r="B9" s="1804"/>
      <c r="C9" s="1805"/>
      <c r="D9" s="1806"/>
      <c r="E9" s="1806"/>
      <c r="F9" s="1806"/>
      <c r="G9" s="1806"/>
      <c r="H9" s="1806"/>
      <c r="I9" s="1806"/>
      <c r="J9" s="1806"/>
      <c r="K9" s="1806"/>
    </row>
    <row r="10" spans="1:11" ht="11.25" customHeight="1">
      <c r="A10" s="1802" t="s">
        <v>1184</v>
      </c>
      <c r="B10" s="1801"/>
      <c r="C10" s="1797"/>
      <c r="D10" s="1798"/>
      <c r="E10" s="1798"/>
      <c r="F10" s="1798"/>
      <c r="G10" s="1798"/>
      <c r="H10" s="1798"/>
      <c r="I10" s="1798"/>
      <c r="J10" s="1798"/>
      <c r="K10" s="1798"/>
    </row>
    <row r="11" spans="1:11" ht="11.25" customHeight="1">
      <c r="A11" s="1803"/>
      <c r="B11" s="1796"/>
      <c r="C11" s="1797"/>
      <c r="D11" s="1798"/>
      <c r="E11" s="1798"/>
      <c r="F11" s="1798"/>
      <c r="G11" s="1798"/>
      <c r="H11" s="1798"/>
      <c r="I11" s="1798"/>
      <c r="J11" s="1798"/>
      <c r="K11" s="1798"/>
    </row>
    <row r="12" spans="1:11" ht="11.25" customHeight="1">
      <c r="A12" s="1619" t="s">
        <v>1519</v>
      </c>
      <c r="B12" s="1804"/>
      <c r="C12" s="1805"/>
      <c r="D12" s="1806"/>
      <c r="E12" s="1806"/>
      <c r="F12" s="1806"/>
      <c r="G12" s="1806"/>
      <c r="H12" s="1806"/>
      <c r="I12" s="1806"/>
      <c r="J12" s="1806"/>
      <c r="K12" s="1806"/>
    </row>
    <row r="13" spans="1:11" ht="11.25" customHeight="1">
      <c r="A13" s="1802" t="s">
        <v>1184</v>
      </c>
      <c r="B13" s="1801"/>
      <c r="C13" s="1797"/>
      <c r="D13" s="1798"/>
      <c r="E13" s="1798"/>
      <c r="F13" s="1798"/>
      <c r="G13" s="1798"/>
      <c r="H13" s="1798"/>
      <c r="I13" s="1798"/>
      <c r="J13" s="1798"/>
      <c r="K13" s="1798"/>
    </row>
    <row r="14" spans="1:11" ht="11.25" customHeight="1">
      <c r="A14" s="1803"/>
      <c r="B14" s="1801"/>
      <c r="C14" s="1797"/>
      <c r="D14" s="1798"/>
      <c r="E14" s="1798"/>
      <c r="F14" s="1798"/>
      <c r="G14" s="1798"/>
      <c r="H14" s="1798"/>
      <c r="I14" s="1798"/>
      <c r="J14" s="1798"/>
      <c r="K14" s="1798"/>
    </row>
    <row r="15" spans="1:11" ht="11.25" customHeight="1">
      <c r="A15" s="1618" t="s">
        <v>1517</v>
      </c>
      <c r="B15" s="1804"/>
      <c r="C15" s="1805"/>
      <c r="D15" s="1806"/>
      <c r="E15" s="1806"/>
      <c r="F15" s="1806"/>
      <c r="G15" s="1806"/>
      <c r="H15" s="1806"/>
      <c r="I15" s="1806"/>
      <c r="J15" s="1806"/>
      <c r="K15" s="1806"/>
    </row>
    <row r="16" spans="1:11" ht="11.25" customHeight="1">
      <c r="A16" s="1619" t="s">
        <v>1516</v>
      </c>
      <c r="B16" s="1801"/>
      <c r="C16" s="1797"/>
      <c r="D16" s="1798"/>
      <c r="E16" s="1798"/>
      <c r="F16" s="1798"/>
      <c r="G16" s="1798"/>
      <c r="H16" s="1798"/>
      <c r="I16" s="1798"/>
      <c r="J16" s="1798"/>
      <c r="K16" s="1798"/>
    </row>
    <row r="17" spans="1:11" ht="11.25" customHeight="1">
      <c r="A17" s="1802" t="s">
        <v>1184</v>
      </c>
      <c r="B17" s="1801"/>
      <c r="C17" s="1797"/>
      <c r="D17" s="1798"/>
      <c r="E17" s="1798"/>
      <c r="F17" s="1798"/>
      <c r="G17" s="1798"/>
      <c r="H17" s="1798"/>
      <c r="I17" s="1798"/>
      <c r="J17" s="1798"/>
      <c r="K17" s="1798"/>
    </row>
    <row r="18" spans="1:11" ht="11.25" customHeight="1">
      <c r="A18" s="1803"/>
      <c r="B18" s="1801"/>
      <c r="C18" s="1797"/>
      <c r="D18" s="1798"/>
      <c r="E18" s="1798"/>
      <c r="F18" s="1798"/>
      <c r="G18" s="1798"/>
      <c r="H18" s="1798"/>
      <c r="I18" s="1798"/>
      <c r="J18" s="1798"/>
      <c r="K18" s="1798"/>
    </row>
    <row r="19" spans="1:11" ht="11.25" customHeight="1">
      <c r="A19" s="1619" t="s">
        <v>1518</v>
      </c>
      <c r="B19" s="1807"/>
      <c r="C19" s="1805"/>
      <c r="D19" s="1806"/>
      <c r="E19" s="1806"/>
      <c r="F19" s="1806"/>
      <c r="G19" s="1806"/>
      <c r="H19" s="1806"/>
      <c r="I19" s="1806"/>
      <c r="J19" s="1806"/>
      <c r="K19" s="1806"/>
    </row>
    <row r="20" spans="1:11" ht="11.25" customHeight="1">
      <c r="A20" s="1802" t="s">
        <v>1184</v>
      </c>
      <c r="B20" s="1801"/>
      <c r="C20" s="1797"/>
      <c r="D20" s="1798"/>
      <c r="E20" s="1798"/>
      <c r="F20" s="1798"/>
      <c r="G20" s="1798"/>
      <c r="H20" s="1798"/>
      <c r="I20" s="1798"/>
      <c r="J20" s="1798"/>
      <c r="K20" s="1798"/>
    </row>
    <row r="21" spans="1:11" ht="11.25" customHeight="1">
      <c r="A21" s="1803"/>
      <c r="B21" s="1801"/>
      <c r="C21" s="1797"/>
      <c r="D21" s="1798"/>
      <c r="E21" s="1798"/>
      <c r="F21" s="1798"/>
      <c r="G21" s="1798"/>
      <c r="H21" s="1798"/>
      <c r="I21" s="1798"/>
      <c r="J21" s="1798"/>
      <c r="K21" s="1798"/>
    </row>
    <row r="22" spans="1:11" ht="11.25" customHeight="1">
      <c r="A22" s="1619" t="s">
        <v>1519</v>
      </c>
      <c r="B22" s="1804"/>
      <c r="C22" s="1805"/>
      <c r="D22" s="1806"/>
      <c r="E22" s="1806"/>
      <c r="F22" s="1806"/>
      <c r="G22" s="1806"/>
      <c r="H22" s="1806"/>
      <c r="I22" s="1806"/>
      <c r="J22" s="1806"/>
      <c r="K22" s="1806"/>
    </row>
    <row r="23" spans="1:11" ht="11.25" customHeight="1">
      <c r="A23" s="1802" t="s">
        <v>1184</v>
      </c>
      <c r="B23" s="1801"/>
      <c r="C23" s="1797"/>
      <c r="D23" s="1798"/>
      <c r="E23" s="1798"/>
      <c r="F23" s="1798"/>
      <c r="G23" s="1798"/>
      <c r="H23" s="1798"/>
      <c r="I23" s="1798"/>
      <c r="J23" s="1798"/>
      <c r="K23" s="1798"/>
    </row>
    <row r="24" spans="1:11" ht="11.25" customHeight="1">
      <c r="A24" s="1808"/>
      <c r="B24" s="1809"/>
      <c r="C24" s="1810"/>
      <c r="D24" s="1811"/>
      <c r="E24" s="1811"/>
      <c r="F24" s="1811"/>
      <c r="G24" s="1811"/>
      <c r="H24" s="1811"/>
      <c r="I24" s="1811"/>
      <c r="J24" s="1811"/>
      <c r="K24" s="1811"/>
    </row>
    <row r="25" spans="1:11" ht="11.25" customHeight="1">
      <c r="A25" s="1611" t="s">
        <v>1520</v>
      </c>
      <c r="B25" s="1801"/>
      <c r="C25" s="1797"/>
      <c r="D25" s="1798"/>
      <c r="E25" s="1798"/>
      <c r="F25" s="1798"/>
      <c r="G25" s="1798"/>
      <c r="H25" s="1798"/>
      <c r="I25" s="1798"/>
      <c r="J25" s="1798"/>
      <c r="K25" s="1798"/>
    </row>
    <row r="26" spans="1:11" ht="11.25" customHeight="1">
      <c r="A26" s="1618" t="s">
        <v>1515</v>
      </c>
      <c r="B26" s="1801"/>
      <c r="C26" s="1797"/>
      <c r="D26" s="1798"/>
      <c r="E26" s="1798"/>
      <c r="F26" s="1798"/>
      <c r="G26" s="1798"/>
      <c r="H26" s="1798"/>
      <c r="I26" s="1798"/>
      <c r="J26" s="1798"/>
      <c r="K26" s="1798"/>
    </row>
    <row r="27" spans="1:11" ht="11.25" customHeight="1">
      <c r="A27" s="1619" t="s">
        <v>1516</v>
      </c>
      <c r="B27" s="1796"/>
      <c r="C27" s="1797"/>
      <c r="D27" s="1798"/>
      <c r="E27" s="1798"/>
      <c r="F27" s="1798"/>
      <c r="G27" s="1798"/>
      <c r="H27" s="1798"/>
      <c r="I27" s="1798"/>
      <c r="J27" s="1798"/>
      <c r="K27" s="1798"/>
    </row>
    <row r="28" spans="1:11" ht="11.25" customHeight="1">
      <c r="A28" s="1802" t="s">
        <v>1184</v>
      </c>
      <c r="B28" s="1801"/>
      <c r="C28" s="1797"/>
      <c r="D28" s="1798"/>
      <c r="E28" s="1798"/>
      <c r="F28" s="1798"/>
      <c r="G28" s="1798"/>
      <c r="H28" s="1798"/>
      <c r="I28" s="1798"/>
      <c r="J28" s="1798"/>
      <c r="K28" s="1798"/>
    </row>
    <row r="29" spans="1:11" ht="11.25" customHeight="1">
      <c r="A29" s="1803"/>
      <c r="B29" s="1801"/>
      <c r="C29" s="1797"/>
      <c r="D29" s="1798"/>
      <c r="E29" s="1798"/>
      <c r="F29" s="1798"/>
      <c r="G29" s="1798"/>
      <c r="H29" s="1798"/>
      <c r="I29" s="1798"/>
      <c r="J29" s="1798"/>
      <c r="K29" s="1798"/>
    </row>
    <row r="30" spans="1:11" ht="11.25" customHeight="1">
      <c r="A30" s="1619" t="s">
        <v>1518</v>
      </c>
      <c r="B30" s="1804"/>
      <c r="C30" s="1805"/>
      <c r="D30" s="1806"/>
      <c r="E30" s="1806"/>
      <c r="F30" s="1806"/>
      <c r="G30" s="1806"/>
      <c r="H30" s="1806"/>
      <c r="I30" s="1806"/>
      <c r="J30" s="1806"/>
      <c r="K30" s="1806"/>
    </row>
    <row r="31" spans="1:11" ht="11.25" customHeight="1">
      <c r="A31" s="1802" t="s">
        <v>1184</v>
      </c>
      <c r="B31" s="1801"/>
      <c r="C31" s="1797"/>
      <c r="D31" s="1798"/>
      <c r="E31" s="1798"/>
      <c r="F31" s="1798"/>
      <c r="G31" s="1798"/>
      <c r="H31" s="1798"/>
      <c r="I31" s="1798"/>
      <c r="J31" s="1798"/>
      <c r="K31" s="1798"/>
    </row>
    <row r="32" spans="1:11" ht="11.25" customHeight="1">
      <c r="A32" s="1803"/>
      <c r="B32" s="1801"/>
      <c r="C32" s="1797"/>
      <c r="D32" s="1798"/>
      <c r="E32" s="1798"/>
      <c r="F32" s="1798"/>
      <c r="G32" s="1798"/>
      <c r="H32" s="1798"/>
      <c r="I32" s="1798"/>
      <c r="J32" s="1798"/>
      <c r="K32" s="1798"/>
    </row>
    <row r="33" spans="1:11" ht="11.25" customHeight="1">
      <c r="A33" s="1619" t="s">
        <v>1519</v>
      </c>
      <c r="B33" s="1804"/>
      <c r="C33" s="1805"/>
      <c r="D33" s="1806"/>
      <c r="E33" s="1806"/>
      <c r="F33" s="1806"/>
      <c r="G33" s="1806"/>
      <c r="H33" s="1806"/>
      <c r="I33" s="1806"/>
      <c r="J33" s="1806"/>
      <c r="K33" s="1806"/>
    </row>
    <row r="34" spans="1:11" ht="11.25" customHeight="1">
      <c r="A34" s="1802" t="s">
        <v>1184</v>
      </c>
      <c r="B34" s="1801"/>
      <c r="C34" s="1797"/>
      <c r="D34" s="1798"/>
      <c r="E34" s="1798"/>
      <c r="F34" s="1798"/>
      <c r="G34" s="1798"/>
      <c r="H34" s="1798"/>
      <c r="I34" s="1798"/>
      <c r="J34" s="1798"/>
      <c r="K34" s="1798"/>
    </row>
    <row r="35" spans="1:11" ht="11.25" customHeight="1">
      <c r="A35" s="1803"/>
      <c r="B35" s="1796"/>
      <c r="C35" s="1797"/>
      <c r="D35" s="1798"/>
      <c r="E35" s="1798"/>
      <c r="F35" s="1798"/>
      <c r="G35" s="1798"/>
      <c r="H35" s="1798"/>
      <c r="I35" s="1798"/>
      <c r="J35" s="1798"/>
      <c r="K35" s="1798"/>
    </row>
    <row r="36" spans="1:11" ht="11.25" customHeight="1">
      <c r="A36" s="1618" t="s">
        <v>1517</v>
      </c>
      <c r="B36" s="1804"/>
      <c r="C36" s="1805"/>
      <c r="D36" s="1806"/>
      <c r="E36" s="1806"/>
      <c r="F36" s="1806"/>
      <c r="G36" s="1806"/>
      <c r="H36" s="1806"/>
      <c r="I36" s="1806"/>
      <c r="J36" s="1806"/>
      <c r="K36" s="1806"/>
    </row>
    <row r="37" spans="1:11" ht="11.25" customHeight="1">
      <c r="A37" s="1619" t="s">
        <v>1516</v>
      </c>
      <c r="B37" s="1801"/>
      <c r="C37" s="1797"/>
      <c r="D37" s="1798"/>
      <c r="E37" s="1798"/>
      <c r="F37" s="1798"/>
      <c r="G37" s="1798"/>
      <c r="H37" s="1798"/>
      <c r="I37" s="1798"/>
      <c r="J37" s="1798"/>
      <c r="K37" s="1798"/>
    </row>
    <row r="38" spans="1:11" ht="11.25" customHeight="1">
      <c r="A38" s="1802" t="s">
        <v>1184</v>
      </c>
      <c r="B38" s="1801"/>
      <c r="C38" s="1797"/>
      <c r="D38" s="1798"/>
      <c r="E38" s="1798"/>
      <c r="F38" s="1798"/>
      <c r="G38" s="1798"/>
      <c r="H38" s="1798"/>
      <c r="I38" s="1798"/>
      <c r="J38" s="1798"/>
      <c r="K38" s="1798"/>
    </row>
    <row r="39" spans="1:11" ht="11.25" customHeight="1">
      <c r="A39" s="1803"/>
      <c r="B39" s="1801"/>
      <c r="C39" s="1797"/>
      <c r="D39" s="1798"/>
      <c r="E39" s="1798"/>
      <c r="F39" s="1798"/>
      <c r="G39" s="1798"/>
      <c r="H39" s="1798"/>
      <c r="I39" s="1798"/>
      <c r="J39" s="1798"/>
      <c r="K39" s="1798"/>
    </row>
    <row r="40" spans="1:11" ht="11.25" customHeight="1">
      <c r="A40" s="1619" t="s">
        <v>1518</v>
      </c>
      <c r="B40" s="1804"/>
      <c r="C40" s="1805"/>
      <c r="D40" s="1806"/>
      <c r="E40" s="1806"/>
      <c r="F40" s="1806"/>
      <c r="G40" s="1806"/>
      <c r="H40" s="1806"/>
      <c r="I40" s="1806"/>
      <c r="J40" s="1806"/>
      <c r="K40" s="1806"/>
    </row>
    <row r="41" spans="1:11" ht="11.25" customHeight="1">
      <c r="A41" s="1802" t="s">
        <v>1184</v>
      </c>
      <c r="B41" s="1801"/>
      <c r="C41" s="1797"/>
      <c r="D41" s="1798"/>
      <c r="E41" s="1798"/>
      <c r="F41" s="1798"/>
      <c r="G41" s="1798"/>
      <c r="H41" s="1798"/>
      <c r="I41" s="1798"/>
      <c r="J41" s="1798"/>
      <c r="K41" s="1798"/>
    </row>
    <row r="42" spans="1:11" ht="11.25" customHeight="1">
      <c r="A42" s="1803"/>
      <c r="B42" s="1801"/>
      <c r="C42" s="1797"/>
      <c r="D42" s="1798"/>
      <c r="E42" s="1798"/>
      <c r="F42" s="1798"/>
      <c r="G42" s="1798"/>
      <c r="H42" s="1798"/>
      <c r="I42" s="1798"/>
      <c r="J42" s="1798"/>
      <c r="K42" s="1798"/>
    </row>
    <row r="43" spans="1:11" ht="11.25" customHeight="1">
      <c r="A43" s="1619" t="s">
        <v>1519</v>
      </c>
      <c r="B43" s="1807"/>
      <c r="C43" s="1805"/>
      <c r="D43" s="1806"/>
      <c r="E43" s="1806"/>
      <c r="F43" s="1806"/>
      <c r="G43" s="1806"/>
      <c r="H43" s="1806"/>
      <c r="I43" s="1806"/>
      <c r="J43" s="1806"/>
      <c r="K43" s="1806"/>
    </row>
    <row r="44" spans="1:11" ht="11.25" customHeight="1">
      <c r="A44" s="1802" t="s">
        <v>1184</v>
      </c>
      <c r="B44" s="1801"/>
      <c r="C44" s="1797"/>
      <c r="D44" s="1798"/>
      <c r="E44" s="1798"/>
      <c r="F44" s="1798"/>
      <c r="G44" s="1798"/>
      <c r="H44" s="1798"/>
      <c r="I44" s="1798"/>
      <c r="J44" s="1798"/>
      <c r="K44" s="1798"/>
    </row>
    <row r="45" spans="1:11" ht="11.25" customHeight="1">
      <c r="A45" s="1802"/>
      <c r="B45" s="1809"/>
      <c r="C45" s="1810"/>
      <c r="D45" s="1811"/>
      <c r="E45" s="1811"/>
      <c r="F45" s="1811"/>
      <c r="G45" s="1811"/>
      <c r="H45" s="1811"/>
      <c r="I45" s="1811"/>
      <c r="J45" s="1811"/>
      <c r="K45" s="1811"/>
    </row>
    <row r="46" spans="1:11" ht="11.25" customHeight="1">
      <c r="A46" s="1611" t="s">
        <v>1521</v>
      </c>
      <c r="B46" s="1801"/>
      <c r="C46" s="1797"/>
      <c r="D46" s="1798"/>
      <c r="E46" s="1798"/>
      <c r="F46" s="1798"/>
      <c r="G46" s="1798"/>
      <c r="H46" s="1798"/>
      <c r="I46" s="1798"/>
      <c r="J46" s="1798"/>
      <c r="K46" s="1798"/>
    </row>
    <row r="47" spans="1:11" ht="11.25" customHeight="1">
      <c r="A47" s="1618" t="s">
        <v>1515</v>
      </c>
      <c r="B47" s="1801"/>
      <c r="C47" s="1797"/>
      <c r="D47" s="1798"/>
      <c r="E47" s="1798"/>
      <c r="F47" s="1798"/>
      <c r="G47" s="1798"/>
      <c r="H47" s="1798"/>
      <c r="I47" s="1798"/>
      <c r="J47" s="1798"/>
      <c r="K47" s="1798"/>
    </row>
    <row r="48" spans="1:11" ht="11.25" customHeight="1">
      <c r="A48" s="1619" t="s">
        <v>1516</v>
      </c>
      <c r="B48" s="1801"/>
      <c r="C48" s="1797"/>
      <c r="D48" s="1798"/>
      <c r="E48" s="1798"/>
      <c r="F48" s="1798"/>
      <c r="G48" s="1798"/>
      <c r="H48" s="1798"/>
      <c r="I48" s="1798"/>
      <c r="J48" s="1798"/>
      <c r="K48" s="1798"/>
    </row>
    <row r="49" spans="1:11" ht="11.25" customHeight="1">
      <c r="A49" s="1802" t="s">
        <v>1184</v>
      </c>
      <c r="B49" s="1801"/>
      <c r="C49" s="1797"/>
      <c r="D49" s="1798"/>
      <c r="E49" s="1798"/>
      <c r="F49" s="1798"/>
      <c r="G49" s="1798"/>
      <c r="H49" s="1798"/>
      <c r="I49" s="1798"/>
      <c r="J49" s="1798"/>
      <c r="K49" s="1798"/>
    </row>
    <row r="50" spans="1:11" ht="11.25" customHeight="1">
      <c r="A50" s="1803"/>
      <c r="B50" s="1801"/>
      <c r="C50" s="1797"/>
      <c r="D50" s="1798"/>
      <c r="E50" s="1798"/>
      <c r="F50" s="1798"/>
      <c r="G50" s="1798"/>
      <c r="H50" s="1798"/>
      <c r="I50" s="1798"/>
      <c r="J50" s="1798"/>
      <c r="K50" s="1798"/>
    </row>
    <row r="51" spans="1:11" ht="11.25" customHeight="1">
      <c r="A51" s="1619" t="s">
        <v>1518</v>
      </c>
      <c r="B51" s="1804"/>
      <c r="C51" s="1805"/>
      <c r="D51" s="1806"/>
      <c r="E51" s="1806"/>
      <c r="F51" s="1806"/>
      <c r="G51" s="1806"/>
      <c r="H51" s="1806"/>
      <c r="I51" s="1806"/>
      <c r="J51" s="1806"/>
      <c r="K51" s="1806"/>
    </row>
    <row r="52" spans="1:11" ht="11.25" customHeight="1">
      <c r="A52" s="1802" t="s">
        <v>1184</v>
      </c>
      <c r="B52" s="1801"/>
      <c r="C52" s="1797"/>
      <c r="D52" s="1798"/>
      <c r="E52" s="1798"/>
      <c r="F52" s="1798"/>
      <c r="G52" s="1798"/>
      <c r="H52" s="1798"/>
      <c r="I52" s="1798"/>
      <c r="J52" s="1798"/>
      <c r="K52" s="1798"/>
    </row>
    <row r="53" spans="1:11" ht="11.25" customHeight="1">
      <c r="A53" s="1803"/>
      <c r="B53" s="1801"/>
      <c r="C53" s="1797"/>
      <c r="D53" s="1798"/>
      <c r="E53" s="1798"/>
      <c r="F53" s="1798"/>
      <c r="G53" s="1798"/>
      <c r="H53" s="1798"/>
      <c r="I53" s="1798"/>
      <c r="J53" s="1798"/>
      <c r="K53" s="1798"/>
    </row>
    <row r="54" spans="1:11" ht="11.25" customHeight="1">
      <c r="A54" s="1619" t="s">
        <v>1519</v>
      </c>
      <c r="B54" s="1804"/>
      <c r="C54" s="1805"/>
      <c r="D54" s="1806"/>
      <c r="E54" s="1806"/>
      <c r="F54" s="1806"/>
      <c r="G54" s="1806"/>
      <c r="H54" s="1806"/>
      <c r="I54" s="1806"/>
      <c r="J54" s="1806"/>
      <c r="K54" s="1806"/>
    </row>
    <row r="55" spans="1:11" ht="11.25" customHeight="1">
      <c r="A55" s="1802" t="s">
        <v>1184</v>
      </c>
      <c r="B55" s="1801"/>
      <c r="C55" s="1797"/>
      <c r="D55" s="1798"/>
      <c r="E55" s="1798"/>
      <c r="F55" s="1798"/>
      <c r="G55" s="1798"/>
      <c r="H55" s="1798"/>
      <c r="I55" s="1798"/>
      <c r="J55" s="1798"/>
      <c r="K55" s="1798"/>
    </row>
    <row r="56" spans="1:11" ht="11.25" customHeight="1">
      <c r="A56" s="1803"/>
      <c r="B56" s="1801"/>
      <c r="C56" s="1797"/>
      <c r="D56" s="1798"/>
      <c r="E56" s="1798"/>
      <c r="F56" s="1798"/>
      <c r="G56" s="1798"/>
      <c r="H56" s="1798"/>
      <c r="I56" s="1798"/>
      <c r="J56" s="1798"/>
      <c r="K56" s="1798"/>
    </row>
    <row r="57" spans="1:11" ht="11.25" customHeight="1">
      <c r="A57" s="1618" t="s">
        <v>1517</v>
      </c>
      <c r="B57" s="1804"/>
      <c r="C57" s="1805"/>
      <c r="D57" s="1806"/>
      <c r="E57" s="1806"/>
      <c r="F57" s="1806"/>
      <c r="G57" s="1806"/>
      <c r="H57" s="1806"/>
      <c r="I57" s="1806"/>
      <c r="J57" s="1806"/>
      <c r="K57" s="1806"/>
    </row>
    <row r="58" spans="1:11" ht="11.25" customHeight="1">
      <c r="A58" s="1619" t="s">
        <v>1516</v>
      </c>
      <c r="B58" s="1801"/>
      <c r="C58" s="1797"/>
      <c r="D58" s="1798"/>
      <c r="E58" s="1798"/>
      <c r="F58" s="1798"/>
      <c r="G58" s="1798"/>
      <c r="H58" s="1798"/>
      <c r="I58" s="1798"/>
      <c r="J58" s="1798"/>
      <c r="K58" s="1798"/>
    </row>
    <row r="59" spans="1:11" ht="11.25" customHeight="1">
      <c r="A59" s="1802" t="s">
        <v>1184</v>
      </c>
      <c r="B59" s="1801"/>
      <c r="C59" s="1797"/>
      <c r="D59" s="1798"/>
      <c r="E59" s="1798"/>
      <c r="F59" s="1798"/>
      <c r="G59" s="1798"/>
      <c r="H59" s="1798"/>
      <c r="I59" s="1798"/>
      <c r="J59" s="1798"/>
      <c r="K59" s="1798"/>
    </row>
    <row r="60" spans="1:11" ht="11.25" customHeight="1">
      <c r="A60" s="1803"/>
      <c r="B60" s="1801"/>
      <c r="C60" s="1797"/>
      <c r="D60" s="1798"/>
      <c r="E60" s="1798"/>
      <c r="F60" s="1798"/>
      <c r="G60" s="1798"/>
      <c r="H60" s="1798"/>
      <c r="I60" s="1798"/>
      <c r="J60" s="1798"/>
      <c r="K60" s="1798"/>
    </row>
    <row r="61" spans="1:11" ht="11.25" customHeight="1">
      <c r="A61" s="1619" t="s">
        <v>1518</v>
      </c>
      <c r="B61" s="1804"/>
      <c r="C61" s="1805"/>
      <c r="D61" s="1806"/>
      <c r="E61" s="1806"/>
      <c r="F61" s="1806"/>
      <c r="G61" s="1806"/>
      <c r="H61" s="1806"/>
      <c r="I61" s="1806"/>
      <c r="J61" s="1806"/>
      <c r="K61" s="1806"/>
    </row>
    <row r="62" spans="1:11" ht="11.25" customHeight="1">
      <c r="A62" s="1802" t="s">
        <v>1184</v>
      </c>
      <c r="B62" s="1801"/>
      <c r="C62" s="1797"/>
      <c r="D62" s="1798"/>
      <c r="E62" s="1798"/>
      <c r="F62" s="1798"/>
      <c r="G62" s="1798"/>
      <c r="H62" s="1798"/>
      <c r="I62" s="1798"/>
      <c r="J62" s="1798"/>
      <c r="K62" s="1798"/>
    </row>
    <row r="63" spans="1:11" ht="11.25" customHeight="1">
      <c r="A63" s="1803"/>
      <c r="B63" s="1801"/>
      <c r="C63" s="1797"/>
      <c r="D63" s="1798"/>
      <c r="E63" s="1798"/>
      <c r="F63" s="1798"/>
      <c r="G63" s="1798"/>
      <c r="H63" s="1798"/>
      <c r="I63" s="1798"/>
      <c r="J63" s="1798"/>
      <c r="K63" s="1798"/>
    </row>
    <row r="64" spans="1:11" ht="11.25" customHeight="1">
      <c r="A64" s="1619" t="s">
        <v>1519</v>
      </c>
      <c r="B64" s="1804"/>
      <c r="C64" s="1805"/>
      <c r="D64" s="1806"/>
      <c r="E64" s="1806"/>
      <c r="F64" s="1806"/>
      <c r="G64" s="1806"/>
      <c r="H64" s="1806"/>
      <c r="I64" s="1806"/>
      <c r="J64" s="1806"/>
      <c r="K64" s="1806"/>
    </row>
    <row r="65" spans="1:11" ht="11.25" customHeight="1">
      <c r="A65" s="1802" t="s">
        <v>1184</v>
      </c>
      <c r="B65" s="1801"/>
      <c r="C65" s="1797"/>
      <c r="D65" s="1798"/>
      <c r="E65" s="1798"/>
      <c r="F65" s="1798"/>
      <c r="G65" s="1798"/>
      <c r="H65" s="1798"/>
      <c r="I65" s="1798"/>
      <c r="J65" s="1798"/>
      <c r="K65" s="1798"/>
    </row>
    <row r="66" spans="1:11" ht="11.25" customHeight="1">
      <c r="A66" s="1802"/>
      <c r="B66" s="1801"/>
      <c r="C66" s="1797"/>
      <c r="D66" s="1798"/>
      <c r="E66" s="1798"/>
      <c r="F66" s="1798"/>
      <c r="G66" s="1798"/>
      <c r="H66" s="1798"/>
      <c r="I66" s="1798"/>
      <c r="J66" s="1798"/>
      <c r="K66" s="1798"/>
    </row>
    <row r="67" spans="1:11" ht="11.25" customHeight="1">
      <c r="A67" s="1812" t="s">
        <v>1522</v>
      </c>
      <c r="B67" s="1809"/>
      <c r="C67" s="1810"/>
      <c r="D67" s="1811"/>
      <c r="E67" s="1811"/>
      <c r="F67" s="1811"/>
      <c r="G67" s="1811"/>
      <c r="H67" s="1811"/>
      <c r="I67" s="1811"/>
      <c r="J67" s="1811"/>
      <c r="K67" s="1811"/>
    </row>
    <row r="68" spans="1:11" ht="11.25" customHeight="1">
      <c r="A68" s="2452" t="s">
        <v>178</v>
      </c>
      <c r="B68" s="2452"/>
      <c r="C68" s="2452"/>
      <c r="D68" s="2452"/>
      <c r="E68" s="2452"/>
      <c r="F68" s="2452"/>
      <c r="G68" s="2452"/>
      <c r="H68" s="2452"/>
      <c r="I68" s="2452"/>
      <c r="J68" s="2452"/>
      <c r="K68" s="2452"/>
    </row>
    <row r="69" spans="1:11" ht="11.25" customHeight="1">
      <c r="A69" s="465" t="s">
        <v>1513</v>
      </c>
      <c r="B69" s="144"/>
      <c r="C69" s="466"/>
      <c r="D69" s="466"/>
      <c r="E69" s="466"/>
      <c r="F69" s="467"/>
      <c r="G69" s="467"/>
      <c r="H69" s="467"/>
      <c r="I69" s="467"/>
      <c r="J69" s="467"/>
      <c r="K69" s="467"/>
    </row>
    <row r="70" spans="1:11" ht="11.25" customHeight="1">
      <c r="A70" s="465" t="s">
        <v>1482</v>
      </c>
      <c r="B70" s="144"/>
      <c r="C70" s="466"/>
      <c r="D70" s="466"/>
      <c r="E70" s="466"/>
      <c r="F70" s="467"/>
      <c r="G70" s="467"/>
      <c r="H70" s="467"/>
      <c r="I70" s="467"/>
      <c r="J70" s="467"/>
      <c r="K70" s="467"/>
    </row>
    <row r="71" spans="1:11" ht="12.75">
      <c r="B71" s="468"/>
    </row>
    <row r="72" spans="1:11" ht="12.75" customHeight="1">
      <c r="A72" s="148" t="str">
        <f>muni&amp;" - "&amp;"Entities measureable performance objectives"</f>
        <v>KZN225 Msunduzi - Entities measureable performance objectives</v>
      </c>
      <c r="B72" s="148"/>
      <c r="C72" s="148"/>
      <c r="D72" s="148"/>
      <c r="E72" s="148"/>
      <c r="F72" s="148"/>
      <c r="G72" s="148"/>
      <c r="H72" s="148"/>
      <c r="I72" s="148"/>
      <c r="J72" s="148"/>
      <c r="K72" s="148"/>
    </row>
    <row r="73" spans="1:11" ht="28.5" customHeight="1">
      <c r="A73" s="2450" t="str">
        <f>A2</f>
        <v>Description</v>
      </c>
      <c r="B73" s="2448" t="s">
        <v>443</v>
      </c>
      <c r="C73" s="146" t="str">
        <f>head1b</f>
        <v>2007/8</v>
      </c>
      <c r="D73" s="151" t="str">
        <f>head1A</f>
        <v>2008/9</v>
      </c>
      <c r="E73" s="147" t="str">
        <f>Head1</f>
        <v>2009/10</v>
      </c>
      <c r="F73" s="2415" t="str">
        <f>Head2</f>
        <v>Current Year 2010/11</v>
      </c>
      <c r="G73" s="2416"/>
      <c r="H73" s="2420"/>
      <c r="I73" s="2412" t="str">
        <f>Head3</f>
        <v>2011/12 Medium Term Revenue &amp; Expenditure Framework</v>
      </c>
      <c r="J73" s="2413"/>
      <c r="K73" s="2414"/>
    </row>
    <row r="74" spans="1:11" ht="25.5">
      <c r="A74" s="2451"/>
      <c r="B74" s="2449"/>
      <c r="C74" s="392" t="str">
        <f>Head5</f>
        <v>Audited Outcome</v>
      </c>
      <c r="D74" s="393" t="str">
        <f>Head5</f>
        <v>Audited Outcome</v>
      </c>
      <c r="E74" s="394" t="str">
        <f>Head5</f>
        <v>Audited Outcome</v>
      </c>
      <c r="F74" s="300" t="str">
        <f>Head6</f>
        <v>Original Budget</v>
      </c>
      <c r="G74" s="393" t="str">
        <f>Head7</f>
        <v>Adjusted Budget</v>
      </c>
      <c r="H74" s="394" t="str">
        <f>Head8</f>
        <v>Full Year Forecast</v>
      </c>
      <c r="I74" s="300" t="str">
        <f>Head9</f>
        <v>Budget Year 2011/12</v>
      </c>
      <c r="J74" s="393" t="str">
        <f>Head10</f>
        <v>Budget Year +1 2012/13</v>
      </c>
      <c r="K74" s="394" t="str">
        <f>Head11</f>
        <v>Budget Year +2 2013/14</v>
      </c>
    </row>
    <row r="75" spans="1:11" ht="11.25" customHeight="1">
      <c r="A75" s="1617" t="s">
        <v>1523</v>
      </c>
      <c r="B75" s="1796"/>
      <c r="C75" s="1813"/>
      <c r="D75" s="1814"/>
      <c r="E75" s="1815"/>
      <c r="F75" s="1816"/>
      <c r="G75" s="1814"/>
      <c r="H75" s="1817"/>
      <c r="I75" s="1818"/>
      <c r="J75" s="1814"/>
      <c r="K75" s="1815"/>
    </row>
    <row r="76" spans="1:11" ht="11.25" customHeight="1">
      <c r="A76" s="1819" t="s">
        <v>1184</v>
      </c>
      <c r="B76" s="1801"/>
      <c r="C76" s="1813"/>
      <c r="D76" s="1814"/>
      <c r="E76" s="1815"/>
      <c r="F76" s="1816"/>
      <c r="G76" s="1814"/>
      <c r="H76" s="1817"/>
      <c r="I76" s="1820"/>
      <c r="J76" s="1814"/>
      <c r="K76" s="1815"/>
    </row>
    <row r="77" spans="1:11" ht="11.25" customHeight="1">
      <c r="A77" s="1819"/>
      <c r="B77" s="1801"/>
      <c r="C77" s="1813"/>
      <c r="D77" s="1814"/>
      <c r="E77" s="1815"/>
      <c r="F77" s="1816"/>
      <c r="G77" s="1814"/>
      <c r="H77" s="1817"/>
      <c r="I77" s="1820"/>
      <c r="J77" s="1814"/>
      <c r="K77" s="1815"/>
    </row>
    <row r="78" spans="1:11" ht="11.25" customHeight="1">
      <c r="A78" s="1821"/>
      <c r="B78" s="1801"/>
      <c r="C78" s="1813"/>
      <c r="D78" s="1814"/>
      <c r="E78" s="1815"/>
      <c r="F78" s="1816"/>
      <c r="G78" s="1814"/>
      <c r="H78" s="1817"/>
      <c r="I78" s="1820"/>
      <c r="J78" s="1814"/>
      <c r="K78" s="1815"/>
    </row>
    <row r="79" spans="1:11" ht="11.25" customHeight="1">
      <c r="A79" s="1617" t="s">
        <v>1524</v>
      </c>
      <c r="B79" s="1822"/>
      <c r="C79" s="1823"/>
      <c r="D79" s="1824"/>
      <c r="E79" s="1825"/>
      <c r="F79" s="1826"/>
      <c r="G79" s="1824"/>
      <c r="H79" s="1827"/>
      <c r="I79" s="1818"/>
      <c r="J79" s="1824"/>
      <c r="K79" s="1825"/>
    </row>
    <row r="80" spans="1:11" ht="11.25" customHeight="1">
      <c r="A80" s="1819" t="str">
        <f>$A$10</f>
        <v>Insert measure/s description</v>
      </c>
      <c r="B80" s="1801"/>
      <c r="C80" s="1813"/>
      <c r="D80" s="1814"/>
      <c r="E80" s="1815"/>
      <c r="F80" s="1816"/>
      <c r="G80" s="1814"/>
      <c r="H80" s="1817"/>
      <c r="I80" s="1820"/>
      <c r="J80" s="1814"/>
      <c r="K80" s="1815"/>
    </row>
    <row r="81" spans="1:11" ht="11.25" customHeight="1">
      <c r="A81" s="1819"/>
      <c r="B81" s="1801"/>
      <c r="C81" s="1813"/>
      <c r="D81" s="1814"/>
      <c r="E81" s="1815"/>
      <c r="F81" s="1816"/>
      <c r="G81" s="1814"/>
      <c r="H81" s="1817"/>
      <c r="I81" s="1820"/>
      <c r="J81" s="1814"/>
      <c r="K81" s="1815"/>
    </row>
    <row r="82" spans="1:11" ht="11.25" customHeight="1">
      <c r="A82" s="1819"/>
      <c r="B82" s="1828"/>
      <c r="C82" s="1829"/>
      <c r="D82" s="1830"/>
      <c r="E82" s="1831"/>
      <c r="F82" s="1832"/>
      <c r="G82" s="1830"/>
      <c r="H82" s="1833"/>
      <c r="I82" s="1834"/>
      <c r="J82" s="1830"/>
      <c r="K82" s="1831"/>
    </row>
    <row r="83" spans="1:11" ht="11.25" customHeight="1">
      <c r="A83" s="1617" t="s">
        <v>1525</v>
      </c>
      <c r="B83" s="1835"/>
      <c r="C83" s="1836"/>
      <c r="D83" s="1837"/>
      <c r="E83" s="1838"/>
      <c r="F83" s="1839"/>
      <c r="G83" s="1837"/>
      <c r="H83" s="1840"/>
      <c r="I83" s="1841"/>
      <c r="J83" s="1837"/>
      <c r="K83" s="1838"/>
    </row>
    <row r="84" spans="1:11" ht="11.25" customHeight="1">
      <c r="A84" s="1819" t="str">
        <f>$A$10</f>
        <v>Insert measure/s description</v>
      </c>
      <c r="B84" s="1801"/>
      <c r="C84" s="1842"/>
      <c r="D84" s="1843"/>
      <c r="E84" s="1844"/>
      <c r="F84" s="1845"/>
      <c r="G84" s="1843"/>
      <c r="H84" s="1846"/>
      <c r="I84" s="1847"/>
      <c r="J84" s="1843"/>
      <c r="K84" s="1844"/>
    </row>
    <row r="85" spans="1:11" ht="11.25" customHeight="1">
      <c r="A85" s="1819"/>
      <c r="B85" s="1828"/>
      <c r="C85" s="1829"/>
      <c r="D85" s="1830"/>
      <c r="E85" s="1831"/>
      <c r="F85" s="1832"/>
      <c r="G85" s="1830"/>
      <c r="H85" s="1833"/>
      <c r="I85" s="1834"/>
      <c r="J85" s="1830"/>
      <c r="K85" s="1831"/>
    </row>
    <row r="86" spans="1:11" ht="11.25" customHeight="1">
      <c r="A86" s="1819"/>
      <c r="B86" s="1828"/>
      <c r="C86" s="1829"/>
      <c r="D86" s="1830"/>
      <c r="E86" s="1831"/>
      <c r="F86" s="1832"/>
      <c r="G86" s="1830"/>
      <c r="H86" s="1833"/>
      <c r="I86" s="1834"/>
      <c r="J86" s="1830"/>
      <c r="K86" s="1831"/>
    </row>
    <row r="87" spans="1:11" ht="11.25" customHeight="1">
      <c r="A87" s="1812" t="s">
        <v>1526</v>
      </c>
      <c r="B87" s="1848"/>
      <c r="C87" s="1849"/>
      <c r="D87" s="1850"/>
      <c r="E87" s="1851"/>
      <c r="F87" s="1852"/>
      <c r="G87" s="1850"/>
      <c r="H87" s="1853"/>
      <c r="I87" s="1854"/>
      <c r="J87" s="1850"/>
      <c r="K87" s="1851"/>
    </row>
    <row r="88" spans="1:11" ht="11.25" customHeight="1">
      <c r="A88" s="2452" t="s">
        <v>179</v>
      </c>
      <c r="B88" s="2452"/>
      <c r="C88" s="2452"/>
      <c r="D88" s="2452"/>
      <c r="E88" s="2452"/>
      <c r="F88" s="2452"/>
      <c r="G88" s="2452"/>
      <c r="H88" s="2452"/>
      <c r="I88" s="2452"/>
      <c r="J88" s="2452"/>
      <c r="K88" s="2452"/>
    </row>
    <row r="89" spans="1:11" ht="11.25" customHeight="1">
      <c r="A89" s="465" t="s">
        <v>1483</v>
      </c>
      <c r="B89" s="144"/>
      <c r="C89" s="466"/>
      <c r="D89" s="466"/>
      <c r="E89" s="466"/>
      <c r="F89" s="467"/>
      <c r="G89" s="467"/>
      <c r="H89" s="467"/>
      <c r="I89" s="467"/>
      <c r="J89" s="467"/>
      <c r="K89" s="467"/>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3"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4"/>
  <sheetViews>
    <sheetView showGridLines="0" workbookViewId="0">
      <pane xSplit="2" ySplit="3" topLeftCell="C19" activePane="bottomRight" state="frozen"/>
      <selection activeCell="O37" sqref="A1:IV65536"/>
      <selection pane="topRight" activeCell="O37" sqref="A1:IV65536"/>
      <selection pane="bottomLeft" activeCell="O37" sqref="A1:IV65536"/>
      <selection pane="bottomRight" activeCell="I26" sqref="I26"/>
    </sheetView>
  </sheetViews>
  <sheetFormatPr defaultRowHeight="12.75"/>
  <cols>
    <col min="1" max="1" width="29.28515625" style="150" customWidth="1"/>
    <col min="2" max="2" width="25.140625" style="150" customWidth="1"/>
    <col min="3" max="12" width="8.7109375" style="150" customWidth="1"/>
    <col min="13" max="16384" width="9.140625" style="150"/>
  </cols>
  <sheetData>
    <row r="1" spans="1:12" s="180" customFormat="1">
      <c r="A1" s="148" t="str">
        <f>muni&amp;" - "&amp;TableA8</f>
        <v>KZN225 Msunduzi - Supporting Table SA8 Performance indicators and benchmarks</v>
      </c>
      <c r="B1" s="148"/>
      <c r="C1" s="148"/>
      <c r="D1" s="148"/>
      <c r="E1" s="148"/>
      <c r="F1" s="148"/>
      <c r="G1" s="148"/>
      <c r="H1" s="148"/>
      <c r="I1" s="148"/>
      <c r="J1" s="148"/>
      <c r="K1" s="148"/>
      <c r="L1" s="148"/>
    </row>
    <row r="2" spans="1:12" ht="28.5" customHeight="1">
      <c r="A2" s="2450" t="s">
        <v>352</v>
      </c>
      <c r="B2" s="2448" t="s">
        <v>1172</v>
      </c>
      <c r="C2" s="146" t="str">
        <f>head1b</f>
        <v>2007/8</v>
      </c>
      <c r="D2" s="151" t="str">
        <f>head1A</f>
        <v>2008/9</v>
      </c>
      <c r="E2" s="147" t="str">
        <f>Head1</f>
        <v>2009/10</v>
      </c>
      <c r="F2" s="2415" t="str">
        <f>Head2</f>
        <v>Current Year 2010/11</v>
      </c>
      <c r="G2" s="2416"/>
      <c r="H2" s="2416"/>
      <c r="I2" s="2416"/>
      <c r="J2" s="2412" t="str">
        <f>Head3</f>
        <v>2011/12 Medium Term Revenue &amp; Expenditure Framework</v>
      </c>
      <c r="K2" s="2413"/>
      <c r="L2" s="2414"/>
    </row>
    <row r="3" spans="1:12" ht="38.25">
      <c r="A3" s="2451"/>
      <c r="B3" s="2449"/>
      <c r="C3" s="155" t="str">
        <f>Head5</f>
        <v>Audited Outcome</v>
      </c>
      <c r="D3" s="153" t="str">
        <f>Head5</f>
        <v>Audited Outcome</v>
      </c>
      <c r="E3" s="154" t="str">
        <f>Head5</f>
        <v>Audited Outcome</v>
      </c>
      <c r="F3" s="152" t="str">
        <f>Head6</f>
        <v>Original Budget</v>
      </c>
      <c r="G3" s="153" t="str">
        <f>Head7</f>
        <v>Adjusted Budget</v>
      </c>
      <c r="H3" s="154" t="str">
        <f>Head8</f>
        <v>Full Year Forecast</v>
      </c>
      <c r="I3" s="155" t="str">
        <f>Head5b</f>
        <v>Pre-audit outcome</v>
      </c>
      <c r="J3" s="152" t="str">
        <f>Head9</f>
        <v>Budget Year 2011/12</v>
      </c>
      <c r="K3" s="153" t="str">
        <f>Head10</f>
        <v>Budget Year +1 2012/13</v>
      </c>
      <c r="L3" s="154" t="str">
        <f>Head11</f>
        <v>Budget Year +2 2013/14</v>
      </c>
    </row>
    <row r="4" spans="1:12">
      <c r="A4" s="469" t="s">
        <v>854</v>
      </c>
      <c r="B4" s="470"/>
      <c r="C4" s="471"/>
      <c r="D4" s="442"/>
      <c r="E4" s="472"/>
      <c r="F4" s="473"/>
      <c r="G4" s="442"/>
      <c r="H4" s="472"/>
      <c r="I4" s="474"/>
      <c r="J4" s="471"/>
      <c r="K4" s="442"/>
      <c r="L4" s="472"/>
    </row>
    <row r="5" spans="1:12" ht="12.75" customHeight="1">
      <c r="A5" s="481" t="s">
        <v>621</v>
      </c>
      <c r="B5" s="475" t="s">
        <v>463</v>
      </c>
      <c r="C5" s="476">
        <f>IF(ISERROR(('A6-FinPos'!C37/'A6-FinPos'!C25)),0,('A6-FinPos'!C37/'A6-FinPos'!C25))</f>
        <v>0.18414601395853064</v>
      </c>
      <c r="D5" s="477">
        <f>IF(ISERROR(('A6-FinPos'!D37/'A6-FinPos'!D25)),0,('A6-FinPos'!D37/'A6-FinPos'!D25))</f>
        <v>0.13493273442892531</v>
      </c>
      <c r="E5" s="478">
        <f>IF(ISERROR(('A6-FinPos'!E37/'A6-FinPos'!E25)),0,('A6-FinPos'!E37/'A6-FinPos'!E25))</f>
        <v>7.9019981106117562E-2</v>
      </c>
      <c r="F5" s="479">
        <f>IF(ISERROR(('A6-FinPos'!F37/'A6-FinPos'!F25)),0,('A6-FinPos'!F37/'A6-FinPos'!F25))</f>
        <v>8.1674026294006954E-2</v>
      </c>
      <c r="G5" s="477">
        <f>IF(ISERROR(('A6-FinPos'!G37/'A6-FinPos'!G25)),0,('A6-FinPos'!G37/'A6-FinPos'!G25))</f>
        <v>6.4312480756190199E-2</v>
      </c>
      <c r="H5" s="478">
        <f>IF(ISERROR(('A6-FinPos'!H37/'A6-FinPos'!H25)),0,('A6-FinPos'!H37/'A6-FinPos'!H25))</f>
        <v>6.4312480756190199E-2</v>
      </c>
      <c r="I5" s="480">
        <f>IF(ISERROR(('A6-FinPos'!I37/'A6-FinPos'!I25)),0,('A6-FinPos'!I37/'A6-FinPos'!I25))</f>
        <v>6.4312480756190199E-2</v>
      </c>
      <c r="J5" s="476">
        <f>IF(ISERROR(('A6-FinPos'!J37/'A6-FinPos'!J25)),0,('A6-FinPos'!J37/'A6-FinPos'!J25))</f>
        <v>5.8179462216663112E-2</v>
      </c>
      <c r="K5" s="477">
        <f>IF(ISERROR(('A6-FinPos'!K37/'A6-FinPos'!K25)),0,('A6-FinPos'!K37/'A6-FinPos'!K25))</f>
        <v>5.2691811401967839E-2</v>
      </c>
      <c r="L5" s="478">
        <f>IF(ISERROR(('A6-FinPos'!L37/'A6-FinPos'!L25)),0,('A6-FinPos'!L37/'A6-FinPos'!L25))</f>
        <v>4.8050630849626526E-2</v>
      </c>
    </row>
    <row r="6" spans="1:12">
      <c r="A6" s="481" t="s">
        <v>1035</v>
      </c>
      <c r="B6" s="475"/>
      <c r="C6" s="2277" t="s">
        <v>429</v>
      </c>
      <c r="D6" s="2277" t="s">
        <v>429</v>
      </c>
      <c r="E6" s="1856"/>
      <c r="F6" s="1857"/>
      <c r="G6" s="1855"/>
      <c r="H6" s="1856"/>
      <c r="I6" s="1858"/>
      <c r="J6" s="482"/>
      <c r="K6" s="483"/>
      <c r="L6" s="484"/>
    </row>
    <row r="7" spans="1:12" ht="25.5">
      <c r="A7" s="481" t="s">
        <v>622</v>
      </c>
      <c r="B7" s="475" t="s">
        <v>1580</v>
      </c>
      <c r="C7" s="476">
        <f>IF(ISERROR(('A4-FinPerf RE'!C29-'A7-CFlow'!C33)/'A4-FinPerf RE'!C36),0,(('A4-FinPerf RE'!C29-'A7-CFlow'!C33)/'A4-FinPerf RE'!C36))</f>
        <v>5.6791630548214622E-2</v>
      </c>
      <c r="D7" s="477">
        <f>IF(ISERROR(('A4-FinPerf RE'!D29-'A7-CFlow'!D33)/'A4-FinPerf RE'!D36),0,(('A4-FinPerf RE'!D29-'A7-CFlow'!D33)/'A4-FinPerf RE'!D36))</f>
        <v>7.4732275363949274E-2</v>
      </c>
      <c r="E7" s="478">
        <f>IF(ISERROR(('A4-FinPerf RE'!E29-'A7-CFlow'!E33)/'A4-FinPerf RE'!E36),0,(('A4-FinPerf RE'!E29-'A7-CFlow'!E33)/'A4-FinPerf RE'!E36))</f>
        <v>3.9209141756937529E-2</v>
      </c>
      <c r="F7" s="479">
        <f>IF(ISERROR(('A4-FinPerf RE'!F29-'A7-CFlow'!F33)/'A4-FinPerf RE'!F36),0,(('A4-FinPerf RE'!F29-'A7-CFlow'!F33)/'A4-FinPerf RE'!F36))</f>
        <v>4.9412289535929174E-2</v>
      </c>
      <c r="G7" s="477">
        <f>IF(ISERROR(('A4-FinPerf RE'!G29-'A7-CFlow'!G33)/'A4-FinPerf RE'!G36),0,(('A4-FinPerf RE'!G29-'A7-CFlow'!G33)/'A4-FinPerf RE'!G36))</f>
        <v>3.8828732381903347E-2</v>
      </c>
      <c r="H7" s="478">
        <f>IF(ISERROR(('A4-FinPerf RE'!H29-'A7-CFlow'!H33)/'A4-FinPerf RE'!H36),0,(('A4-FinPerf RE'!H29-'A7-CFlow'!H33)/'A4-FinPerf RE'!H36))</f>
        <v>3.8828732381903347E-2</v>
      </c>
      <c r="I7" s="480">
        <f>IF(ISERROR(('A4-FinPerf RE'!I29-'A7-CFlow'!I33)/'A4-FinPerf RE'!I36),0,(('A4-FinPerf RE'!I29-'A7-CFlow'!I33)/'A4-FinPerf RE'!I36))</f>
        <v>3.8828732381903347E-2</v>
      </c>
      <c r="J7" s="476">
        <f>IF(ISERROR(('A4-FinPerf RE'!J29-'A7-CFlow'!J33)/'A4-FinPerf RE'!J36),0,(('A4-FinPerf RE'!J29-'A7-CFlow'!J33)/'A4-FinPerf RE'!J36))</f>
        <v>2.9096562907572385E-2</v>
      </c>
      <c r="K7" s="477">
        <f>IF(ISERROR(('A4-FinPerf RE'!K29-'A7-CFlow'!K33)/'A4-FinPerf RE'!K36),0,(('A4-FinPerf RE'!K29-'A7-CFlow'!K33)/'A4-FinPerf RE'!K36))</f>
        <v>2.8221363515075867E-2</v>
      </c>
      <c r="L7" s="478">
        <f>IF(ISERROR(('A4-FinPerf RE'!L29-'A7-CFlow'!L33)/'A4-FinPerf RE'!L36),0,(('A4-FinPerf RE'!L29-'A7-CFlow'!L33)/'A4-FinPerf RE'!L36))</f>
        <v>2.790226741564646E-2</v>
      </c>
    </row>
    <row r="8" spans="1:12" ht="25.5">
      <c r="A8" s="481" t="s">
        <v>981</v>
      </c>
      <c r="B8" s="475" t="s">
        <v>391</v>
      </c>
      <c r="C8" s="476">
        <f>IF(ISERROR(C44/C43),0,(C44/C43))</f>
        <v>-0.91112360745259835</v>
      </c>
      <c r="D8" s="477">
        <f>IF(ISERROR(D44/D43),0,(D44/D43))</f>
        <v>-1.3822177684094128</v>
      </c>
      <c r="E8" s="478">
        <f t="shared" ref="E8:L8" si="0">IF(ISERROR(E44/E43),0,(E44/E43))</f>
        <v>2.0632523494832409</v>
      </c>
      <c r="F8" s="479">
        <f t="shared" si="0"/>
        <v>0.99204009433962259</v>
      </c>
      <c r="G8" s="477">
        <f t="shared" si="0"/>
        <v>0.84512925136074057</v>
      </c>
      <c r="H8" s="478">
        <f t="shared" si="0"/>
        <v>0.84512925136074057</v>
      </c>
      <c r="I8" s="480">
        <f t="shared" si="0"/>
        <v>0.84512925136074057</v>
      </c>
      <c r="J8" s="476">
        <f t="shared" si="0"/>
        <v>1.6749886543557568</v>
      </c>
      <c r="K8" s="477">
        <f t="shared" si="0"/>
        <v>2.9854093691890458</v>
      </c>
      <c r="L8" s="478">
        <f t="shared" si="0"/>
        <v>0</v>
      </c>
    </row>
    <row r="9" spans="1:12">
      <c r="A9" s="485" t="s">
        <v>365</v>
      </c>
      <c r="B9" s="475"/>
      <c r="C9" s="486"/>
      <c r="D9" s="487"/>
      <c r="E9" s="488"/>
      <c r="F9" s="489"/>
      <c r="G9" s="487"/>
      <c r="H9" s="488"/>
      <c r="I9" s="490"/>
      <c r="J9" s="486"/>
      <c r="K9" s="487"/>
      <c r="L9" s="488"/>
    </row>
    <row r="10" spans="1:12" ht="25.5">
      <c r="A10" s="481" t="s">
        <v>594</v>
      </c>
      <c r="B10" s="475" t="s">
        <v>122</v>
      </c>
      <c r="C10" s="476">
        <f>IF(ISERROR('A6-FinPos'!C40/'A6-FinPos'!C48),0,('A6-FinPos'!C40/'A6-FinPos'!C48))</f>
        <v>0.97916768243911045</v>
      </c>
      <c r="D10" s="477">
        <f>IF(ISERROR('A6-FinPos'!D40/'A6-FinPos'!D48),0,('A6-FinPos'!D40/'A6-FinPos'!D48))</f>
        <v>2.5793438522693291</v>
      </c>
      <c r="E10" s="478">
        <f>IF(ISERROR('A6-FinPos'!E40/'A6-FinPos'!E48),0,('A6-FinPos'!E40/'A6-FinPos'!E48))</f>
        <v>0.22969591486495372</v>
      </c>
      <c r="F10" s="479">
        <f>IF(ISERROR('A6-FinPos'!F40/'A6-FinPos'!F48),0,('A6-FinPos'!F40/'A6-FinPos'!F48))</f>
        <v>0.17974505032856974</v>
      </c>
      <c r="G10" s="477">
        <f>IF(ISERROR('A6-FinPos'!G40/'A6-FinPos'!G48),0,('A6-FinPos'!G40/'A6-FinPos'!G48))</f>
        <v>0.14323114928255284</v>
      </c>
      <c r="H10" s="478">
        <f>IF(ISERROR('A6-FinPos'!H40/'A6-FinPos'!H48),0,('A6-FinPos'!H40/'A6-FinPos'!H48))</f>
        <v>0.14323114928255284</v>
      </c>
      <c r="I10" s="480">
        <f>IF(ISERROR('A6-FinPos'!I40/'A6-FinPos'!I48),0,('A6-FinPos'!I40/'A6-FinPos'!I48))</f>
        <v>0.14323114928255284</v>
      </c>
      <c r="J10" s="476">
        <f>IF(ISERROR('A6-FinPos'!J40/'A6-FinPos'!J48),0,('A6-FinPos'!J40/'A6-FinPos'!J48))</f>
        <v>0.12271597712625842</v>
      </c>
      <c r="K10" s="477">
        <f>IF(ISERROR('A6-FinPos'!K40/'A6-FinPos'!K48),0,('A6-FinPos'!K40/'A6-FinPos'!K48))</f>
        <v>0.11756975021845374</v>
      </c>
      <c r="L10" s="478">
        <f>IF(ISERROR('A6-FinPos'!L40/'A6-FinPos'!L48),0,('A6-FinPos'!L40/'A6-FinPos'!L48))</f>
        <v>0.11397260539901849</v>
      </c>
    </row>
    <row r="11" spans="1:12" ht="25.5">
      <c r="A11" s="481" t="s">
        <v>364</v>
      </c>
      <c r="B11" s="475" t="s">
        <v>303</v>
      </c>
      <c r="C11" s="476">
        <f>IF(ISERROR(('A6-FinPos'!C37/'A6-FinPos'!C46)),0,(('A6-FinPos'!C37/'A6-FinPos'!C46)))</f>
        <v>2.8605403208226048</v>
      </c>
      <c r="D11" s="477">
        <f>IF(ISERROR(('A6-FinPos'!D37/'A6-FinPos'!D46)),0,(('A6-FinPos'!D37/'A6-FinPos'!D46)))</f>
        <v>1.8923169878590274</v>
      </c>
      <c r="E11" s="478">
        <f>IF(ISERROR(('A6-FinPos'!E37/'A6-FinPos'!E46)),0,(('A6-FinPos'!E37/'A6-FinPos'!E46)))</f>
        <v>0.85396442180511667</v>
      </c>
      <c r="F11" s="479">
        <f>IF(ISERROR(('A6-FinPos'!F37/'A6-FinPos'!F46)),0,(('A6-FinPos'!F37/'A6-FinPos'!F46)))</f>
        <v>12.26864490603363</v>
      </c>
      <c r="G11" s="477">
        <f>IF(ISERROR(('A6-FinPos'!G37/'A6-FinPos'!G46)),0,(('A6-FinPos'!G37/'A6-FinPos'!G46)))</f>
        <v>9.2850384497796963</v>
      </c>
      <c r="H11" s="478">
        <f>IF(ISERROR(('A6-FinPos'!H37/'A6-FinPos'!H46)),0,(('A6-FinPos'!H37/'A6-FinPos'!H46)))</f>
        <v>9.2850384497796963</v>
      </c>
      <c r="I11" s="480">
        <f>IF(ISERROR(('A6-FinPos'!I37/'A6-FinPos'!I46)),0,(('A6-FinPos'!I37/'A6-FinPos'!I46)))</f>
        <v>9.2850384497796963</v>
      </c>
      <c r="J11" s="476">
        <f>IF(ISERROR(('A6-FinPos'!J37/'A6-FinPos'!J46)),0,(('A6-FinPos'!J37/'A6-FinPos'!J46)))</f>
        <v>8.0287020707856804</v>
      </c>
      <c r="K11" s="477">
        <f>IF(ISERROR(('A6-FinPos'!K37/'A6-FinPos'!K46)),0,(('A6-FinPos'!K37/'A6-FinPos'!K46)))</f>
        <v>6.9073718298619422</v>
      </c>
      <c r="L11" s="478">
        <f>IF(ISERROR(('A6-FinPos'!L37/'A6-FinPos'!L46)),0,(('A6-FinPos'!L37/'A6-FinPos'!L46)))</f>
        <v>5.964259871302982</v>
      </c>
    </row>
    <row r="12" spans="1:12">
      <c r="A12" s="485" t="s">
        <v>366</v>
      </c>
      <c r="B12" s="475"/>
      <c r="C12" s="486"/>
      <c r="D12" s="487"/>
      <c r="E12" s="488"/>
      <c r="F12" s="489"/>
      <c r="G12" s="487"/>
      <c r="H12" s="488"/>
      <c r="I12" s="490"/>
      <c r="J12" s="486"/>
      <c r="K12" s="487"/>
      <c r="L12" s="488"/>
    </row>
    <row r="13" spans="1:12">
      <c r="A13" s="481" t="s">
        <v>623</v>
      </c>
      <c r="B13" s="475" t="s">
        <v>1584</v>
      </c>
      <c r="C13" s="491">
        <f>IF(ISERROR('A6-FinPos'!C12/'A6-FinPos'!C34),0,('A6-FinPos'!C12/'A6-FinPos'!C34))</f>
        <v>1.2332740262690649</v>
      </c>
      <c r="D13" s="492">
        <f>IF(ISERROR('A6-FinPos'!D12/'A6-FinPos'!D34),0,('A6-FinPos'!D12/'A6-FinPos'!D34))</f>
        <v>0.92708893821904248</v>
      </c>
      <c r="E13" s="493">
        <f>IF(ISERROR('A6-FinPos'!E12/'A6-FinPos'!E34),0,('A6-FinPos'!E12/'A6-FinPos'!E34))</f>
        <v>0.78137978975509326</v>
      </c>
      <c r="F13" s="494">
        <f>IF(ISERROR('A6-FinPos'!F12/'A6-FinPos'!F34),0,('A6-FinPos'!F12/'A6-FinPos'!F34))</f>
        <v>1.7399695101139443</v>
      </c>
      <c r="G13" s="492">
        <f>IF(ISERROR('A6-FinPos'!G12/'A6-FinPos'!G34),0,('A6-FinPos'!G12/'A6-FinPos'!G34))</f>
        <v>2.3135974818832095</v>
      </c>
      <c r="H13" s="493">
        <f>IF(ISERROR('A6-FinPos'!H12/'A6-FinPos'!H34),0,('A6-FinPos'!H12/'A6-FinPos'!H34))</f>
        <v>2.3135974818832095</v>
      </c>
      <c r="I13" s="495">
        <f>IF(ISERROR('A6-FinPos'!I12/'A6-FinPos'!I34),0,('A6-FinPos'!I12/'A6-FinPos'!I34))</f>
        <v>2.3135974818832095</v>
      </c>
      <c r="J13" s="491">
        <f>IF(ISERROR('A6-FinPos'!J12/'A6-FinPos'!J34),0,('A6-FinPos'!J12/'A6-FinPos'!J34))</f>
        <v>2.9150805512043854</v>
      </c>
      <c r="K13" s="492">
        <f>IF(ISERROR('A6-FinPos'!K12/'A6-FinPos'!K34),0,('A6-FinPos'!K12/'A6-FinPos'!K34))</f>
        <v>3.0530589321274202</v>
      </c>
      <c r="L13" s="493">
        <f>IF(ISERROR('A6-FinPos'!L12/'A6-FinPos'!L34),0,('A6-FinPos'!L12/'A6-FinPos'!L34))</f>
        <v>3.1725828894835524</v>
      </c>
    </row>
    <row r="14" spans="1:12" ht="25.5">
      <c r="A14" s="481" t="s">
        <v>1581</v>
      </c>
      <c r="B14" s="475" t="s">
        <v>1528</v>
      </c>
      <c r="C14" s="491">
        <f>IF(ISERROR(('A6-FinPos'!C12-'SA8'!C40)/'A6-FinPos'!C34),0,(('A6-FinPos'!C12-'SA8'!C40)/'A6-FinPos'!C34))</f>
        <v>1.2332740262690649</v>
      </c>
      <c r="D14" s="492">
        <f>IF(ISERROR(('A6-FinPos'!D12-'SA8'!D40)/'A6-FinPos'!D34),0,(('A6-FinPos'!D12-'SA8'!D40)/'A6-FinPos'!D34))</f>
        <v>0.92708893821904248</v>
      </c>
      <c r="E14" s="493">
        <f>IF(ISERROR(('A6-FinPos'!E12-'SA8'!E40)/'A6-FinPos'!E34),0,(('A6-FinPos'!E12-'SA8'!E40)/'A6-FinPos'!E34))</f>
        <v>0.78137978975509326</v>
      </c>
      <c r="F14" s="494">
        <f>IF(ISERROR(('A6-FinPos'!F12-'SA8'!F40)/'A6-FinPos'!F34),0,(('A6-FinPos'!F12-'SA8'!F40)/'A6-FinPos'!F34))</f>
        <v>1.7399695101139443</v>
      </c>
      <c r="G14" s="492">
        <f>IF(ISERROR(('A6-FinPos'!G12-'SA8'!G40)/'A6-FinPos'!G34),0,(('A6-FinPos'!G12-'SA8'!G40)/'A6-FinPos'!G34))</f>
        <v>2.3135974818832095</v>
      </c>
      <c r="H14" s="493">
        <f>IF(ISERROR(('A6-FinPos'!H12-'SA8'!H40)/'A6-FinPos'!H34),0,(('A6-FinPos'!H12-'SA8'!H40)/'A6-FinPos'!H34))</f>
        <v>2.3135974818832095</v>
      </c>
      <c r="I14" s="495">
        <f>IF(ISERROR(('A6-FinPos'!I12-'SA8'!I40)/'A6-FinPos'!I34),0,(('A6-FinPos'!I12-'SA8'!I40)/'A6-FinPos'!I34))</f>
        <v>2.3135974818832095</v>
      </c>
      <c r="J14" s="491">
        <f>IF(ISERROR(('A6-FinPos'!J12-'SA8'!J40)/'A6-FinPos'!J34),0,(('A6-FinPos'!J12-'SA8'!J40)/'A6-FinPos'!J34))</f>
        <v>2.9150805512043854</v>
      </c>
      <c r="K14" s="492">
        <f>IF(ISERROR(('A6-FinPos'!K12-'SA8'!K40)/'A6-FinPos'!K34),0,(('A6-FinPos'!K12-'SA8'!K40)/'A6-FinPos'!K34))</f>
        <v>3.0530589321274202</v>
      </c>
      <c r="L14" s="493">
        <f>IF(ISERROR(('A6-FinPos'!L12-'SA8'!L40)/'A6-FinPos'!L34),0,(('A6-FinPos'!L12-'SA8'!L40)/'A6-FinPos'!L34))</f>
        <v>3.1725828894835524</v>
      </c>
    </row>
    <row r="15" spans="1:12">
      <c r="A15" s="481" t="s">
        <v>367</v>
      </c>
      <c r="B15" s="475" t="s">
        <v>967</v>
      </c>
      <c r="C15" s="491">
        <f>IF(ISERROR(('A6-FinPos'!C6+'A6-FinPos'!C7)/'A6-FinPos'!C34),0,(('A6-FinPos'!C6+'A6-FinPos'!C7)/'A6-FinPos'!C34))</f>
        <v>0.52450467492153463</v>
      </c>
      <c r="D15" s="492">
        <f>IF(ISERROR(('A6-FinPos'!D6+'A6-FinPos'!D7)/'A6-FinPos'!D34),0,(('A6-FinPos'!D6+'A6-FinPos'!D7)/'A6-FinPos'!D34))</f>
        <v>0.20463307350377299</v>
      </c>
      <c r="E15" s="493">
        <f>IF(ISERROR(('A6-FinPos'!E6+'A6-FinPos'!E7)/'A6-FinPos'!E34),0,(('A6-FinPos'!E6+'A6-FinPos'!E7)/'A6-FinPos'!E34))</f>
        <v>0.24376703952674775</v>
      </c>
      <c r="F15" s="494">
        <f>IF(ISERROR(('A6-FinPos'!F6+'A6-FinPos'!F7)/'A6-FinPos'!F34),0,(('A6-FinPos'!F6+'A6-FinPos'!F7)/'A6-FinPos'!F34))</f>
        <v>0.3494470749916932</v>
      </c>
      <c r="G15" s="492">
        <f>IF(ISERROR(('A6-FinPos'!G6+'A6-FinPos'!G7)/'A6-FinPos'!G34),0,(('A6-FinPos'!G6+'A6-FinPos'!G7)/'A6-FinPos'!G34))</f>
        <v>0.36927758487909818</v>
      </c>
      <c r="H15" s="493">
        <f>IF(ISERROR(('A6-FinPos'!H6+'A6-FinPos'!H7)/'A6-FinPos'!H34),0,(('A6-FinPos'!H6+'A6-FinPos'!H7)/'A6-FinPos'!H34))</f>
        <v>0.36927758487909818</v>
      </c>
      <c r="I15" s="495">
        <f>IF(ISERROR(('A6-FinPos'!I6+'A6-FinPos'!I7)/'A6-FinPos'!I34),0,(('A6-FinPos'!I6+'A6-FinPos'!I7)/'A6-FinPos'!I34))</f>
        <v>0.36927758487909818</v>
      </c>
      <c r="J15" s="491">
        <f>IF(ISERROR(('A6-FinPos'!J6+'A6-FinPos'!J7)/'A6-FinPos'!J34),0,(('A6-FinPos'!J6+'A6-FinPos'!J7)/'A6-FinPos'!J34))</f>
        <v>0.50306660244267654</v>
      </c>
      <c r="K15" s="492">
        <f>IF(ISERROR(('A6-FinPos'!K6+'A6-FinPos'!K7)/'A6-FinPos'!K34),0,(('A6-FinPos'!K6+'A6-FinPos'!K7)/'A6-FinPos'!K34))</f>
        <v>0.49860933144772834</v>
      </c>
      <c r="L15" s="493">
        <f>IF(ISERROR(('A6-FinPos'!L6+'A6-FinPos'!L7)/'A6-FinPos'!L34),0,(('A6-FinPos'!L6+'A6-FinPos'!L7)/'A6-FinPos'!L34))</f>
        <v>0.49077333650243687</v>
      </c>
    </row>
    <row r="16" spans="1:12">
      <c r="A16" s="485" t="s">
        <v>968</v>
      </c>
      <c r="B16" s="475"/>
      <c r="C16" s="496"/>
      <c r="D16" s="497"/>
      <c r="E16" s="498"/>
      <c r="F16" s="499"/>
      <c r="G16" s="497"/>
      <c r="H16" s="498"/>
      <c r="I16" s="500"/>
      <c r="J16" s="496"/>
      <c r="K16" s="497"/>
      <c r="L16" s="498"/>
    </row>
    <row r="17" spans="1:13" ht="25.5">
      <c r="A17" s="481" t="s">
        <v>969</v>
      </c>
      <c r="B17" s="475" t="s">
        <v>1529</v>
      </c>
      <c r="C17" s="501"/>
      <c r="D17" s="502">
        <f>IF(ISERROR(('A7-CFlow'!C6+'A7-CFlow'!C20+'A7-CFlow'!C21)/(SUM('A4-FinPerf RE'!C5:C12)+SUM('A4-FinPerf RE'!C16:C18)+'A4-FinPerf RE'!C20)),0,(('A7-CFlow'!C6+'A7-CFlow'!C20+'A7-CFlow'!C21)/(SUM('A4-FinPerf RE'!C5:C12)+SUM('A4-FinPerf RE'!C16:C18)+'A4-FinPerf RE'!C20)))</f>
        <v>0.79083163676851798</v>
      </c>
      <c r="E17" s="502">
        <f>IF(ISERROR(('A7-CFlow'!D6+'A7-CFlow'!D20+'A7-CFlow'!D21)/(SUM('A4-FinPerf RE'!D5:D12)+SUM('A4-FinPerf RE'!D16:D18)+'A4-FinPerf RE'!D20)),0,(('A7-CFlow'!D6+'A7-CFlow'!D20+'A7-CFlow'!D21)/(SUM('A4-FinPerf RE'!D5:D12)+SUM('A4-FinPerf RE'!D16:D18)+'A4-FinPerf RE'!D20)))</f>
        <v>1.3153599135058001</v>
      </c>
      <c r="F17" s="504">
        <f>IF(ISERROR(('A7-CFlow'!E6+'A7-CFlow'!E20+'A7-CFlow'!E21)/(SUM('A4-FinPerf RE'!E5:E12)+SUM('A4-FinPerf RE'!E16:E18)+'A4-FinPerf RE'!E20)),0,(('A7-CFlow'!E6+'A7-CFlow'!E20+'A7-CFlow'!E21)/(SUM('A4-FinPerf RE'!E5:E12)+SUM('A4-FinPerf RE'!E16:E18)+'A4-FinPerf RE'!E20)))</f>
        <v>0.77098161542514043</v>
      </c>
      <c r="G17" s="502">
        <f>F17</f>
        <v>0.77098161542514043</v>
      </c>
      <c r="H17" s="503">
        <f>G17</f>
        <v>0.77098161542514043</v>
      </c>
      <c r="I17" s="505">
        <f>F17</f>
        <v>0.77098161542514043</v>
      </c>
      <c r="J17" s="501">
        <f>IF(ISERROR(('A7-CFlow'!H6+'A7-CFlow'!H20+'A7-CFlow'!H21)/(SUM('A4-FinPerf RE'!H5:H12)+SUM('A4-FinPerf RE'!H16:H18)+'A4-FinPerf RE'!H20)),0,(('A7-CFlow'!H6+'A7-CFlow'!H20+'A7-CFlow'!H21)/(SUM('A4-FinPerf RE'!H5:H12)+SUM('A4-FinPerf RE'!H16:H18)+'A4-FinPerf RE'!H20)))</f>
        <v>0.74799079816562619</v>
      </c>
      <c r="K17" s="502">
        <f>IF(ISERROR(('A7-CFlow'!J6+'A7-CFlow'!J20+'A7-CFlow'!J21)/(SUM('A4-FinPerf RE'!J5:J12)+SUM('A4-FinPerf RE'!J16:J18)+'A4-FinPerf RE'!J20)),0,(('A7-CFlow'!J6+'A7-CFlow'!J20+'A7-CFlow'!J21)/(SUM('A4-FinPerf RE'!J5:J12)+SUM('A4-FinPerf RE'!J16:J18)+'A4-FinPerf RE'!J20)))</f>
        <v>0.68150197021646608</v>
      </c>
      <c r="L17" s="503">
        <f>IF(ISERROR(('A7-CFlow'!K6+'A7-CFlow'!K20+'A7-CFlow'!K21)/(SUM('A4-FinPerf RE'!K5:K12)+SUM('A4-FinPerf RE'!K16:K18)+'A4-FinPerf RE'!K20)),0,(('A7-CFlow'!K6+'A7-CFlow'!K20+'A7-CFlow'!K21)/(SUM('A4-FinPerf RE'!K5:K12)+SUM('A4-FinPerf RE'!K16:K18)+'A4-FinPerf RE'!K20)))</f>
        <v>0.76399067137030319</v>
      </c>
    </row>
    <row r="18" spans="1:13" ht="25.5">
      <c r="A18" s="481" t="s">
        <v>520</v>
      </c>
      <c r="B18" s="475" t="s">
        <v>1490</v>
      </c>
      <c r="C18" s="476">
        <f>IF(ISERROR(('A6-FinPos'!C8+'A6-FinPos'!C9+'A6-FinPos'!C10+'A6-FinPos'!C15)/'A4-FinPerf RE'!C22),0,(('A6-FinPos'!C8+'A6-FinPos'!C9+'A6-FinPos'!C10+'A6-FinPos'!C15)/'A4-FinPerf RE'!C22))</f>
        <v>0.16219917079889482</v>
      </c>
      <c r="D18" s="477">
        <f>IF(ISERROR(('A6-FinPos'!D8+'A6-FinPos'!D9+'A6-FinPos'!D10+'A6-FinPos'!D15)/'A4-FinPerf RE'!D22),0,(('A6-FinPos'!D8+'A6-FinPos'!D9+'A6-FinPos'!D10+'A6-FinPos'!D15)/'A4-FinPerf RE'!D22))</f>
        <v>0.18862251440573027</v>
      </c>
      <c r="E18" s="478">
        <f>IF(ISERROR(('A6-FinPos'!E8+'A6-FinPos'!E9+'A6-FinPos'!E10+'A6-FinPos'!E15)/'A4-FinPerf RE'!E22),0,(('A6-FinPos'!E8+'A6-FinPos'!E9+'A6-FinPos'!E10+'A6-FinPos'!E15)/'A4-FinPerf RE'!E22))</f>
        <v>8.9647515224652016E-2</v>
      </c>
      <c r="F18" s="479">
        <f>IF(ISERROR(('A6-FinPos'!F8+'A6-FinPos'!F9+'A6-FinPos'!F10+'A6-FinPos'!F15)/'A4-FinPerf RE'!F22),0,(('A6-FinPos'!F8+'A6-FinPos'!F9+'A6-FinPos'!F10+'A6-FinPos'!F15)/'A4-FinPerf RE'!F22))</f>
        <v>0.24780626220538057</v>
      </c>
      <c r="G18" s="477">
        <f>IF(ISERROR(('A6-FinPos'!G8+'A6-FinPos'!G9+'A6-FinPos'!G10+'A6-FinPos'!G15)/'A4-FinPerf RE'!G22),0,(('A6-FinPos'!G8+'A6-FinPos'!G9+'A6-FinPos'!G10+'A6-FinPos'!G15)/'A4-FinPerf RE'!G22))</f>
        <v>0.26047018475745892</v>
      </c>
      <c r="H18" s="478">
        <f>IF(ISERROR(('A6-FinPos'!H8+'A6-FinPos'!H9+'A6-FinPos'!H10+'A6-FinPos'!H15)/'A4-FinPerf RE'!H22),0,(('A6-FinPos'!H8+'A6-FinPos'!H9+'A6-FinPos'!H10+'A6-FinPos'!H15)/'A4-FinPerf RE'!H22))</f>
        <v>0.26047018492907109</v>
      </c>
      <c r="I18" s="480">
        <f>IF(ISERROR(('A6-FinPos'!I8+'A6-FinPos'!I9+'A6-FinPos'!I10+'A6-FinPos'!I15)/'A4-FinPerf RE'!I22),0,(('A6-FinPos'!I8+'A6-FinPos'!I9+'A6-FinPos'!I10+'A6-FinPos'!I15)/'A4-FinPerf RE'!I22))</f>
        <v>0.2604701851006832</v>
      </c>
      <c r="J18" s="476">
        <f>IF(ISERROR(('A6-FinPos'!J8+'A6-FinPos'!J9+'A6-FinPos'!J10+'A6-FinPos'!J15)/'A4-FinPerf RE'!J22),0,(('A6-FinPos'!J8+'A6-FinPos'!J9+'A6-FinPos'!J10+'A6-FinPos'!J15)/'A4-FinPerf RE'!J22))</f>
        <v>0.24528771442798222</v>
      </c>
      <c r="K18" s="477">
        <f>IF(ISERROR(('A6-FinPos'!K8+'A6-FinPos'!K9+'A6-FinPos'!K10+'A6-FinPos'!K15)/'A4-FinPerf RE'!K22),0,(('A6-FinPos'!K8+'A6-FinPos'!K9+'A6-FinPos'!K10+'A6-FinPos'!K15)/'A4-FinPerf RE'!K22))</f>
        <v>0.25452809449695435</v>
      </c>
      <c r="L18" s="478">
        <f>IF(ISERROR(('A6-FinPos'!L8+'A6-FinPos'!L9+'A6-FinPos'!L10+'A6-FinPos'!L15)/'A4-FinPerf RE'!L22),0,(('A6-FinPos'!L8+'A6-FinPos'!L9+'A6-FinPos'!L10+'A6-FinPos'!L15)/'A4-FinPerf RE'!L22))</f>
        <v>0.26616158553936653</v>
      </c>
    </row>
    <row r="19" spans="1:13" ht="25.5">
      <c r="A19" s="481" t="s">
        <v>1881</v>
      </c>
      <c r="B19" s="475" t="s">
        <v>595</v>
      </c>
      <c r="C19" s="1859"/>
      <c r="D19" s="1860"/>
      <c r="E19" s="1797"/>
      <c r="F19" s="1861"/>
      <c r="G19" s="1860"/>
      <c r="H19" s="1797"/>
      <c r="I19" s="1862"/>
      <c r="J19" s="1859"/>
      <c r="K19" s="1860"/>
      <c r="L19" s="1797"/>
    </row>
    <row r="20" spans="1:13">
      <c r="A20" s="485" t="s">
        <v>850</v>
      </c>
      <c r="B20" s="475"/>
      <c r="C20" s="486"/>
      <c r="D20" s="487"/>
      <c r="E20" s="488"/>
      <c r="F20" s="489"/>
      <c r="G20" s="487"/>
      <c r="H20" s="488"/>
      <c r="I20" s="490"/>
      <c r="J20" s="486"/>
      <c r="K20" s="487"/>
      <c r="L20" s="488"/>
    </row>
    <row r="21" spans="1:13" ht="25.5">
      <c r="A21" s="481" t="s">
        <v>851</v>
      </c>
      <c r="B21" s="475" t="s">
        <v>350</v>
      </c>
      <c r="C21" s="1859"/>
      <c r="D21" s="1860"/>
      <c r="E21" s="1797"/>
      <c r="F21" s="1861"/>
      <c r="G21" s="1860"/>
      <c r="H21" s="1797"/>
      <c r="I21" s="1862"/>
      <c r="J21" s="1859"/>
      <c r="K21" s="1860"/>
      <c r="L21" s="1797"/>
    </row>
    <row r="22" spans="1:13">
      <c r="A22" s="485" t="s">
        <v>852</v>
      </c>
      <c r="B22" s="475"/>
      <c r="C22" s="486"/>
      <c r="D22" s="487"/>
      <c r="E22" s="488"/>
      <c r="F22" s="489"/>
      <c r="G22" s="487"/>
      <c r="H22" s="488"/>
      <c r="I22" s="490"/>
      <c r="J22" s="486"/>
      <c r="K22" s="487"/>
      <c r="L22" s="488"/>
      <c r="M22" s="373"/>
    </row>
    <row r="23" spans="1:13">
      <c r="A23" s="481" t="s">
        <v>744</v>
      </c>
      <c r="B23" s="475" t="s">
        <v>1880</v>
      </c>
      <c r="C23" s="1863"/>
      <c r="D23" s="1864"/>
      <c r="E23" s="1865"/>
      <c r="F23" s="1866"/>
      <c r="G23" s="1864"/>
      <c r="H23" s="1865"/>
      <c r="I23" s="1867"/>
      <c r="J23" s="1863"/>
      <c r="K23" s="1864"/>
      <c r="L23" s="1865"/>
      <c r="M23" s="373"/>
    </row>
    <row r="24" spans="1:13">
      <c r="A24" s="485" t="s">
        <v>853</v>
      </c>
      <c r="B24" s="475"/>
      <c r="C24" s="486"/>
      <c r="D24" s="487"/>
      <c r="E24" s="488"/>
      <c r="F24" s="489"/>
      <c r="G24" s="487"/>
      <c r="H24" s="488"/>
      <c r="I24" s="490"/>
      <c r="J24" s="486"/>
      <c r="K24" s="487"/>
      <c r="L24" s="488"/>
      <c r="M24" s="373"/>
    </row>
    <row r="25" spans="1:13" ht="38.25">
      <c r="A25" s="481" t="s">
        <v>353</v>
      </c>
      <c r="B25" s="1398" t="s">
        <v>392</v>
      </c>
      <c r="C25" s="1865">
        <v>9.0700000000000003E-2</v>
      </c>
      <c r="D25" s="1866">
        <v>0.09</v>
      </c>
      <c r="E25" s="1863">
        <v>8.9499999999999996E-2</v>
      </c>
      <c r="F25" s="1864">
        <v>8.8999999999999996E-2</v>
      </c>
      <c r="G25" s="1864">
        <v>8.8999999999999996E-2</v>
      </c>
      <c r="H25" s="1864">
        <v>8.8999999999999996E-2</v>
      </c>
      <c r="I25" s="1867"/>
      <c r="J25" s="1865">
        <v>8.8999999999999996E-2</v>
      </c>
      <c r="K25" s="1864"/>
      <c r="L25" s="1865"/>
    </row>
    <row r="26" spans="1:13" ht="38.25">
      <c r="A26" s="481" t="s">
        <v>1410</v>
      </c>
      <c r="B26" s="1398" t="s">
        <v>393</v>
      </c>
      <c r="C26" s="1865">
        <v>0.3795</v>
      </c>
      <c r="D26" s="1866">
        <v>0.36559999999999998</v>
      </c>
      <c r="E26" s="1863">
        <v>0.3175</v>
      </c>
      <c r="F26" s="1864">
        <v>0.3075</v>
      </c>
      <c r="G26" s="1864">
        <v>0.3075</v>
      </c>
      <c r="H26" s="1864">
        <v>0.3075</v>
      </c>
      <c r="I26" s="1867"/>
      <c r="J26" s="1865">
        <v>0.29749999999999999</v>
      </c>
      <c r="K26" s="1864"/>
      <c r="L26" s="1865"/>
    </row>
    <row r="27" spans="1:13" ht="25.5">
      <c r="A27" s="481" t="s">
        <v>523</v>
      </c>
      <c r="B27" s="475" t="s">
        <v>1818</v>
      </c>
      <c r="C27" s="501">
        <f>IF(ISERROR('A4-FinPerf RE'!C25/'A4-FinPerf RE'!C22),0,('A4-FinPerf RE'!C25/'A4-FinPerf RE'!C22))</f>
        <v>0.26371596380776735</v>
      </c>
      <c r="D27" s="502">
        <f>IF(ISERROR('A4-FinPerf RE'!D25/'A4-FinPerf RE'!D22),0,('A4-FinPerf RE'!D25/'A4-FinPerf RE'!D22))</f>
        <v>0.28464761845566833</v>
      </c>
      <c r="E27" s="503">
        <f>IF(ISERROR('A4-FinPerf RE'!E25/'A4-FinPerf RE'!E22),0,('A4-FinPerf RE'!E25/'A4-FinPerf RE'!E22))</f>
        <v>0.23752870003648327</v>
      </c>
      <c r="F27" s="504">
        <f>IF(ISERROR('A4-FinPerf RE'!F25/'A4-FinPerf RE'!F22),0,('A4-FinPerf RE'!F25/'A4-FinPerf RE'!F22))</f>
        <v>0.25038176778059257</v>
      </c>
      <c r="G27" s="502">
        <f>IF(ISERROR('A4-FinPerf RE'!G25/'A4-FinPerf RE'!G22),0,('A4-FinPerf RE'!G25/'A4-FinPerf RE'!G22))</f>
        <v>0.21002014679846942</v>
      </c>
      <c r="H27" s="503">
        <f>IF(ISERROR('A4-FinPerf RE'!H25/'A4-FinPerf RE'!H22),0,('A4-FinPerf RE'!H25/'A4-FinPerf RE'!H22))</f>
        <v>0.21002014693684229</v>
      </c>
      <c r="I27" s="505">
        <f>IF(ISERROR('A4-FinPerf RE'!I25/'A4-FinPerf RE'!I22),0,('A4-FinPerf RE'!I25/'A4-FinPerf RE'!I22))</f>
        <v>0.21002014707521516</v>
      </c>
      <c r="J27" s="501">
        <f>IF(ISERROR('A4-FinPerf RE'!J25/'A4-FinPerf RE'!J22),0,('A4-FinPerf RE'!J25/'A4-FinPerf RE'!J22))</f>
        <v>0.1967826817569219</v>
      </c>
      <c r="K27" s="502">
        <f>IF(ISERROR('A4-FinPerf RE'!K25/'A4-FinPerf RE'!K22),0,('A4-FinPerf RE'!K25/'A4-FinPerf RE'!K22))</f>
        <v>0.20823293150868485</v>
      </c>
      <c r="L27" s="503">
        <f>IF(ISERROR('A4-FinPerf RE'!L25/'A4-FinPerf RE'!L22),0,('A4-FinPerf RE'!L25/'A4-FinPerf RE'!L22))</f>
        <v>0.21309686932617056</v>
      </c>
    </row>
    <row r="28" spans="1:13" ht="25.5">
      <c r="A28" s="481" t="s">
        <v>766</v>
      </c>
      <c r="B28" s="475" t="s">
        <v>767</v>
      </c>
      <c r="C28" s="501">
        <f>IF(ISERROR('SA22'!C89/'A4-FinPerf RE'!C22),0,('SA22'!C89/'A4-FinPerf RE'!C22))</f>
        <v>0.27185983487913085</v>
      </c>
      <c r="D28" s="502">
        <f>IF(ISERROR('SA22'!D89/'A4-FinPerf RE'!D22),0,('SA22'!D89/'A4-FinPerf RE'!D22))</f>
        <v>0.29522094233385654</v>
      </c>
      <c r="E28" s="503">
        <f>IF(ISERROR('SA22'!E89/'A4-FinPerf RE'!E22),0,('SA22'!E89/'A4-FinPerf RE'!E22))</f>
        <v>0.22745683506527961</v>
      </c>
      <c r="F28" s="504">
        <f>IF(ISERROR('SA22'!F89/'A4-FinPerf RE'!F22),0,('SA22'!F89/'A4-FinPerf RE'!F22))</f>
        <v>0.25848632616578987</v>
      </c>
      <c r="G28" s="502">
        <f>IF(ISERROR('SA22'!G89/'A4-FinPerf RE'!G22),0,('SA22'!G89/'A4-FinPerf RE'!G22))</f>
        <v>0.20337905955412375</v>
      </c>
      <c r="H28" s="503">
        <f>IF(ISERROR('SA22'!H89/'A4-FinPerf RE'!H22),0,('SA22'!H89/'A4-FinPerf RE'!H22))</f>
        <v>0.20337905968812112</v>
      </c>
      <c r="I28" s="505"/>
      <c r="J28" s="501">
        <f>IF(ISERROR('SA22'!I89/'A4-FinPerf RE'!J22),0,('SA22'!I89/'A4-FinPerf RE'!J22))</f>
        <v>0.18101230286983341</v>
      </c>
      <c r="K28" s="502">
        <f>IF(ISERROR('SA22'!J89/'A4-FinPerf RE'!K22),0,('SA22'!J89/'A4-FinPerf RE'!K22))</f>
        <v>0.18201973947312342</v>
      </c>
      <c r="L28" s="503">
        <f>IF(ISERROR('SA22'!K89/'A4-FinPerf RE'!L22),0,('SA22'!K89/'A4-FinPerf RE'!L22))</f>
        <v>0.18625087949582836</v>
      </c>
    </row>
    <row r="29" spans="1:13" ht="25.5">
      <c r="A29" s="481" t="s">
        <v>631</v>
      </c>
      <c r="B29" s="475" t="s">
        <v>632</v>
      </c>
      <c r="C29" s="501">
        <f>IF(ISERROR('A9-Asset'!#REF!/'A4-FinPerf RE'!C22),0,('A9-Asset'!#REF!/'A4-FinPerf RE'!C22))</f>
        <v>0</v>
      </c>
      <c r="D29" s="502">
        <f>IF(ISERROR('A9-Asset'!#REF!/'A4-FinPerf RE'!D22),0,('A9-Asset'!#REF!/'A4-FinPerf RE'!D22))</f>
        <v>0</v>
      </c>
      <c r="E29" s="503">
        <f>IF(ISERROR('A9-Asset'!#REF!/'A4-FinPerf RE'!E22),0,('A9-Asset'!#REF!/'A4-FinPerf RE'!E22))</f>
        <v>0</v>
      </c>
      <c r="F29" s="504">
        <f>IF(ISERROR('A9-Asset'!#REF!/'A4-FinPerf RE'!F22),0,('A9-Asset'!#REF!/'A4-FinPerf RE'!F22))</f>
        <v>0</v>
      </c>
      <c r="G29" s="502">
        <f>IF(ISERROR('A9-Asset'!#REF!/'A4-FinPerf RE'!G22),0,('A9-Asset'!#REF!/'A4-FinPerf RE'!G22))</f>
        <v>0</v>
      </c>
      <c r="H29" s="503">
        <f>IF(ISERROR('A9-Asset'!#REF!/'A4-FinPerf RE'!H22),0,('A9-Asset'!#REF!/'A4-FinPerf RE'!H22))</f>
        <v>0</v>
      </c>
      <c r="I29" s="505"/>
      <c r="J29" s="501">
        <f>IF(ISERROR('A9-Asset'!#REF!/'A4-FinPerf RE'!I22),0,('A9-Asset'!#REF!/'A4-FinPerf RE'!I22))</f>
        <v>0</v>
      </c>
      <c r="K29" s="502">
        <f>IF(ISERROR('A9-Asset'!#REF!/'A4-FinPerf RE'!J22),0,('A9-Asset'!#REF!/'A4-FinPerf RE'!J22))</f>
        <v>0</v>
      </c>
      <c r="L29" s="503">
        <f>IF(ISERROR('A9-Asset'!#REF!/'A4-FinPerf RE'!K22),0,('A9-Asset'!#REF!/'A4-FinPerf RE'!K22))</f>
        <v>0</v>
      </c>
    </row>
    <row r="30" spans="1:13" ht="25.5">
      <c r="A30" s="481" t="s">
        <v>1579</v>
      </c>
      <c r="B30" s="475" t="s">
        <v>633</v>
      </c>
      <c r="C30" s="501">
        <f>IF(ISERROR(('A4-FinPerf RE'!C29+'A4-FinPerf RE'!C28)/'A4-FinPerf RE'!C22),0,(('A4-FinPerf RE'!C29+'A4-FinPerf RE'!C28)/'A4-FinPerf RE'!C22))</f>
        <v>7.7190367800132983E-2</v>
      </c>
      <c r="D30" s="502">
        <f>IF(ISERROR(('A4-FinPerf RE'!D29+'A4-FinPerf RE'!D28)/'A4-FinPerf RE'!D22),0,(('A4-FinPerf RE'!D29+'A4-FinPerf RE'!D28)/'A4-FinPerf RE'!D22))</f>
        <v>5.7753895445983937E-2</v>
      </c>
      <c r="E30" s="503">
        <f>IF(ISERROR(('A4-FinPerf RE'!E29+'A4-FinPerf RE'!E28)/'A4-FinPerf RE'!E22),0,(('A4-FinPerf RE'!E29+'A4-FinPerf RE'!E28)/'A4-FinPerf RE'!E22))</f>
        <v>7.1033495867938584E-2</v>
      </c>
      <c r="F30" s="504">
        <f>IF(ISERROR(('A4-FinPerf RE'!F29+'A4-FinPerf RE'!F28)/'A4-FinPerf RE'!F22),0,(('A4-FinPerf RE'!F29+'A4-FinPerf RE'!F28)/'A4-FinPerf RE'!F22))</f>
        <v>7.7428492735412163E-2</v>
      </c>
      <c r="G30" s="502">
        <f>IF(ISERROR(('A4-FinPerf RE'!G29+'A4-FinPerf RE'!G28)/'A4-FinPerf RE'!G22),0,(('A4-FinPerf RE'!G29+'A4-FinPerf RE'!G28)/'A4-FinPerf RE'!G22))</f>
        <v>5.7512546147201291E-2</v>
      </c>
      <c r="H30" s="503">
        <f>IF(ISERROR(('A4-FinPerf RE'!H29+'A4-FinPerf RE'!H28)/'A4-FinPerf RE'!H22),0,(('A4-FinPerf RE'!H29+'A4-FinPerf RE'!H28)/'A4-FinPerf RE'!H22))</f>
        <v>5.751254618509373E-2</v>
      </c>
      <c r="I30" s="505">
        <f>IF(ISERROR(('A4-FinPerf RE'!I29+'A4-FinPerf RE'!I28)/'A4-FinPerf RE'!I22),0,(('A4-FinPerf RE'!I29+'A4-FinPerf RE'!I28)/'A4-FinPerf RE'!I22))</f>
        <v>5.7512546222986176E-2</v>
      </c>
      <c r="J30" s="501">
        <f>IF(ISERROR(('A4-FinPerf RE'!J29+'A4-FinPerf RE'!J28)/'A4-FinPerf RE'!J22),0,(('A4-FinPerf RE'!J29+'A4-FinPerf RE'!J28)/'A4-FinPerf RE'!J22))</f>
        <v>5.464159724255363E-2</v>
      </c>
      <c r="K30" s="502">
        <f>IF(ISERROR(('A4-FinPerf RE'!K29+'A4-FinPerf RE'!K28)/'A4-FinPerf RE'!K22),0,(('A4-FinPerf RE'!K29+'A4-FinPerf RE'!K28)/'A4-FinPerf RE'!K22))</f>
        <v>4.1340130689744466E-2</v>
      </c>
      <c r="L30" s="503">
        <f>IF(ISERROR(('A4-FinPerf RE'!L29+'A4-FinPerf RE'!L28)/'A4-FinPerf RE'!L22),0,(('A4-FinPerf RE'!L29+'A4-FinPerf RE'!L28)/'A4-FinPerf RE'!L22))</f>
        <v>4.1960869605513991E-2</v>
      </c>
    </row>
    <row r="31" spans="1:13" ht="25.5">
      <c r="A31" s="506" t="s">
        <v>1800</v>
      </c>
      <c r="B31" s="507"/>
      <c r="C31" s="508"/>
      <c r="D31" s="509"/>
      <c r="E31" s="510"/>
      <c r="F31" s="511"/>
      <c r="G31" s="509"/>
      <c r="H31" s="510"/>
      <c r="I31" s="512"/>
      <c r="J31" s="508"/>
      <c r="K31" s="509"/>
      <c r="L31" s="510"/>
    </row>
    <row r="32" spans="1:13" ht="38.25">
      <c r="A32" s="481" t="s">
        <v>1801</v>
      </c>
      <c r="B32" s="475" t="s">
        <v>1882</v>
      </c>
      <c r="C32" s="491">
        <f>IF(ISERROR(('A4-FinPerf RE'!C22-'A4-FinPerf RE'!C19)/('A7-CFlow'!D9-'A7-CFlow'!D33)),0,(('A4-FinPerf RE'!C22-'A4-FinPerf RE'!C19)/('A7-CFlow'!D9-'A7-CFlow'!D33)))</f>
        <v>15.541066453287</v>
      </c>
      <c r="D32" s="492">
        <f>IF(ISERROR(('A4-FinPerf RE'!D22-'A4-FinPerf RE'!D19)/('A7-CFlow'!E9-'A7-CFlow'!E33)),0,(('A4-FinPerf RE'!D22-'A4-FinPerf RE'!D19)/('A7-CFlow'!E9-'A7-CFlow'!E33)))</f>
        <v>20.846048666788381</v>
      </c>
      <c r="E32" s="493">
        <f>IF(ISERROR(('A4-FinPerf RE'!E22-'A4-FinPerf RE'!E19)/('A7-CFlow'!F9-'A7-CFlow'!F33)),0,(('A4-FinPerf RE'!E22-'A4-FinPerf RE'!E19)/('A7-CFlow'!F9-'A7-CFlow'!F33)))</f>
        <v>29.232508910064062</v>
      </c>
      <c r="F32" s="494">
        <f>IF(ISERROR(('A4-FinPerf RE'!F22-'A4-FinPerf RE'!F19)/('A7-CFlow'!G9-'A7-CFlow'!G33)),0,(('A4-FinPerf RE'!F22-'A4-FinPerf RE'!F19)/('A7-CFlow'!G9-'A7-CFlow'!G33)))</f>
        <v>28.28559415312596</v>
      </c>
      <c r="G32" s="492">
        <f>F32</f>
        <v>28.28559415312596</v>
      </c>
      <c r="H32" s="493">
        <f>G32</f>
        <v>28.28559415312596</v>
      </c>
      <c r="I32" s="495">
        <f>IF(ISERROR(('A4-FinPerf RE'!I22-'A4-FinPerf RE'!I19)/('A7-CFlow'!J9-'A7-CFlow'!J33)),0,(('A4-FinPerf RE'!I22-'A4-FinPerf RE'!I19)/('A7-CFlow'!J9-'A7-CFlow'!J33)))</f>
        <v>33.39906131184339</v>
      </c>
      <c r="J32" s="491">
        <f>IF(ISERROR(('A4-FinPerf RE'!J22-'A4-FinPerf RE'!J19)/('A7-CFlow'!K9-'A7-CFlow'!K33)),0,(('A4-FinPerf RE'!J22-'A4-FinPerf RE'!J19)/('A7-CFlow'!K9-'A7-CFlow'!K33)))</f>
        <v>36.106993263992472</v>
      </c>
      <c r="K32" s="492">
        <f>IF(ISERROR(('A4-FinPerf RE'!K22-'A4-FinPerf RE'!K19)/('A7-CFlow'!L9-'A7-CFlow'!L33)),0,(('A4-FinPerf RE'!K22-'A4-FinPerf RE'!K19)/('A7-CFlow'!L9-'A7-CFlow'!L33)))</f>
        <v>37.096559924806208</v>
      </c>
      <c r="L32" s="493">
        <f>IF(ISERROR(('A4-FinPerf RE'!L22-'A4-FinPerf RE'!L19)/('A7-CFlow'!L9-'A7-CFlow'!L33)),0,(('A4-FinPerf RE'!L22-'A4-FinPerf RE'!L19)/('A7-CFlow'!L9-'A7-CFlow'!L33)))</f>
        <v>38.576305664316187</v>
      </c>
    </row>
    <row r="33" spans="1:13" ht="25.5">
      <c r="A33" s="481" t="s">
        <v>1802</v>
      </c>
      <c r="B33" s="475" t="s">
        <v>790</v>
      </c>
      <c r="C33" s="501">
        <f>IF(ISERROR(('A6-FinPos'!C8+'A6-FinPos'!C9+'A6-FinPos'!C10)/SUM('A4-FinPerf RE'!C5:C12)),0,(('A6-FinPos'!C8+'A6-FinPos'!C9+'A6-FinPos'!C10)/SUM('A4-FinPerf RE'!C5:C12)))</f>
        <v>0.24886213827736783</v>
      </c>
      <c r="D33" s="502">
        <f>IF(ISERROR(('A6-FinPos'!D8+'A6-FinPos'!D9+'A6-FinPos'!D10)/SUM('A4-FinPerf RE'!D5:D12)),0,(('A6-FinPos'!D8+'A6-FinPos'!D9+'A6-FinPos'!D10)/SUM('A4-FinPerf RE'!D5:D12)))</f>
        <v>0.2616636170653095</v>
      </c>
      <c r="E33" s="503">
        <f>IF(ISERROR(('A6-FinPos'!E8+'A6-FinPos'!E9+'A6-FinPos'!E10)/SUM('A4-FinPerf RE'!E5:E12)),0,(('A6-FinPos'!E8+'A6-FinPos'!E9+'A6-FinPos'!E10)/SUM('A4-FinPerf RE'!E5:E12)))</f>
        <v>0.15163855972452034</v>
      </c>
      <c r="F33" s="504">
        <f>IF(ISERROR(('A6-FinPos'!F8+'A6-FinPos'!F9+'A6-FinPos'!F10)/SUM('A4-FinPerf RE'!F5:F12)),0,(('A6-FinPos'!F8+'A6-FinPos'!F9+'A6-FinPos'!F10)/SUM('A4-FinPerf RE'!F5:F12)))</f>
        <v>0.30023703588768713</v>
      </c>
      <c r="G33" s="502">
        <f>IF(ISERROR(('A6-FinPos'!G8+'A6-FinPos'!G9+'A6-FinPos'!G10)/SUM('A4-FinPerf RE'!G5:G12)),0,(('A6-FinPos'!G8+'A6-FinPos'!G9+'A6-FinPos'!G10)/SUM('A4-FinPerf RE'!G5:G12)))</f>
        <v>0.40139118031255339</v>
      </c>
      <c r="H33" s="503">
        <f>IF(ISERROR(('A6-FinPos'!H8+'A6-FinPos'!H9+'A6-FinPos'!H10)/SUM('A4-FinPerf RE'!H5:H12)),0,(('A6-FinPos'!H8+'A6-FinPos'!H9+'A6-FinPos'!H10)/SUM('A4-FinPerf RE'!H5:H12)))</f>
        <v>0.40139118072321661</v>
      </c>
      <c r="I33" s="505">
        <f>IF(ISERROR(('A6-FinPos'!I8+'A6-FinPos'!I9+'A6-FinPos'!I10)/SUM('A4-FinPerf RE'!I5:I12)),0,(('A6-FinPos'!I8+'A6-FinPos'!I9+'A6-FinPos'!I10)/SUM('A4-FinPerf RE'!I5:I12)))</f>
        <v>0.40139118113387978</v>
      </c>
      <c r="J33" s="501">
        <f>IF(ISERROR(('A6-FinPos'!J8+'A6-FinPos'!J9+'A6-FinPos'!J10)/SUM('A4-FinPerf RE'!J5:J12)),0,(('A6-FinPos'!J8+'A6-FinPos'!J9+'A6-FinPos'!J10)/SUM('A4-FinPerf RE'!J5:J12)))</f>
        <v>0.36857984966630614</v>
      </c>
      <c r="K33" s="502">
        <f>IF(ISERROR(('A6-FinPos'!K8+'A6-FinPos'!K9+'A6-FinPos'!K10)/SUM('A4-FinPerf RE'!K5:K12)),0,(('A6-FinPos'!K8+'A6-FinPos'!K9+'A6-FinPos'!K10)/SUM('A4-FinPerf RE'!K5:K12)))</f>
        <v>0.38588669881546789</v>
      </c>
      <c r="L33" s="503">
        <f>IF(ISERROR(('A6-FinPos'!L8+'A6-FinPos'!L9+'A6-FinPos'!L10)/SUM('A4-FinPerf RE'!L5:L12)),0,(('A6-FinPos'!L8+'A6-FinPos'!L9+'A6-FinPos'!L10)/SUM('A4-FinPerf RE'!L5:L12)))</f>
        <v>0.39916109085302992</v>
      </c>
    </row>
    <row r="34" spans="1:13" ht="25.5">
      <c r="A34" s="513" t="s">
        <v>1803</v>
      </c>
      <c r="B34" s="514" t="s">
        <v>1699</v>
      </c>
      <c r="C34" s="515">
        <f>IF(ISERROR('A7-CFlow'!C38/'SA8'!C41),0,('A7-CFlow'!C38/'SA8'!C41))</f>
        <v>0.46042051176510157</v>
      </c>
      <c r="D34" s="516">
        <f>IF(ISERROR('A7-CFlow'!D38/'SA8'!D41),0,('A7-CFlow'!D38/'SA8'!D41))</f>
        <v>3.5582807781414436</v>
      </c>
      <c r="E34" s="517">
        <f>IF(ISERROR('A7-CFlow'!E38/'SA8'!E41),0,('A7-CFlow'!E38/'SA8'!E41))</f>
        <v>3.0693014562697654</v>
      </c>
      <c r="F34" s="518">
        <f>IF(ISERROR('A7-CFlow'!F38/'SA8'!F41),0,('A7-CFlow'!F38/'SA8'!F41))</f>
        <v>0.62588701310137074</v>
      </c>
      <c r="G34" s="516">
        <f>IF(ISERROR('A7-CFlow'!G38/'SA8'!G41),0,('A7-CFlow'!G38/'SA8'!G41))</f>
        <v>1.8647410321134146</v>
      </c>
      <c r="H34" s="517">
        <f>IF(ISERROR('A7-CFlow'!H38/'SA8'!H41),0,('A7-CFlow'!H38/'SA8'!H41))</f>
        <v>1.8647410321134146</v>
      </c>
      <c r="I34" s="519">
        <f>IF(ISERROR('A7-CFlow'!I38/'SA8'!I41),0,('A7-CFlow'!I38/'SA8'!I41))</f>
        <v>1.8647410321134146</v>
      </c>
      <c r="J34" s="515">
        <f>IF(ISERROR('A7-CFlow'!J38/'SA8'!J41),0,('A7-CFlow'!J38/'SA8'!J41))</f>
        <v>1.324579385830347</v>
      </c>
      <c r="K34" s="516">
        <f>IF(ISERROR('A7-CFlow'!K38/'SA8'!K41),0,('A7-CFlow'!K38/'SA8'!K41))</f>
        <v>2.3100578535677507</v>
      </c>
      <c r="L34" s="517">
        <f>IF(ISERROR('A7-CFlow'!L38/'SA8'!L41),0,('A7-CFlow'!L38/'SA8'!L41))</f>
        <v>3.3786115908340437</v>
      </c>
    </row>
    <row r="35" spans="1:13">
      <c r="A35" s="358" t="str">
        <f>head27a</f>
        <v>References</v>
      </c>
    </row>
    <row r="36" spans="1:13">
      <c r="A36" s="465" t="s">
        <v>1396</v>
      </c>
    </row>
    <row r="37" spans="1:13">
      <c r="A37" s="465" t="s">
        <v>1395</v>
      </c>
    </row>
    <row r="39" spans="1:13">
      <c r="A39" s="468" t="s">
        <v>846</v>
      </c>
    </row>
    <row r="40" spans="1:13">
      <c r="A40" s="150" t="s">
        <v>1577</v>
      </c>
      <c r="C40" s="366"/>
      <c r="D40" s="366"/>
      <c r="E40" s="1769"/>
      <c r="F40" s="1769"/>
      <c r="G40" s="1769"/>
      <c r="H40" s="1769"/>
      <c r="I40" s="1769"/>
      <c r="J40" s="1769"/>
      <c r="K40" s="1769"/>
      <c r="L40" s="1769"/>
      <c r="M40" s="373"/>
    </row>
    <row r="41" spans="1:13">
      <c r="A41" s="150" t="s">
        <v>1582</v>
      </c>
      <c r="C41" s="310">
        <f>(('A4-FinPerf RE'!C25+'A4-FinPerf RE'!C26+'A4-FinPerf RE'!C27+'A4-FinPerf RE'!C29+'A4-FinPerf RE'!C30+'A4-FinPerf RE'!C32+'A4-FinPerf RE'!C33)+(('A4-FinPerf RE'!C31+'A4-FinPerf RE'!C34)*'SA8'!C42))/12</f>
        <v>93164155.166666672</v>
      </c>
      <c r="D41" s="310">
        <f>(('A4-FinPerf RE'!D25+'A4-FinPerf RE'!D26+'A4-FinPerf RE'!D27+'A4-FinPerf RE'!D29+'A4-FinPerf RE'!D30+'A4-FinPerf RE'!D32+'A4-FinPerf RE'!D33)+(('A4-FinPerf RE'!D31+'A4-FinPerf RE'!D34)*'SA8'!D42))/12</f>
        <v>101312553.58333333</v>
      </c>
      <c r="E41" s="310">
        <f>(('A4-FinPerf RE'!E25+'A4-FinPerf RE'!E26+'A4-FinPerf RE'!E27+'A4-FinPerf RE'!E29+'A4-FinPerf RE'!E30+'A4-FinPerf RE'!E32+'A4-FinPerf RE'!E33)+(('A4-FinPerf RE'!E31+'A4-FinPerf RE'!E34)*'SA8'!E42))/12</f>
        <v>152314670.83333334</v>
      </c>
      <c r="F41" s="310">
        <f>(('A4-FinPerf RE'!F25+'A4-FinPerf RE'!F26+'A4-FinPerf RE'!F27+'A4-FinPerf RE'!F29+'A4-FinPerf RE'!F30+'A4-FinPerf RE'!F32+'A4-FinPerf RE'!F33)+(('A4-FinPerf RE'!F31+'A4-FinPerf RE'!F34)*'SA8'!F42))/12</f>
        <v>150987235.75</v>
      </c>
      <c r="G41" s="310">
        <f>(('A4-FinPerf RE'!G25+'A4-FinPerf RE'!G26+'A4-FinPerf RE'!G27+'A4-FinPerf RE'!G29+'A4-FinPerf RE'!G30+'A4-FinPerf RE'!G32+'A4-FinPerf RE'!G33)+(('A4-FinPerf RE'!G31+'A4-FinPerf RE'!G34)*'SA8'!G42))/12</f>
        <v>153139037.58333334</v>
      </c>
      <c r="H41" s="310">
        <f>(('A4-FinPerf RE'!H25+'A4-FinPerf RE'!H26+'A4-FinPerf RE'!H27+'A4-FinPerf RE'!H29+'A4-FinPerf RE'!H30+'A4-FinPerf RE'!H32+'A4-FinPerf RE'!H33)+(('A4-FinPerf RE'!H31+'A4-FinPerf RE'!H34)*'SA8'!H42))/12</f>
        <v>153139037.58333334</v>
      </c>
      <c r="I41" s="310">
        <f>(('A4-FinPerf RE'!I25+'A4-FinPerf RE'!I26+'A4-FinPerf RE'!I27+'A4-FinPerf RE'!I29+'A4-FinPerf RE'!I30+'A4-FinPerf RE'!I32+'A4-FinPerf RE'!I33)+(('A4-FinPerf RE'!I31+'A4-FinPerf RE'!I34)*'SA8'!I42))/12</f>
        <v>153139037.58333334</v>
      </c>
      <c r="J41" s="310">
        <f>(('A4-FinPerf RE'!J25+'A4-FinPerf RE'!J26+'A4-FinPerf RE'!J27+'A4-FinPerf RE'!J29+'A4-FinPerf RE'!J30+'A4-FinPerf RE'!J32+'A4-FinPerf RE'!J33)+(('A4-FinPerf RE'!J31+'A4-FinPerf RE'!J34)*'SA8'!J42))/12</f>
        <v>180063705.16666666</v>
      </c>
      <c r="K41" s="310">
        <f>(('A4-FinPerf RE'!K25+'A4-FinPerf RE'!K26+'A4-FinPerf RE'!K27+'A4-FinPerf RE'!K29+'A4-FinPerf RE'!K30+'A4-FinPerf RE'!K32+'A4-FinPerf RE'!K33)+(('A4-FinPerf RE'!K31+'A4-FinPerf RE'!K34)*'SA8'!K42))/12</f>
        <v>192607943.26549998</v>
      </c>
      <c r="L41" s="310">
        <f>(('A4-FinPerf RE'!L25+'A4-FinPerf RE'!L26+'A4-FinPerf RE'!L27+'A4-FinPerf RE'!L29+'A4-FinPerf RE'!L30+'A4-FinPerf RE'!L32+'A4-FinPerf RE'!L33)+(('A4-FinPerf RE'!L31+'A4-FinPerf RE'!L34)*'SA8'!L42))/12</f>
        <v>204095497.94676915</v>
      </c>
    </row>
    <row r="42" spans="1:13">
      <c r="A42" s="150" t="s">
        <v>1583</v>
      </c>
      <c r="C42" s="1868"/>
      <c r="D42" s="522">
        <f>$C$42</f>
        <v>0</v>
      </c>
      <c r="E42" s="522">
        <f t="shared" ref="E42:L42" si="1">$C$42</f>
        <v>0</v>
      </c>
      <c r="F42" s="522">
        <f t="shared" si="1"/>
        <v>0</v>
      </c>
      <c r="G42" s="522">
        <f t="shared" si="1"/>
        <v>0</v>
      </c>
      <c r="H42" s="522">
        <f t="shared" si="1"/>
        <v>0</v>
      </c>
      <c r="I42" s="522">
        <f t="shared" si="1"/>
        <v>0</v>
      </c>
      <c r="J42" s="522">
        <f t="shared" si="1"/>
        <v>0</v>
      </c>
      <c r="K42" s="522">
        <f t="shared" si="1"/>
        <v>0</v>
      </c>
      <c r="L42" s="522">
        <f t="shared" si="1"/>
        <v>0</v>
      </c>
    </row>
    <row r="43" spans="1:13">
      <c r="A43" s="150" t="s">
        <v>982</v>
      </c>
      <c r="C43" s="523">
        <f>'A5-Capex'!C21-'A5-Capex'!C70-'A5-Capex'!C71</f>
        <v>-98779133</v>
      </c>
      <c r="D43" s="523">
        <f>'A5-Capex'!D21-'A5-Capex'!D70-'A5-Capex'!D71</f>
        <v>-86817000</v>
      </c>
      <c r="E43" s="523">
        <f>'A5-Capex'!E21-'A5-Capex'!E70-'A5-Capex'!E71</f>
        <v>97626255</v>
      </c>
      <c r="F43" s="523">
        <f>'A5-Capex'!F21-'A5-Capex'!F70-'A5-Capex'!F71</f>
        <v>159424000</v>
      </c>
      <c r="G43" s="523">
        <f>'A5-Capex'!G21-'A5-Capex'!G70-'A5-Capex'!G71</f>
        <v>268034741</v>
      </c>
      <c r="H43" s="523">
        <f>'A5-Capex'!H21-'A5-Capex'!H70-'A5-Capex'!H71</f>
        <v>268034741</v>
      </c>
      <c r="I43" s="523">
        <f>'A5-Capex'!I21-'A5-Capex'!I70-'A5-Capex'!I71</f>
        <v>268034741</v>
      </c>
      <c r="J43" s="523">
        <f>'A5-Capex'!J21-'A5-Capex'!J70-'A5-Capex'!J71</f>
        <v>108191300</v>
      </c>
      <c r="K43" s="523">
        <f>'A5-Capex'!K21-'A5-Capex'!K70-'A5-Capex'!K71</f>
        <v>48561300</v>
      </c>
      <c r="L43" s="523">
        <f>'A5-Capex'!L21-'A5-Capex'!L70-'A5-Capex'!L71</f>
        <v>0</v>
      </c>
    </row>
    <row r="44" spans="1:13">
      <c r="A44" s="150" t="s">
        <v>1392</v>
      </c>
      <c r="C44" s="523">
        <f>'A7-CFlow'!C29+'A7-CFlow'!C30</f>
        <v>90000000</v>
      </c>
      <c r="D44" s="523">
        <f>'A7-CFlow'!D29+'A7-CFlow'!D30</f>
        <v>120000000</v>
      </c>
      <c r="E44" s="523">
        <f>'A7-CFlow'!E29+'A7-CFlow'!E30</f>
        <v>201427600</v>
      </c>
      <c r="F44" s="523">
        <f>'A7-CFlow'!F29+'A7-CFlow'!F30</f>
        <v>158155000</v>
      </c>
      <c r="G44" s="523">
        <f>'A7-CFlow'!G29+'A7-CFlow'!G30</f>
        <v>226524000</v>
      </c>
      <c r="H44" s="523">
        <f>'A7-CFlow'!H29+'A7-CFlow'!H30</f>
        <v>226524000</v>
      </c>
      <c r="I44" s="523">
        <f>'A7-CFlow'!I29+'A7-CFlow'!I30</f>
        <v>226524000</v>
      </c>
      <c r="J44" s="523">
        <f>'A7-CFlow'!J29+'A7-CFlow'!J30</f>
        <v>181219200</v>
      </c>
      <c r="K44" s="523">
        <f>'A7-CFlow'!K29+'A7-CFlow'!K30</f>
        <v>144975360</v>
      </c>
      <c r="L44" s="523">
        <f>'A7-CFlow'!L29+'A7-CFlow'!L30</f>
        <v>115980288</v>
      </c>
    </row>
  </sheetData>
  <sheetProtection password="A35B" sheet="1" objects="1" scenarios="1"/>
  <mergeCells count="4">
    <mergeCell ref="A2:A3"/>
    <mergeCell ref="J2:L2"/>
    <mergeCell ref="B2:B3"/>
    <mergeCell ref="F2:I2"/>
  </mergeCells>
  <phoneticPr fontId="2" type="noConversion"/>
  <dataValidations count="1">
    <dataValidation type="whole" allowBlank="1" showInputMessage="1" showErrorMessage="1" sqref="C19:L19 C21:L21 C23:L23 C25:L26">
      <formula1>-9999999999999990</formula1>
      <formula2>99999999999999900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L64"/>
  <sheetViews>
    <sheetView showGridLines="0" workbookViewId="0">
      <pane xSplit="2" ySplit="2" topLeftCell="C24" activePane="bottomRight" state="frozen"/>
      <selection activeCell="O37" sqref="A1:IV65536"/>
      <selection pane="topRight" activeCell="O37" sqref="A1:IV65536"/>
      <selection pane="bottomLeft" activeCell="O37" sqref="A1:IV65536"/>
      <selection pane="bottomRight" activeCell="G44" sqref="G44"/>
    </sheetView>
  </sheetViews>
  <sheetFormatPr defaultRowHeight="11.25" customHeight="1"/>
  <cols>
    <col min="1" max="1" width="29.7109375" style="150" customWidth="1"/>
    <col min="2" max="2" width="20.7109375" style="150" customWidth="1"/>
    <col min="3" max="3" width="8.7109375" style="150" customWidth="1"/>
    <col min="4" max="12" width="9.28515625" style="150" customWidth="1"/>
    <col min="13" max="16384" width="9.140625" style="150"/>
  </cols>
  <sheetData>
    <row r="1" spans="1:12" s="180" customFormat="1" ht="12.75">
      <c r="A1" s="148" t="str">
        <f>muni&amp;" - "&amp;TableA9</f>
        <v>KZN225 Msunduzi - Supporting Table SA9 Social, economic and demographic statistics and assumptions</v>
      </c>
      <c r="B1" s="148"/>
      <c r="C1" s="148"/>
      <c r="D1" s="148"/>
      <c r="E1" s="148"/>
      <c r="F1" s="148"/>
      <c r="G1" s="148"/>
      <c r="H1" s="148"/>
      <c r="I1" s="148"/>
      <c r="J1" s="148"/>
      <c r="K1" s="148"/>
      <c r="L1" s="148"/>
    </row>
    <row r="2" spans="1:12" ht="33.75" customHeight="1">
      <c r="A2" s="524" t="s">
        <v>682</v>
      </c>
      <c r="B2" s="525" t="s">
        <v>1172</v>
      </c>
      <c r="C2" s="525" t="str">
        <f>Head44</f>
        <v>1996 Census</v>
      </c>
      <c r="D2" s="525" t="str">
        <f>Head45</f>
        <v>2001 Census</v>
      </c>
      <c r="E2" s="525" t="s">
        <v>208</v>
      </c>
      <c r="F2" s="526" t="str">
        <f>head1b</f>
        <v>2007/8</v>
      </c>
      <c r="G2" s="527" t="str">
        <f>head1A</f>
        <v>2008/9</v>
      </c>
      <c r="H2" s="528" t="str">
        <f>Head1</f>
        <v>2009/10</v>
      </c>
      <c r="I2" s="529" t="str">
        <f>Head2</f>
        <v>Current Year 2010/11</v>
      </c>
      <c r="J2" s="2453" t="str">
        <f>Head3</f>
        <v>2011/12 Medium Term Revenue &amp; Expenditure Framework</v>
      </c>
      <c r="K2" s="2453"/>
      <c r="L2" s="2454"/>
    </row>
    <row r="3" spans="1:12" ht="11.25" customHeight="1">
      <c r="A3" s="530" t="s">
        <v>687</v>
      </c>
      <c r="B3" s="531"/>
      <c r="C3" s="532"/>
      <c r="D3" s="532"/>
      <c r="E3" s="532"/>
      <c r="F3" s="473"/>
      <c r="G3" s="442"/>
      <c r="H3" s="533"/>
      <c r="I3" s="534"/>
      <c r="J3" s="474"/>
      <c r="K3" s="442"/>
      <c r="L3" s="472"/>
    </row>
    <row r="4" spans="1:12" ht="11.25" customHeight="1">
      <c r="A4" s="305" t="s">
        <v>1209</v>
      </c>
      <c r="B4" s="2278" t="s">
        <v>2210</v>
      </c>
      <c r="C4" s="1870"/>
      <c r="D4" s="1870"/>
      <c r="E4" s="2280" t="s">
        <v>2213</v>
      </c>
      <c r="F4" s="2288">
        <v>616730</v>
      </c>
      <c r="G4" s="2288">
        <v>616730</v>
      </c>
      <c r="H4" s="2217">
        <v>616730</v>
      </c>
      <c r="I4" s="2217">
        <v>616730</v>
      </c>
      <c r="J4" s="2217">
        <v>616730</v>
      </c>
      <c r="K4" s="1871"/>
      <c r="L4" s="1872"/>
    </row>
    <row r="5" spans="1:12" ht="11.25" customHeight="1">
      <c r="A5" s="536" t="s">
        <v>1207</v>
      </c>
      <c r="B5" s="2278" t="s">
        <v>2210</v>
      </c>
      <c r="C5" s="1870"/>
      <c r="D5" s="1870"/>
      <c r="E5" s="2280" t="s">
        <v>2214</v>
      </c>
      <c r="F5" s="2288">
        <v>60191</v>
      </c>
      <c r="G5" s="2288">
        <v>60191</v>
      </c>
      <c r="H5" s="2217">
        <v>60191</v>
      </c>
      <c r="I5" s="2217">
        <v>60191</v>
      </c>
      <c r="J5" s="2217">
        <v>60191</v>
      </c>
      <c r="K5" s="1873"/>
      <c r="L5" s="1874"/>
    </row>
    <row r="6" spans="1:12" ht="11.25" customHeight="1">
      <c r="A6" s="536" t="s">
        <v>131</v>
      </c>
      <c r="B6" s="2278" t="s">
        <v>2210</v>
      </c>
      <c r="C6" s="1870"/>
      <c r="D6" s="1870"/>
      <c r="E6" s="2281" t="s">
        <v>2215</v>
      </c>
      <c r="F6" s="2281">
        <v>62027</v>
      </c>
      <c r="G6" s="2281">
        <v>62027</v>
      </c>
      <c r="H6" s="2217">
        <v>62027</v>
      </c>
      <c r="I6" s="2217">
        <v>62027</v>
      </c>
      <c r="J6" s="2217">
        <v>62027</v>
      </c>
      <c r="K6" s="1873"/>
      <c r="L6" s="1874"/>
    </row>
    <row r="7" spans="1:12" ht="11.25" customHeight="1">
      <c r="A7" s="536" t="s">
        <v>1208</v>
      </c>
      <c r="B7" s="2278" t="s">
        <v>2210</v>
      </c>
      <c r="C7" s="1870"/>
      <c r="D7" s="1870"/>
      <c r="E7" s="2281" t="s">
        <v>2216</v>
      </c>
      <c r="F7" s="2281">
        <v>121878</v>
      </c>
      <c r="G7" s="2281">
        <v>121878</v>
      </c>
      <c r="H7" s="2217">
        <v>121878</v>
      </c>
      <c r="I7" s="2217">
        <v>121878</v>
      </c>
      <c r="J7" s="2217">
        <v>121878</v>
      </c>
      <c r="K7" s="1873"/>
      <c r="L7" s="1874"/>
    </row>
    <row r="8" spans="1:12" ht="11.25" customHeight="1">
      <c r="A8" s="536" t="s">
        <v>132</v>
      </c>
      <c r="B8" s="2278" t="s">
        <v>2210</v>
      </c>
      <c r="C8" s="1870"/>
      <c r="D8" s="1870"/>
      <c r="E8" s="2281" t="s">
        <v>2217</v>
      </c>
      <c r="F8" s="2281">
        <v>122889</v>
      </c>
      <c r="G8" s="2281">
        <v>122889</v>
      </c>
      <c r="H8" s="2217">
        <v>122889</v>
      </c>
      <c r="I8" s="2217">
        <v>122889</v>
      </c>
      <c r="J8" s="2217">
        <v>122889</v>
      </c>
      <c r="K8" s="1873"/>
      <c r="L8" s="1874"/>
    </row>
    <row r="9" spans="1:12" ht="11.25" customHeight="1">
      <c r="A9" s="1149" t="s">
        <v>1210</v>
      </c>
      <c r="B9" s="2278" t="s">
        <v>2210</v>
      </c>
      <c r="C9" s="1875"/>
      <c r="D9" s="1875"/>
      <c r="E9" s="2282" t="s">
        <v>2218</v>
      </c>
      <c r="F9" s="2282">
        <v>97816</v>
      </c>
      <c r="G9" s="2282">
        <v>97816</v>
      </c>
      <c r="H9" s="2218">
        <v>97816</v>
      </c>
      <c r="I9" s="2218">
        <v>97816</v>
      </c>
      <c r="J9" s="2218">
        <v>97816</v>
      </c>
      <c r="K9" s="1876"/>
      <c r="L9" s="1877"/>
    </row>
    <row r="10" spans="1:12" ht="5.0999999999999996" customHeight="1">
      <c r="A10" s="536"/>
      <c r="B10" s="540"/>
      <c r="C10" s="538"/>
      <c r="D10" s="538"/>
      <c r="E10" s="538"/>
      <c r="F10" s="454"/>
      <c r="G10" s="444"/>
      <c r="H10" s="541"/>
      <c r="I10" s="446"/>
      <c r="J10" s="542"/>
      <c r="K10" s="444"/>
      <c r="L10" s="453"/>
    </row>
    <row r="11" spans="1:12" ht="11.25" customHeight="1">
      <c r="A11" s="539" t="s">
        <v>548</v>
      </c>
      <c r="B11" s="540"/>
      <c r="C11" s="538"/>
      <c r="D11" s="538"/>
      <c r="E11" s="538"/>
      <c r="F11" s="454"/>
      <c r="G11" s="444"/>
      <c r="H11" s="541"/>
      <c r="I11" s="446"/>
      <c r="J11" s="542"/>
      <c r="K11" s="444"/>
      <c r="L11" s="453"/>
    </row>
    <row r="12" spans="1:12" ht="11.25" customHeight="1">
      <c r="A12" s="1878" t="s">
        <v>1211</v>
      </c>
      <c r="B12" s="2278" t="s">
        <v>2210</v>
      </c>
      <c r="C12" s="1879"/>
      <c r="D12" s="1879"/>
      <c r="E12" s="2281">
        <v>208275</v>
      </c>
      <c r="F12" s="2281">
        <v>208275</v>
      </c>
      <c r="G12" s="2281">
        <v>208275</v>
      </c>
      <c r="H12" s="1813">
        <v>208275</v>
      </c>
      <c r="I12" s="1813">
        <v>208275</v>
      </c>
      <c r="J12" s="1813">
        <v>208275</v>
      </c>
      <c r="K12" s="1814"/>
      <c r="L12" s="1815"/>
    </row>
    <row r="13" spans="1:12" ht="11.25" customHeight="1">
      <c r="A13" s="1878" t="s">
        <v>1212</v>
      </c>
      <c r="B13" s="2278" t="s">
        <v>2211</v>
      </c>
      <c r="C13" s="1879"/>
      <c r="D13" s="1879"/>
      <c r="E13" s="2281">
        <v>78969</v>
      </c>
      <c r="F13" s="2281">
        <v>78969</v>
      </c>
      <c r="G13" s="2281">
        <v>78969</v>
      </c>
      <c r="H13" s="1813">
        <v>78969</v>
      </c>
      <c r="I13" s="1813">
        <v>78969</v>
      </c>
      <c r="J13" s="1813">
        <v>78969</v>
      </c>
      <c r="K13" s="1814"/>
      <c r="L13" s="1815"/>
    </row>
    <row r="14" spans="1:12" ht="11.25" customHeight="1">
      <c r="A14" s="1880" t="s">
        <v>1213</v>
      </c>
      <c r="B14" s="2278" t="s">
        <v>2211</v>
      </c>
      <c r="C14" s="1881"/>
      <c r="D14" s="1881"/>
      <c r="E14" s="2283">
        <v>77510</v>
      </c>
      <c r="F14" s="2283">
        <v>77510</v>
      </c>
      <c r="G14" s="2283">
        <v>77510</v>
      </c>
      <c r="H14" s="2219">
        <v>77510</v>
      </c>
      <c r="I14" s="2219">
        <v>77510</v>
      </c>
      <c r="J14" s="2219">
        <v>77510</v>
      </c>
      <c r="K14" s="1882"/>
      <c r="L14" s="1883"/>
    </row>
    <row r="15" spans="1:12" ht="5.0999999999999996" customHeight="1">
      <c r="A15" s="536"/>
      <c r="B15" s="535"/>
      <c r="C15" s="543"/>
      <c r="D15" s="543"/>
      <c r="E15" s="543"/>
      <c r="F15" s="462"/>
      <c r="G15" s="460"/>
      <c r="H15" s="544"/>
      <c r="I15" s="545"/>
      <c r="J15" s="463"/>
      <c r="K15" s="460"/>
      <c r="L15" s="461"/>
    </row>
    <row r="16" spans="1:12" ht="11.25" customHeight="1">
      <c r="A16" s="539" t="s">
        <v>390</v>
      </c>
      <c r="B16" s="535"/>
      <c r="C16" s="543"/>
      <c r="D16" s="543"/>
      <c r="E16" s="543"/>
      <c r="F16" s="462"/>
      <c r="G16" s="460"/>
      <c r="H16" s="544"/>
      <c r="I16" s="545"/>
      <c r="J16" s="463"/>
      <c r="K16" s="460"/>
      <c r="L16" s="461"/>
    </row>
    <row r="17" spans="1:12" ht="11.25" customHeight="1">
      <c r="A17" s="1878" t="s">
        <v>1185</v>
      </c>
      <c r="B17" s="1869"/>
      <c r="C17" s="1884"/>
      <c r="D17" s="1884"/>
      <c r="E17" s="1884"/>
      <c r="F17" s="1885"/>
      <c r="G17" s="1886"/>
      <c r="H17" s="1887"/>
      <c r="I17" s="1888"/>
      <c r="J17" s="1889"/>
      <c r="K17" s="1886"/>
      <c r="L17" s="1890"/>
    </row>
    <row r="18" spans="1:12" ht="5.0999999999999996" customHeight="1">
      <c r="A18" s="1150"/>
      <c r="B18" s="1151"/>
      <c r="C18" s="1152"/>
      <c r="D18" s="1152"/>
      <c r="E18" s="1152"/>
      <c r="F18" s="1153"/>
      <c r="G18" s="1154"/>
      <c r="H18" s="1155"/>
      <c r="I18" s="1156"/>
      <c r="J18" s="1157"/>
      <c r="K18" s="1154"/>
      <c r="L18" s="1158"/>
    </row>
    <row r="19" spans="1:12" ht="11.25" customHeight="1">
      <c r="A19" s="539" t="s">
        <v>1983</v>
      </c>
      <c r="B19" s="535"/>
      <c r="C19" s="543"/>
      <c r="D19" s="543"/>
      <c r="E19" s="543"/>
      <c r="F19" s="462"/>
      <c r="G19" s="460"/>
      <c r="H19" s="544"/>
      <c r="I19" s="545"/>
      <c r="J19" s="463"/>
      <c r="K19" s="460"/>
      <c r="L19" s="461"/>
    </row>
    <row r="20" spans="1:12" ht="11.25" customHeight="1">
      <c r="A20" s="1878" t="s">
        <v>1984</v>
      </c>
      <c r="B20" s="2278" t="s">
        <v>2212</v>
      </c>
      <c r="C20" s="1884"/>
      <c r="D20" s="1884"/>
      <c r="E20" s="2281">
        <v>616730</v>
      </c>
      <c r="F20" s="2281">
        <v>616730</v>
      </c>
      <c r="G20" s="2281">
        <v>616730</v>
      </c>
      <c r="H20" s="2220">
        <v>616730</v>
      </c>
      <c r="I20" s="2220">
        <v>616730</v>
      </c>
      <c r="J20" s="2220">
        <v>616730</v>
      </c>
      <c r="K20" s="1708"/>
      <c r="L20" s="1711"/>
    </row>
    <row r="21" spans="1:12" ht="11.25" customHeight="1">
      <c r="A21" s="1878" t="s">
        <v>1985</v>
      </c>
      <c r="B21" s="2278"/>
      <c r="C21" s="1884"/>
      <c r="D21" s="1884"/>
      <c r="E21" s="2284"/>
      <c r="F21" s="2284"/>
      <c r="G21" s="2284"/>
      <c r="H21" s="1084"/>
      <c r="I21" s="1084"/>
      <c r="J21" s="1084"/>
      <c r="K21" s="1708"/>
      <c r="L21" s="1711"/>
    </row>
    <row r="22" spans="1:12" ht="11.25" customHeight="1">
      <c r="A22" s="1878" t="s">
        <v>1986</v>
      </c>
      <c r="B22" s="2278" t="s">
        <v>2212</v>
      </c>
      <c r="C22" s="1884"/>
      <c r="D22" s="1884"/>
      <c r="E22" s="2281">
        <v>134390</v>
      </c>
      <c r="F22" s="2281">
        <v>134390</v>
      </c>
      <c r="G22" s="2281">
        <v>134390</v>
      </c>
      <c r="H22" s="2220">
        <v>134390</v>
      </c>
      <c r="I22" s="2220">
        <v>134390</v>
      </c>
      <c r="J22" s="2220">
        <v>134390</v>
      </c>
      <c r="K22" s="1708"/>
      <c r="L22" s="1711"/>
    </row>
    <row r="23" spans="1:12" ht="11.25" customHeight="1">
      <c r="A23" s="1878" t="s">
        <v>1987</v>
      </c>
      <c r="B23" s="2278"/>
      <c r="C23" s="1884"/>
      <c r="D23" s="1884"/>
      <c r="E23" s="2285"/>
      <c r="F23" s="2285"/>
      <c r="G23" s="2284"/>
      <c r="H23" s="1084"/>
      <c r="I23" s="1084"/>
      <c r="J23" s="1084"/>
      <c r="K23" s="1708"/>
      <c r="L23" s="1711"/>
    </row>
    <row r="24" spans="1:12" ht="11.25" customHeight="1">
      <c r="A24" s="1880" t="s">
        <v>312</v>
      </c>
      <c r="B24" s="2279"/>
      <c r="C24" s="1892"/>
      <c r="D24" s="1892"/>
      <c r="E24" s="2286"/>
      <c r="F24" s="2286"/>
      <c r="G24" s="2286"/>
      <c r="H24" s="1894"/>
      <c r="I24" s="2221"/>
      <c r="J24" s="2221"/>
      <c r="K24" s="1893"/>
      <c r="L24" s="1895"/>
    </row>
    <row r="25" spans="1:12" ht="5.0999999999999996" customHeight="1">
      <c r="A25" s="539"/>
      <c r="B25" s="535"/>
      <c r="C25" s="543"/>
      <c r="D25" s="543"/>
      <c r="E25" s="543"/>
      <c r="F25" s="462"/>
      <c r="G25" s="460"/>
      <c r="H25" s="544"/>
      <c r="I25" s="545"/>
      <c r="J25" s="463"/>
      <c r="K25" s="460"/>
      <c r="L25" s="461"/>
    </row>
    <row r="26" spans="1:12" ht="11.25" customHeight="1">
      <c r="A26" s="539" t="s">
        <v>1397</v>
      </c>
      <c r="B26" s="535"/>
      <c r="C26" s="543"/>
      <c r="D26" s="543"/>
      <c r="E26" s="543"/>
      <c r="F26" s="462"/>
      <c r="G26" s="460"/>
      <c r="H26" s="544"/>
      <c r="I26" s="545"/>
      <c r="J26" s="463"/>
      <c r="K26" s="460"/>
      <c r="L26" s="461"/>
    </row>
    <row r="27" spans="1:12" ht="11.25" customHeight="1">
      <c r="A27" s="1878" t="s">
        <v>993</v>
      </c>
      <c r="B27" s="2278" t="s">
        <v>2212</v>
      </c>
      <c r="C27" s="1884"/>
      <c r="D27" s="1884"/>
      <c r="E27" s="2281">
        <v>67899</v>
      </c>
      <c r="F27" s="2281">
        <v>67899</v>
      </c>
      <c r="G27" s="2281">
        <v>67899</v>
      </c>
      <c r="H27" s="2222">
        <v>67899</v>
      </c>
      <c r="I27" s="2222">
        <v>67899</v>
      </c>
      <c r="J27" s="2222">
        <v>67899</v>
      </c>
      <c r="K27" s="1896"/>
      <c r="L27" s="1899"/>
    </row>
    <row r="28" spans="1:12" ht="11.25" customHeight="1">
      <c r="A28" s="1878" t="s">
        <v>994</v>
      </c>
      <c r="B28" s="2278" t="s">
        <v>2212</v>
      </c>
      <c r="C28" s="1900"/>
      <c r="D28" s="1892"/>
      <c r="E28" s="2283">
        <v>10369</v>
      </c>
      <c r="F28" s="2283">
        <v>10369</v>
      </c>
      <c r="G28" s="2283">
        <v>10369</v>
      </c>
      <c r="H28" s="2223">
        <v>10369</v>
      </c>
      <c r="I28" s="2223">
        <v>10369</v>
      </c>
      <c r="J28" s="2223">
        <v>10369</v>
      </c>
      <c r="K28" s="1901"/>
      <c r="L28" s="1902"/>
    </row>
    <row r="29" spans="1:12" ht="11.25" customHeight="1">
      <c r="A29" s="1903" t="s">
        <v>1456</v>
      </c>
      <c r="B29" s="2278" t="s">
        <v>2212</v>
      </c>
      <c r="C29" s="1884">
        <f>SUM(C27:C28)</f>
        <v>0</v>
      </c>
      <c r="D29" s="1884">
        <f t="shared" ref="D29:L29" si="0">SUM(D27:D28)</f>
        <v>0</v>
      </c>
      <c r="E29" s="2284">
        <f>SUM(E27:E28)</f>
        <v>78268</v>
      </c>
      <c r="F29" s="2289">
        <f>SUM(F27:F28)</f>
        <v>78268</v>
      </c>
      <c r="G29" s="2290">
        <f>SUM(G27:G28)</f>
        <v>78268</v>
      </c>
      <c r="H29" s="1897">
        <f>SUM(H27:H28)</f>
        <v>78268</v>
      </c>
      <c r="I29" s="1897">
        <f t="shared" si="0"/>
        <v>78268</v>
      </c>
      <c r="J29" s="1898">
        <f t="shared" si="0"/>
        <v>78268</v>
      </c>
      <c r="K29" s="1896">
        <f t="shared" si="0"/>
        <v>0</v>
      </c>
      <c r="L29" s="1899">
        <f t="shared" si="0"/>
        <v>0</v>
      </c>
    </row>
    <row r="30" spans="1:12" ht="11.25" customHeight="1">
      <c r="A30" s="1878" t="s">
        <v>1398</v>
      </c>
      <c r="B30" s="2278" t="s">
        <v>2212</v>
      </c>
      <c r="C30" s="1884"/>
      <c r="D30" s="1884"/>
      <c r="E30" s="2281">
        <v>134390</v>
      </c>
      <c r="F30" s="2281">
        <v>134390</v>
      </c>
      <c r="G30" s="2281">
        <v>134390</v>
      </c>
      <c r="H30" s="2224">
        <v>134390</v>
      </c>
      <c r="I30" s="2224">
        <v>134390</v>
      </c>
      <c r="J30" s="2224">
        <v>134390</v>
      </c>
      <c r="K30" s="1896"/>
      <c r="L30" s="1899"/>
    </row>
    <row r="31" spans="1:12" ht="11.25" customHeight="1">
      <c r="A31" s="1878" t="s">
        <v>547</v>
      </c>
      <c r="B31" s="2278" t="s">
        <v>2212</v>
      </c>
      <c r="C31" s="1884"/>
      <c r="D31" s="1884"/>
      <c r="E31" s="2281">
        <v>2155151</v>
      </c>
      <c r="F31" s="2281">
        <v>2155151</v>
      </c>
      <c r="G31" s="2281">
        <v>2155151</v>
      </c>
      <c r="H31" s="2224">
        <v>2155151</v>
      </c>
      <c r="I31" s="2224">
        <v>2155151</v>
      </c>
      <c r="J31" s="2224">
        <v>2155151</v>
      </c>
      <c r="K31" s="1896"/>
      <c r="L31" s="1899"/>
    </row>
    <row r="32" spans="1:12" ht="11.25" customHeight="1">
      <c r="A32" s="1878" t="s">
        <v>1399</v>
      </c>
      <c r="B32" s="2278"/>
      <c r="C32" s="1904"/>
      <c r="D32" s="1884"/>
      <c r="E32" s="2281" t="s">
        <v>2172</v>
      </c>
      <c r="F32" s="2281" t="s">
        <v>2172</v>
      </c>
      <c r="G32" s="2281" t="s">
        <v>2172</v>
      </c>
      <c r="H32" s="2225" t="s">
        <v>2172</v>
      </c>
      <c r="I32" s="2225" t="s">
        <v>2172</v>
      </c>
      <c r="J32" s="2225" t="s">
        <v>2172</v>
      </c>
      <c r="K32" s="1896"/>
      <c r="L32" s="1899"/>
    </row>
    <row r="33" spans="1:12" ht="11.25" customHeight="1">
      <c r="A33" s="1905" t="s">
        <v>313</v>
      </c>
      <c r="B33" s="2279"/>
      <c r="C33" s="1906">
        <f>SUM(C30:C32)</f>
        <v>0</v>
      </c>
      <c r="D33" s="1907">
        <f t="shared" ref="D33:L33" si="1">SUM(D30:D32)</f>
        <v>0</v>
      </c>
      <c r="E33" s="2287">
        <f>SUM(E30:E32)</f>
        <v>2289541</v>
      </c>
      <c r="F33" s="2291">
        <f>SUM(F30:F32)</f>
        <v>2289541</v>
      </c>
      <c r="G33" s="2292">
        <f>SUM(G30:G32)</f>
        <v>2289541</v>
      </c>
      <c r="H33" s="1909">
        <f t="shared" si="1"/>
        <v>2289541</v>
      </c>
      <c r="I33" s="1910">
        <f t="shared" si="1"/>
        <v>2289541</v>
      </c>
      <c r="J33" s="1911">
        <f t="shared" si="1"/>
        <v>2289541</v>
      </c>
      <c r="K33" s="1908">
        <f t="shared" si="1"/>
        <v>0</v>
      </c>
      <c r="L33" s="1912">
        <f t="shared" si="1"/>
        <v>0</v>
      </c>
    </row>
    <row r="34" spans="1:12" ht="5.0999999999999996" customHeight="1">
      <c r="A34" s="536"/>
      <c r="B34" s="535"/>
      <c r="C34" s="538"/>
      <c r="D34" s="538"/>
      <c r="E34" s="538"/>
      <c r="F34" s="457"/>
      <c r="G34" s="546"/>
      <c r="H34" s="547"/>
      <c r="I34" s="456"/>
      <c r="J34" s="548"/>
      <c r="K34" s="546"/>
      <c r="L34" s="455"/>
    </row>
    <row r="35" spans="1:12" ht="11.25" customHeight="1">
      <c r="A35" s="549" t="s">
        <v>1400</v>
      </c>
      <c r="B35" s="535"/>
      <c r="C35" s="550"/>
      <c r="D35" s="550"/>
      <c r="E35" s="550"/>
      <c r="F35" s="504"/>
      <c r="G35" s="502"/>
      <c r="H35" s="551"/>
      <c r="I35" s="552"/>
      <c r="J35" s="512"/>
      <c r="K35" s="509"/>
      <c r="L35" s="510"/>
    </row>
    <row r="36" spans="1:12" ht="11.25" customHeight="1">
      <c r="A36" s="536" t="s">
        <v>1132</v>
      </c>
      <c r="B36" s="535"/>
      <c r="C36" s="553"/>
      <c r="D36" s="2134"/>
      <c r="E36" s="2134"/>
      <c r="F36" s="1913">
        <v>0.11600000000000001</v>
      </c>
      <c r="G36" s="1914">
        <v>0.1043</v>
      </c>
      <c r="H36" s="1913"/>
      <c r="I36" s="1867">
        <v>0.04</v>
      </c>
      <c r="J36" s="1867">
        <v>0.04</v>
      </c>
      <c r="K36" s="1864"/>
      <c r="L36" s="1865"/>
    </row>
    <row r="37" spans="1:12" ht="11.25" customHeight="1">
      <c r="A37" s="536" t="s">
        <v>1214</v>
      </c>
      <c r="B37" s="535"/>
      <c r="C37" s="553"/>
      <c r="D37" s="2134"/>
      <c r="E37" s="2134"/>
      <c r="F37" s="1913">
        <v>0.155</v>
      </c>
      <c r="G37" s="1914">
        <v>0.14000000000000001</v>
      </c>
      <c r="H37" s="1913"/>
      <c r="I37" s="1867">
        <v>0.09</v>
      </c>
      <c r="J37" s="1867">
        <v>0.09</v>
      </c>
      <c r="K37" s="1864"/>
      <c r="L37" s="1865"/>
    </row>
    <row r="38" spans="1:12" ht="11.25" customHeight="1">
      <c r="A38" s="536" t="s">
        <v>1215</v>
      </c>
      <c r="B38" s="535"/>
      <c r="C38" s="554"/>
      <c r="D38" s="2135"/>
      <c r="E38" s="2135"/>
      <c r="F38" s="1913">
        <v>7.7499999999999999E-2</v>
      </c>
      <c r="G38" s="1914">
        <v>6.3E-2</v>
      </c>
      <c r="H38" s="1913"/>
      <c r="I38" s="1867">
        <v>0.05</v>
      </c>
      <c r="J38" s="1867">
        <v>0.05</v>
      </c>
      <c r="K38" s="1864"/>
      <c r="L38" s="1865"/>
    </row>
    <row r="39" spans="1:12" ht="11.25" customHeight="1">
      <c r="A39" s="536" t="s">
        <v>1216</v>
      </c>
      <c r="B39" s="535"/>
      <c r="C39" s="553"/>
      <c r="D39" s="2134"/>
      <c r="E39" s="2134"/>
      <c r="F39" s="2293">
        <v>6.4299999999999996E-2</v>
      </c>
      <c r="G39" s="1914">
        <v>8.5000000000000006E-2</v>
      </c>
      <c r="H39" s="1916"/>
      <c r="I39" s="2226">
        <v>8.4599999999999995E-2</v>
      </c>
      <c r="J39" s="1917">
        <v>7.0000000000000007E-2</v>
      </c>
      <c r="K39" s="1915"/>
      <c r="L39" s="1918"/>
    </row>
    <row r="40" spans="1:12" ht="11.25" customHeight="1">
      <c r="A40" s="536" t="s">
        <v>768</v>
      </c>
      <c r="B40" s="535"/>
      <c r="C40" s="553"/>
      <c r="D40" s="2134"/>
      <c r="E40" s="2134"/>
      <c r="F40" s="2293"/>
      <c r="G40" s="1914"/>
      <c r="H40" s="1916"/>
      <c r="I40" s="1914"/>
      <c r="J40" s="1917">
        <v>0.08</v>
      </c>
      <c r="K40" s="1915"/>
      <c r="L40" s="1918"/>
    </row>
    <row r="41" spans="1:12" ht="11.25" customHeight="1">
      <c r="A41" s="536" t="s">
        <v>769</v>
      </c>
      <c r="B41" s="535"/>
      <c r="C41" s="553"/>
      <c r="D41" s="2134"/>
      <c r="E41" s="2134"/>
      <c r="F41" s="2293"/>
      <c r="G41" s="1914"/>
      <c r="H41" s="1916"/>
      <c r="I41" s="1914"/>
      <c r="J41" s="1917">
        <v>0.08</v>
      </c>
      <c r="K41" s="1915"/>
      <c r="L41" s="1918"/>
    </row>
    <row r="42" spans="1:12" ht="5.0999999999999996" customHeight="1">
      <c r="A42" s="537"/>
      <c r="B42" s="535"/>
      <c r="C42" s="538"/>
      <c r="D42" s="538"/>
      <c r="E42" s="538"/>
      <c r="F42" s="458"/>
      <c r="G42" s="555"/>
      <c r="H42" s="551"/>
      <c r="I42" s="459"/>
      <c r="J42" s="505"/>
      <c r="K42" s="502"/>
      <c r="L42" s="503"/>
    </row>
    <row r="43" spans="1:12" ht="11.25" customHeight="1">
      <c r="A43" s="549" t="s">
        <v>1401</v>
      </c>
      <c r="B43" s="535"/>
      <c r="C43" s="538"/>
      <c r="D43" s="538"/>
      <c r="E43" s="538"/>
      <c r="F43" s="458"/>
      <c r="G43" s="555"/>
      <c r="H43" s="551"/>
      <c r="I43" s="459"/>
      <c r="J43" s="505"/>
      <c r="K43" s="502"/>
      <c r="L43" s="503"/>
    </row>
    <row r="44" spans="1:12" ht="11.25" customHeight="1">
      <c r="A44" s="536" t="s">
        <v>1217</v>
      </c>
      <c r="B44" s="535"/>
      <c r="C44" s="553"/>
      <c r="D44" s="2134"/>
      <c r="E44" s="2134"/>
      <c r="F44" s="1913">
        <v>0.90659999999999996</v>
      </c>
      <c r="G44" s="1914"/>
      <c r="H44" s="1913"/>
      <c r="I44" s="1914">
        <v>0.89500000000000002</v>
      </c>
      <c r="J44" s="1867">
        <v>0.89500000000000002</v>
      </c>
      <c r="K44" s="1864"/>
      <c r="L44" s="1865"/>
    </row>
    <row r="45" spans="1:12" ht="11.25" customHeight="1">
      <c r="A45" s="536" t="s">
        <v>1218</v>
      </c>
      <c r="B45" s="535"/>
      <c r="C45" s="553"/>
      <c r="D45" s="2134"/>
      <c r="E45" s="2134"/>
      <c r="F45" s="1913"/>
      <c r="G45" s="1914"/>
      <c r="H45" s="1913"/>
      <c r="I45" s="1914"/>
      <c r="J45" s="1867"/>
      <c r="K45" s="1864"/>
      <c r="L45" s="1865"/>
    </row>
    <row r="46" spans="1:12" ht="11.25" customHeight="1">
      <c r="A46" s="536" t="s">
        <v>614</v>
      </c>
      <c r="B46" s="535"/>
      <c r="C46" s="553"/>
      <c r="D46" s="2134"/>
      <c r="E46" s="2134"/>
      <c r="F46" s="1913">
        <v>0.1172</v>
      </c>
      <c r="G46" s="1914">
        <v>0.09</v>
      </c>
      <c r="H46" s="1913"/>
      <c r="I46" s="1914">
        <v>0.05</v>
      </c>
      <c r="J46" s="1867">
        <v>0.05</v>
      </c>
      <c r="K46" s="1864"/>
      <c r="L46" s="1865"/>
    </row>
    <row r="47" spans="1:12" ht="11.25" customHeight="1">
      <c r="A47" s="536" t="s">
        <v>615</v>
      </c>
      <c r="B47" s="535"/>
      <c r="C47" s="553"/>
      <c r="D47" s="2134"/>
      <c r="E47" s="2134"/>
      <c r="F47" s="1913">
        <v>0.57540000000000002</v>
      </c>
      <c r="G47" s="1914">
        <v>0.6</v>
      </c>
      <c r="H47" s="1913"/>
      <c r="I47" s="1914">
        <v>0.89500000000000002</v>
      </c>
      <c r="J47" s="1867">
        <v>0.89500000000000002</v>
      </c>
      <c r="K47" s="1864"/>
      <c r="L47" s="1865"/>
    </row>
    <row r="48" spans="1:12" ht="11.25" customHeight="1">
      <c r="A48" s="536" t="s">
        <v>616</v>
      </c>
      <c r="B48" s="535"/>
      <c r="C48" s="553"/>
      <c r="D48" s="2134"/>
      <c r="E48" s="2134"/>
      <c r="F48" s="1913"/>
      <c r="G48" s="1914"/>
      <c r="H48" s="1913"/>
      <c r="I48" s="1914"/>
      <c r="J48" s="1867"/>
      <c r="K48" s="1864"/>
      <c r="L48" s="1865"/>
    </row>
    <row r="49" spans="1:12" ht="5.0999999999999996" customHeight="1">
      <c r="A49" s="556"/>
      <c r="B49" s="464"/>
      <c r="C49" s="557"/>
      <c r="D49" s="557"/>
      <c r="E49" s="557"/>
      <c r="F49" s="558"/>
      <c r="G49" s="559"/>
      <c r="H49" s="560"/>
      <c r="I49" s="561"/>
      <c r="J49" s="562"/>
      <c r="K49" s="563"/>
      <c r="L49" s="564"/>
    </row>
    <row r="50" spans="1:12" s="722" customFormat="1" ht="11.25" customHeight="1">
      <c r="A50" s="1198" t="str">
        <f>head27a</f>
        <v>References</v>
      </c>
    </row>
    <row r="51" spans="1:12" s="722" customFormat="1" ht="11.25" customHeight="1">
      <c r="A51" s="465" t="s">
        <v>1806</v>
      </c>
    </row>
    <row r="52" spans="1:12" s="722" customFormat="1" ht="11.25" customHeight="1">
      <c r="A52" s="465" t="s">
        <v>654</v>
      </c>
    </row>
    <row r="53" spans="1:12" s="722" customFormat="1" ht="11.25" customHeight="1">
      <c r="A53" s="465" t="s">
        <v>655</v>
      </c>
    </row>
    <row r="54" spans="1:12" s="722" customFormat="1" ht="11.25" customHeight="1">
      <c r="A54" s="465" t="s">
        <v>656</v>
      </c>
    </row>
    <row r="55" spans="1:12" s="722" customFormat="1" ht="11.25" customHeight="1">
      <c r="A55" s="465" t="s">
        <v>657</v>
      </c>
    </row>
    <row r="56" spans="1:12" ht="11.25" customHeight="1">
      <c r="A56" s="1459" t="s">
        <v>1746</v>
      </c>
    </row>
    <row r="57" spans="1:12" ht="11.25" customHeight="1">
      <c r="A57" s="1459" t="s">
        <v>1747</v>
      </c>
      <c r="F57" s="310"/>
      <c r="G57" s="310"/>
      <c r="H57" s="310"/>
      <c r="I57" s="310"/>
      <c r="J57" s="310"/>
      <c r="K57" s="310"/>
      <c r="L57" s="310"/>
    </row>
    <row r="58" spans="1:12" ht="11.25" customHeight="1">
      <c r="F58" s="310"/>
      <c r="G58" s="310"/>
      <c r="H58" s="310"/>
      <c r="I58" s="310"/>
      <c r="J58" s="310"/>
      <c r="K58" s="310"/>
      <c r="L58" s="310"/>
    </row>
    <row r="59" spans="1:12" ht="11.25" customHeight="1">
      <c r="F59" s="310"/>
      <c r="G59" s="310"/>
      <c r="H59" s="310"/>
      <c r="I59" s="310"/>
      <c r="J59" s="310"/>
      <c r="K59" s="310"/>
      <c r="L59" s="310"/>
    </row>
    <row r="60" spans="1:12" ht="11.25" customHeight="1">
      <c r="F60" s="310"/>
      <c r="G60" s="310"/>
      <c r="H60" s="310"/>
      <c r="I60" s="310"/>
      <c r="J60" s="310"/>
      <c r="K60" s="310"/>
      <c r="L60" s="310"/>
    </row>
    <row r="61" spans="1:12" ht="11.25" customHeight="1">
      <c r="F61" s="310"/>
      <c r="G61" s="310"/>
      <c r="H61" s="310"/>
      <c r="I61" s="310"/>
      <c r="J61" s="310"/>
      <c r="K61" s="310"/>
      <c r="L61" s="310"/>
    </row>
    <row r="63" spans="1:12" ht="11.25" customHeight="1">
      <c r="F63" s="523"/>
      <c r="G63" s="523"/>
      <c r="H63" s="523"/>
      <c r="I63" s="523"/>
      <c r="J63" s="523"/>
      <c r="K63" s="523"/>
      <c r="L63" s="523"/>
    </row>
    <row r="64" spans="1:12" ht="11.25" customHeight="1">
      <c r="F64" s="523"/>
      <c r="G64" s="523"/>
      <c r="H64" s="523"/>
      <c r="I64" s="311"/>
      <c r="J64" s="311"/>
      <c r="K64" s="311"/>
      <c r="L64" s="311"/>
    </row>
  </sheetData>
  <sheetProtection sheet="1" objects="1" scenarios="1"/>
  <mergeCells count="1">
    <mergeCell ref="J2:L2"/>
  </mergeCells>
  <phoneticPr fontId="2" type="noConversion"/>
  <printOptions horizontalCentered="1"/>
  <pageMargins left="0.37" right="0" top="0.6" bottom="0.4" header="0.51181102362204722" footer="0.39370078740157483"/>
  <pageSetup paperSize="9" scale="8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6"/>
  <sheetViews>
    <sheetView showGridLines="0" workbookViewId="0">
      <pane xSplit="3" ySplit="3" topLeftCell="D91" activePane="bottomRight" state="frozen"/>
      <selection activeCell="O37" sqref="A1:IV65536"/>
      <selection pane="topRight" activeCell="O37" sqref="A1:IV65536"/>
      <selection pane="bottomLeft" activeCell="O37" sqref="A1:IV65536"/>
      <selection pane="bottomRight" activeCell="M80" sqref="M80"/>
    </sheetView>
  </sheetViews>
  <sheetFormatPr defaultRowHeight="12.75"/>
  <cols>
    <col min="1" max="1" width="38.7109375" style="150" customWidth="1"/>
    <col min="2" max="2" width="6.7109375" style="248" bestFit="1" customWidth="1"/>
    <col min="3" max="3" width="3" style="248" customWidth="1"/>
    <col min="4" max="5" width="9" style="248" customWidth="1"/>
    <col min="6" max="9" width="9" style="150" customWidth="1"/>
    <col min="10" max="10" width="8.7109375" style="150" customWidth="1"/>
    <col min="11" max="13" width="9" style="150" customWidth="1"/>
    <col min="14" max="14" width="9.5703125" style="150" customWidth="1"/>
    <col min="15" max="15" width="10.140625" style="150" bestFit="1" customWidth="1"/>
    <col min="16" max="16" width="9.5703125" style="150" bestFit="1" customWidth="1"/>
    <col min="17" max="16384" width="9.140625" style="150"/>
  </cols>
  <sheetData>
    <row r="1" spans="1:15" s="180" customFormat="1" ht="13.5" customHeight="1">
      <c r="A1" s="148" t="str">
        <f>muni &amp;" " &amp; TableA10</f>
        <v>KZN225 Msunduzi Supporting Table SA10 Funding measurement</v>
      </c>
      <c r="B1" s="148"/>
      <c r="C1" s="148"/>
      <c r="D1" s="148"/>
      <c r="E1" s="148"/>
      <c r="F1" s="148"/>
      <c r="G1" s="148"/>
      <c r="H1" s="148"/>
      <c r="I1" s="148"/>
      <c r="J1" s="148"/>
      <c r="K1" s="148"/>
      <c r="L1" s="148"/>
      <c r="M1" s="148"/>
    </row>
    <row r="2" spans="1:15" ht="28.5" customHeight="1">
      <c r="A2" s="2450" t="str">
        <f>desc</f>
        <v>Description</v>
      </c>
      <c r="B2" s="2455" t="s">
        <v>456</v>
      </c>
      <c r="C2" s="2457" t="str">
        <f>head27</f>
        <v>Ref</v>
      </c>
      <c r="D2" s="151" t="str">
        <f>head1b</f>
        <v>2007/8</v>
      </c>
      <c r="E2" s="151" t="str">
        <f>head1A</f>
        <v>2008/9</v>
      </c>
      <c r="F2" s="147" t="str">
        <f>Head1</f>
        <v>2009/10</v>
      </c>
      <c r="G2" s="2415" t="str">
        <f>Head2</f>
        <v>Current Year 2010/11</v>
      </c>
      <c r="H2" s="2416"/>
      <c r="I2" s="2416"/>
      <c r="J2" s="2416"/>
      <c r="K2" s="2412" t="str">
        <f>Head3</f>
        <v>2011/12 Medium Term Revenue &amp; Expenditure Framework</v>
      </c>
      <c r="L2" s="2413"/>
      <c r="M2" s="2414"/>
    </row>
    <row r="3" spans="1:15" ht="25.5">
      <c r="A3" s="2451"/>
      <c r="B3" s="2456"/>
      <c r="C3" s="2458"/>
      <c r="D3" s="393" t="str">
        <f>Head5</f>
        <v>Audited Outcome</v>
      </c>
      <c r="E3" s="393" t="str">
        <f>Head5</f>
        <v>Audited Outcome</v>
      </c>
      <c r="F3" s="394" t="str">
        <f>Head5</f>
        <v>Audited Outcome</v>
      </c>
      <c r="G3" s="300" t="str">
        <f>Head6</f>
        <v>Original Budget</v>
      </c>
      <c r="H3" s="942" t="str">
        <f>Head7</f>
        <v>Adjusted Budget</v>
      </c>
      <c r="I3" s="942" t="str">
        <f>Head8</f>
        <v>Full Year Forecast</v>
      </c>
      <c r="J3" s="943" t="str">
        <f>Head5b</f>
        <v>Pre-audit outcome</v>
      </c>
      <c r="K3" s="300" t="str">
        <f>Head9</f>
        <v>Budget Year 2011/12</v>
      </c>
      <c r="L3" s="393" t="str">
        <f>Head10</f>
        <v>Budget Year +1 2012/13</v>
      </c>
      <c r="M3" s="394" t="str">
        <f>Head11</f>
        <v>Budget Year +2 2013/14</v>
      </c>
    </row>
    <row r="4" spans="1:15">
      <c r="A4" s="182" t="s">
        <v>1886</v>
      </c>
      <c r="B4" s="565"/>
      <c r="C4" s="566"/>
      <c r="D4" s="998"/>
      <c r="E4" s="567"/>
      <c r="F4" s="568"/>
      <c r="G4" s="202"/>
      <c r="H4" s="567"/>
      <c r="I4" s="568"/>
      <c r="J4" s="247"/>
      <c r="K4" s="569"/>
      <c r="L4" s="567"/>
      <c r="M4" s="568"/>
    </row>
    <row r="5" spans="1:15">
      <c r="A5" s="191" t="str">
        <f>LEFT('A7-CFlow'!A38,37)&amp;" - R'000"</f>
        <v>Cash/cash equivalents at the year end - R'000</v>
      </c>
      <c r="B5" s="570" t="s">
        <v>1450</v>
      </c>
      <c r="C5" s="294">
        <v>1</v>
      </c>
      <c r="D5" s="208">
        <f>'A7-CFlow'!C38</f>
        <v>42894688</v>
      </c>
      <c r="E5" s="571">
        <f>'A7-CFlow'!D38</f>
        <v>360498512</v>
      </c>
      <c r="F5" s="572">
        <f>'A7-CFlow'!E38</f>
        <v>467499641</v>
      </c>
      <c r="G5" s="252">
        <f>'A7-CFlow'!F38</f>
        <v>94500950</v>
      </c>
      <c r="H5" s="571">
        <f>'A7-CFlow'!G38</f>
        <v>285564647</v>
      </c>
      <c r="I5" s="572">
        <f>'A7-CFlow'!H38</f>
        <v>285564647</v>
      </c>
      <c r="J5" s="211">
        <f>'A7-CFlow'!I38</f>
        <v>285564647</v>
      </c>
      <c r="K5" s="212">
        <f>'A7-CFlow'!J38</f>
        <v>238508672</v>
      </c>
      <c r="L5" s="571">
        <f>'A7-CFlow'!K38</f>
        <v>444935492</v>
      </c>
      <c r="M5" s="572">
        <f>'A7-CFlow'!L38</f>
        <v>689559415</v>
      </c>
    </row>
    <row r="6" spans="1:15">
      <c r="A6" s="191" t="s">
        <v>1530</v>
      </c>
      <c r="B6" s="570" t="s">
        <v>1450</v>
      </c>
      <c r="C6" s="294">
        <v>2</v>
      </c>
      <c r="D6" s="208">
        <f>'A8-ResRecon'!C8-'A8-ResRecon'!C18</f>
        <v>-63809216</v>
      </c>
      <c r="E6" s="571">
        <f>'A8-ResRecon'!D8-'A8-ResRecon'!D18</f>
        <v>-111402343</v>
      </c>
      <c r="F6" s="572">
        <f>'A8-ResRecon'!E8-'A8-ResRecon'!E18</f>
        <v>-307029552</v>
      </c>
      <c r="G6" s="252">
        <f>'A8-ResRecon'!F8-'A8-ResRecon'!F18</f>
        <v>144401531</v>
      </c>
      <c r="H6" s="571">
        <f>'A8-ResRecon'!G8-'A8-ResRecon'!G18</f>
        <v>250261531</v>
      </c>
      <c r="I6" s="572">
        <f>'A8-ResRecon'!H8-'A8-ResRecon'!H18</f>
        <v>250261531</v>
      </c>
      <c r="J6" s="211">
        <f>'A8-ResRecon'!I8-'A8-ResRecon'!I18</f>
        <v>250261531</v>
      </c>
      <c r="K6" s="212">
        <f>'A8-ResRecon'!J8-'A8-ResRecon'!J18</f>
        <v>441796000</v>
      </c>
      <c r="L6" s="571">
        <f>'A8-ResRecon'!K8-'A8-ResRecon'!K18</f>
        <v>583477750</v>
      </c>
      <c r="M6" s="572">
        <f>'A8-ResRecon'!L8-'A8-ResRecon'!L18</f>
        <v>646817913</v>
      </c>
    </row>
    <row r="7" spans="1:15">
      <c r="A7" s="191" t="s">
        <v>293</v>
      </c>
      <c r="B7" s="570" t="s">
        <v>1450</v>
      </c>
      <c r="C7" s="294">
        <v>3</v>
      </c>
      <c r="D7" s="999">
        <f>IF(ISERROR('SA8'!C34),0,('SA8'!C34))</f>
        <v>0.46042051176510157</v>
      </c>
      <c r="E7" s="574">
        <f>IF(ISERROR('SA8'!D34),0,('SA8'!D34))</f>
        <v>3.5582807781414436</v>
      </c>
      <c r="F7" s="575">
        <f>IF(ISERROR('SA8'!E34),0,('SA8'!E34))</f>
        <v>3.0693014562697654</v>
      </c>
      <c r="G7" s="576">
        <f>IF(ISERROR('SA8'!F34),0,('SA8'!F34))</f>
        <v>0.62588701310137074</v>
      </c>
      <c r="H7" s="574">
        <f>IF(ISERROR('SA8'!G34),0,('SA8'!G34))</f>
        <v>1.8647410321134146</v>
      </c>
      <c r="I7" s="575">
        <f>IF(ISERROR('SA8'!H34),0,('SA8'!H34))</f>
        <v>1.8647410321134146</v>
      </c>
      <c r="J7" s="573">
        <f>IF(ISERROR('SA8'!I34),0,('SA8'!I34))</f>
        <v>1.8647410321134146</v>
      </c>
      <c r="K7" s="577">
        <f>IF(ISERROR('SA8'!J34),0,('SA8'!J34))</f>
        <v>1.324579385830347</v>
      </c>
      <c r="L7" s="574">
        <f>IF(ISERROR('SA8'!K34),0,('SA8'!K34))</f>
        <v>2.3100578535677507</v>
      </c>
      <c r="M7" s="575">
        <f>IF(ISERROR('SA8'!L34),0,('SA8'!L34))</f>
        <v>3.3786115908340437</v>
      </c>
    </row>
    <row r="8" spans="1:15">
      <c r="A8" s="191" t="s">
        <v>1374</v>
      </c>
      <c r="B8" s="570" t="s">
        <v>1451</v>
      </c>
      <c r="C8" s="294">
        <v>4</v>
      </c>
      <c r="D8" s="208">
        <f>'A4-FinPerf RE'!C42+'SA3'!C60</f>
        <v>350865149</v>
      </c>
      <c r="E8" s="571">
        <f>'A4-FinPerf RE'!D42+'SA3'!D60</f>
        <v>101798421</v>
      </c>
      <c r="F8" s="572">
        <f>'A4-FinPerf RE'!E42+'SA3'!E60</f>
        <v>-232890833</v>
      </c>
      <c r="G8" s="252">
        <f>'A4-FinPerf RE'!F42+'SA3'!F60</f>
        <v>147802046</v>
      </c>
      <c r="H8" s="571">
        <f>'A4-FinPerf RE'!G42+'SA3'!G60</f>
        <v>137802638</v>
      </c>
      <c r="I8" s="572">
        <f>'A4-FinPerf RE'!H42+'SA3'!H60</f>
        <v>137802636</v>
      </c>
      <c r="J8" s="211">
        <f>'A4-FinPerf RE'!I42+'SA3'!I60</f>
        <v>137802634</v>
      </c>
      <c r="K8" s="212">
        <f>'A4-FinPerf RE'!J42+'SA3'!J60</f>
        <v>507823582</v>
      </c>
      <c r="L8" s="571">
        <f>'A4-FinPerf RE'!K42+'SA3'!K60</f>
        <v>412449625.44300032</v>
      </c>
      <c r="M8" s="572">
        <f>'A4-FinPerf RE'!L42+'SA3'!L60</f>
        <v>321439609.18236494</v>
      </c>
    </row>
    <row r="9" spans="1:15">
      <c r="A9" s="326" t="s">
        <v>1731</v>
      </c>
      <c r="B9" s="578" t="s">
        <v>1448</v>
      </c>
      <c r="C9" s="295">
        <v>5</v>
      </c>
      <c r="D9" s="635" t="s">
        <v>1578</v>
      </c>
      <c r="E9" s="579">
        <f>IF(ISERROR(E36-E61),0,(E36-E61))</f>
        <v>1.0345653226404405E-2</v>
      </c>
      <c r="F9" s="580">
        <f t="shared" ref="F9:M9" si="0">IF(ISERROR(F36-F61),0,(F36-F61))</f>
        <v>0.1848106511942938</v>
      </c>
      <c r="G9" s="583">
        <f t="shared" si="0"/>
        <v>0.1488646305140669</v>
      </c>
      <c r="H9" s="582">
        <f t="shared" si="0"/>
        <v>-5.8153797802072693E-2</v>
      </c>
      <c r="I9" s="580">
        <f t="shared" si="0"/>
        <v>-6.0000001032312456E-2</v>
      </c>
      <c r="J9" s="583">
        <f t="shared" si="0"/>
        <v>-6.0000001032312456E-2</v>
      </c>
      <c r="K9" s="584">
        <f>IF(ISERROR(K36-K61),0,(K36-K61))</f>
        <v>6.8626379107725788E-2</v>
      </c>
      <c r="L9" s="582">
        <f t="shared" si="0"/>
        <v>-5.5870005064657113E-3</v>
      </c>
      <c r="M9" s="580">
        <f t="shared" si="0"/>
        <v>-3.1022443422210055E-3</v>
      </c>
    </row>
    <row r="10" spans="1:15">
      <c r="A10" s="326" t="s">
        <v>102</v>
      </c>
      <c r="B10" s="578" t="s">
        <v>1448</v>
      </c>
      <c r="C10" s="295">
        <v>6</v>
      </c>
      <c r="D10" s="636">
        <f>IF(ISERROR(IF(D55&lt;0,(D53+D55)/D54,(D53/(D54+D55)))),0,(IF(D55&lt;0,(D53+D55)/D54,(D53/(D54+D55)))))</f>
        <v>0.73246706412043328</v>
      </c>
      <c r="E10" s="582">
        <f t="shared" ref="E10:M10" si="1">IF(ISERROR(IF(E55&lt;0,(E53+E55)/E54,(E53/(E54+E55)))),0,(IF(E55&lt;0,(E53+E55)/E54,(E53/(E54+E55)))))</f>
        <v>1.2906338039933059</v>
      </c>
      <c r="F10" s="580">
        <f t="shared" si="1"/>
        <v>0.73258526992345085</v>
      </c>
      <c r="G10" s="583">
        <f t="shared" si="1"/>
        <v>0.70812749716966639</v>
      </c>
      <c r="H10" s="582">
        <f t="shared" si="1"/>
        <v>0.62333775712809492</v>
      </c>
      <c r="I10" s="580">
        <f t="shared" si="1"/>
        <v>0.62333775751173515</v>
      </c>
      <c r="J10" s="1128">
        <f t="shared" si="1"/>
        <v>0.62333775789537538</v>
      </c>
      <c r="K10" s="584">
        <f t="shared" si="1"/>
        <v>0.63346705637084</v>
      </c>
      <c r="L10" s="582">
        <f t="shared" si="1"/>
        <v>0.74406803332457083</v>
      </c>
      <c r="M10" s="580">
        <f t="shared" si="1"/>
        <v>0.75716828374791023</v>
      </c>
    </row>
    <row r="11" spans="1:15">
      <c r="A11" s="326" t="s">
        <v>180</v>
      </c>
      <c r="B11" s="578" t="s">
        <v>1448</v>
      </c>
      <c r="C11" s="295">
        <v>7</v>
      </c>
      <c r="D11" s="636">
        <f>IF(ISERROR('A4-FinPerf RE'!C27/'SA10'!D43),0,('A4-FinPerf RE'!C27/'SA10'!D43))</f>
        <v>1.6442539006657896E-2</v>
      </c>
      <c r="E11" s="582">
        <f>IF(ISERROR('A4-FinPerf RE'!D27/'SA10'!E43),0,('A4-FinPerf RE'!D27/'SA10'!E43))</f>
        <v>7.6793200953609369E-3</v>
      </c>
      <c r="F11" s="580">
        <f>IF(ISERROR('A4-FinPerf RE'!E27/'SA10'!F43),0,('A4-FinPerf RE'!E27/'SA10'!F43))</f>
        <v>0.1551062700015991</v>
      </c>
      <c r="G11" s="583">
        <f>IF(ISERROR('A4-FinPerf RE'!F27/'SA10'!G43),0,('A4-FinPerf RE'!F27/'SA10'!G43))</f>
        <v>0.11265314033513864</v>
      </c>
      <c r="H11" s="582">
        <f>IF(ISERROR('A4-FinPerf RE'!G27/'SA10'!H43),0,('A4-FinPerf RE'!G27/'SA10'!H43))</f>
        <v>4.9108786782001722E-2</v>
      </c>
      <c r="I11" s="580">
        <f>IF(ISERROR('A4-FinPerf RE'!H27/'SA10'!I43),0,('A4-FinPerf RE'!H27/'SA10'!I43))</f>
        <v>4.9108786832244906E-2</v>
      </c>
      <c r="J11" s="583">
        <f>IF(ISERROR('A4-FinPerf RE'!I27/'SA10'!J43),0,('A4-FinPerf RE'!I27/'SA10'!J43))</f>
        <v>4.9108786882488091E-2</v>
      </c>
      <c r="K11" s="584">
        <f>IF(ISERROR('A4-FinPerf RE'!J27/'SA10'!K43),0,('A4-FinPerf RE'!J27/'SA10'!K43))</f>
        <v>7.2982970861763904E-2</v>
      </c>
      <c r="L11" s="582">
        <f>IF(ISERROR('A4-FinPerf RE'!K27/'SA10'!L43),0,('A4-FinPerf RE'!K27/'SA10'!L43))</f>
        <v>7.2886774656697642E-2</v>
      </c>
      <c r="M11" s="580">
        <f>IF(ISERROR('A4-FinPerf RE'!L27/'SA10'!M43),0,('A4-FinPerf RE'!L27/'SA10'!M43))</f>
        <v>7.2756978722568533E-2</v>
      </c>
    </row>
    <row r="12" spans="1:15">
      <c r="A12" s="326" t="s">
        <v>1979</v>
      </c>
      <c r="B12" s="578" t="s">
        <v>1449</v>
      </c>
      <c r="C12" s="295">
        <v>8</v>
      </c>
      <c r="D12" s="636">
        <f>IF(ISERROR(-'A7-CFlow'!C24/'A5-Capex'!C40),0,(-'A7-CFlow'!C24/'A5-Capex'!C40))</f>
        <v>0</v>
      </c>
      <c r="E12" s="636">
        <f>IF(ISERROR(-'A7-CFlow'!D24/'A5-Capex'!D40),0,(-'A7-CFlow'!D24/'A5-Capex'!D40))</f>
        <v>0</v>
      </c>
      <c r="F12" s="580">
        <f>IF(ISERROR(-'A7-CFlow'!E24/'A5-Capex'!E40),0,(-'A7-CFlow'!E24/'A5-Capex'!E40))</f>
        <v>1.8595511472328232</v>
      </c>
      <c r="G12" s="1662">
        <f>IF(ISERROR(-'A7-CFlow'!F24/'A5-Capex'!F40),0,(-'A7-CFlow'!F24/'A5-Capex'!F40))</f>
        <v>1</v>
      </c>
      <c r="H12" s="636">
        <f>IF(ISERROR(-'A7-CFlow'!G24/'A5-Capex'!G40),0,(-'A7-CFlow'!G24/'A5-Capex'!G40))</f>
        <v>0</v>
      </c>
      <c r="I12" s="580">
        <f>IF(ISERROR(-'A7-CFlow'!H24/'A5-Capex'!H40),0,(-'A7-CFlow'!H24/'A5-Capex'!H40))</f>
        <v>0</v>
      </c>
      <c r="J12" s="597">
        <f>IF(ISERROR(-'A7-CFlow'!I24/'A5-Capex'!I40),0,(-'A7-CFlow'!I24/'A5-Capex'!I40))</f>
        <v>0</v>
      </c>
      <c r="K12" s="1662">
        <f>IF(ISERROR(-'A7-CFlow'!J24/'A5-Capex'!J40),0,(-'A7-CFlow'!J24/'A5-Capex'!J40))</f>
        <v>1</v>
      </c>
      <c r="L12" s="636">
        <f>IF(ISERROR(-'A7-CFlow'!K24/'A5-Capex'!K40),0,(-'A7-CFlow'!K24/'A5-Capex'!K40))</f>
        <v>1</v>
      </c>
      <c r="M12" s="580">
        <f>IF(ISERROR(-'A7-CFlow'!L24/'A5-Capex'!L40),0,(-'A7-CFlow'!L24/'A5-Capex'!L40))</f>
        <v>1</v>
      </c>
    </row>
    <row r="13" spans="1:15">
      <c r="A13" s="326" t="s">
        <v>13</v>
      </c>
      <c r="B13" s="578" t="s">
        <v>458</v>
      </c>
      <c r="C13" s="295">
        <v>9</v>
      </c>
      <c r="D13" s="636">
        <f>IF(ISERROR('A7-CFlow'!C30/'SA10'!D52),0,('A7-CFlow'!C30/'SA10'!D52))</f>
        <v>-0.91112360745259835</v>
      </c>
      <c r="E13" s="582">
        <f>IF(ISERROR('A7-CFlow'!D30/'SA10'!E52),0,('A7-CFlow'!D30/'SA10'!E52))</f>
        <v>-1.3822177684094128</v>
      </c>
      <c r="F13" s="580">
        <f>IF(ISERROR('A7-CFlow'!E30/'SA10'!F52),0,('A7-CFlow'!E30/'SA10'!F52))</f>
        <v>2.0632523494832409</v>
      </c>
      <c r="G13" s="583">
        <f>IF(ISERROR('A7-CFlow'!F30/'SA10'!G52),0,('A7-CFlow'!F30/'SA10'!G52))</f>
        <v>0.99204009433962259</v>
      </c>
      <c r="H13" s="582">
        <f>IF(ISERROR('A7-CFlow'!G30/'SA10'!H52),0,('A7-CFlow'!G30/'SA10'!H52))</f>
        <v>0.84512925136074057</v>
      </c>
      <c r="I13" s="580">
        <f>IF(ISERROR('A7-CFlow'!H30/'SA10'!I52),0,('A7-CFlow'!H30/'SA10'!I52))</f>
        <v>0.84512925136074057</v>
      </c>
      <c r="J13" s="583">
        <f>IF(ISERROR('A7-CFlow'!I30/'SA10'!J52),0,('A7-CFlow'!I30/'SA10'!J52))</f>
        <v>0.84512925136074057</v>
      </c>
      <c r="K13" s="584">
        <f>IF(ISERROR('A7-CFlow'!J30/'SA10'!K52),0,('A7-CFlow'!J30/'SA10'!K52))</f>
        <v>1.6749886543557568</v>
      </c>
      <c r="L13" s="582">
        <f>IF(ISERROR('A7-CFlow'!K30/'SA10'!L52),0,('A7-CFlow'!K30/'SA10'!L52))</f>
        <v>2.9854093691890458</v>
      </c>
      <c r="M13" s="580">
        <f>IF(ISERROR('A7-CFlow'!L30/'SA10'!M52),0,('A7-CFlow'!L30/'SA10'!M52))</f>
        <v>0</v>
      </c>
    </row>
    <row r="14" spans="1:15" ht="14.25" customHeight="1">
      <c r="A14" s="326" t="s">
        <v>757</v>
      </c>
      <c r="B14" s="578" t="s">
        <v>457</v>
      </c>
      <c r="C14" s="295">
        <v>10</v>
      </c>
      <c r="D14" s="2171"/>
      <c r="E14" s="2172"/>
      <c r="F14" s="2173"/>
      <c r="G14" s="2174"/>
      <c r="H14" s="2172"/>
      <c r="I14" s="2173"/>
      <c r="J14" s="2174"/>
      <c r="K14" s="584">
        <f>IF(ISERROR(K56/K68),0,(K56/K68))</f>
        <v>0</v>
      </c>
      <c r="L14" s="582">
        <f>IF(ISERROR(L56/L68),0,(L56/L68))</f>
        <v>0</v>
      </c>
      <c r="M14" s="580">
        <f>IF(ISERROR(M56/M68),0,(M56/M68))</f>
        <v>0</v>
      </c>
      <c r="N14" s="1623"/>
      <c r="O14" s="1623"/>
    </row>
    <row r="15" spans="1:15">
      <c r="A15" s="326" t="s">
        <v>758</v>
      </c>
      <c r="B15" s="578" t="s">
        <v>457</v>
      </c>
      <c r="C15" s="295">
        <v>11</v>
      </c>
      <c r="D15" s="635" t="s">
        <v>1578</v>
      </c>
      <c r="E15" s="582">
        <f>IF(ISERROR(ROUND((SUM('A6-FinPos'!D8:D10)-SUM('A6-FinPos'!C8:C10))/SUM('A6-FinPos'!C8:C10),3)),0,(ROUND((SUM('A6-FinPos'!D8:D10)-SUM('A6-FinPos'!C8:C10))/SUM('A6-FinPos'!C8:C10),3)))</f>
        <v>0.126</v>
      </c>
      <c r="F15" s="580">
        <f>IF(ISERROR(ROUND((SUM('A6-FinPos'!E8:E10)-SUM('A6-FinPos'!D8:D10))/SUM('A6-FinPos'!D8:D10),3)),0,(ROUND((SUM('A6-FinPos'!E8:E10)-SUM('A6-FinPos'!D8:D10))/SUM('A6-FinPos'!D8:D10),3)))</f>
        <v>-0.28100000000000003</v>
      </c>
      <c r="G15" s="583">
        <f>IF(ISERROR(ROUND((SUM('A6-FinPos'!F8:F10)-SUM('A6-FinPos'!E8:E10))/SUM('A6-FinPos'!E8:E10),3)),0,(ROUND((SUM('A6-FinPos'!F8:F10)-SUM('A6-FinPos'!E8:E10))/SUM('A6-FinPos'!E8:E10),3)))</f>
        <v>1.3919999999999999</v>
      </c>
      <c r="H15" s="582">
        <f>IF(ISERROR(ROUND((SUM('A6-FinPos'!G8:G10)-SUM('A6-FinPos'!F8:F10))/SUM('A6-FinPos'!F8:F10),3)),0,(ROUND((SUM('A6-FinPos'!G8:G10)-SUM('A6-FinPos'!F8:F10))/SUM('A6-FinPos'!F8:F10),3)))</f>
        <v>0.33900000000000002</v>
      </c>
      <c r="I15" s="580">
        <f>IF(ISERROR(ROUND((SUM('A6-FinPos'!H8:H10)-SUM('A6-FinPos'!G8:G10))/SUM('A6-FinPos'!G8:G10),3)),0,(ROUND((SUM('A6-FinPos'!H8:H10)-SUM('A6-FinPos'!G8:G10))/SUM('A6-FinPos'!G8:G10),3)))</f>
        <v>0</v>
      </c>
      <c r="J15" s="583">
        <f>IF(ISERROR(ROUND((SUM('A6-FinPos'!I8:I10)-SUM('A6-FinPos'!H8:H10))/SUM('A6-FinPos'!H8:H10),3)),0,(ROUND((SUM('A6-FinPos'!I8:I10)-SUM('A6-FinPos'!H8:H10))/SUM('A6-FinPos'!H8:H10),3)))</f>
        <v>0</v>
      </c>
      <c r="K15" s="584">
        <f>IF(ISERROR(ROUND((SUM('A6-FinPos'!J8:J10)-SUM('A6-FinPos'!G8:G10))/SUM('A6-FinPos'!G8:G10),3)),0,(ROUND((SUM('A6-FinPos'!J8:J10)-SUM('A6-FinPos'!G8:G10))/SUM('A6-FinPos'!G8:G10),3)))</f>
        <v>3.5999999999999997E-2</v>
      </c>
      <c r="L15" s="582">
        <f>IF(ISERROR(ROUND((SUM('A6-FinPos'!K8:K10)-SUM('A6-FinPos'!J8:J10))/SUM('A6-FinPos'!J8:J10),3)),0,(ROUND((SUM('A6-FinPos'!K8:K10)-SUM('A6-FinPos'!J8:J10))/SUM('A6-FinPos'!J8:J10),3)))</f>
        <v>0.104</v>
      </c>
      <c r="M15" s="580">
        <f>IF(ISERROR(ROUND((SUM('A6-FinPos'!L8:L10)-SUM('A6-FinPos'!K8:K10))/SUM('A6-FinPos'!K8:K10),3)),0,(ROUND((SUM('A6-FinPos'!L8:L10)-SUM('A6-FinPos'!K8:K10))/SUM('A6-FinPos'!K8:K10),3)))</f>
        <v>9.2999999999999999E-2</v>
      </c>
    </row>
    <row r="16" spans="1:15">
      <c r="A16" s="191" t="s">
        <v>1576</v>
      </c>
      <c r="B16" s="570" t="s">
        <v>457</v>
      </c>
      <c r="C16" s="294">
        <v>12</v>
      </c>
      <c r="D16" s="635" t="s">
        <v>1578</v>
      </c>
      <c r="E16" s="582">
        <f>IF(ISERROR(ROUND(('A6-FinPos'!D15-'A6-FinPos'!C15)/'A6-FinPos'!C15,3)),0,(ROUND(('A6-FinPos'!D15-'A6-FinPos'!C15)/'A6-FinPos'!C15,3)))</f>
        <v>-0.124</v>
      </c>
      <c r="F16" s="580">
        <f>IF(ISERROR(ROUND(('A6-FinPos'!E15-'A6-FinPos'!D15)/'A6-FinPos'!D15,3)),0,(ROUND(('A6-FinPos'!E15-'A6-FinPos'!D15)/'A6-FinPos'!D15,3)))</f>
        <v>-0.106</v>
      </c>
      <c r="G16" s="583">
        <f>IF(ISERROR(ROUND(('A6-FinPos'!F15-'A6-FinPos'!E15)/'A6-FinPos'!E15,3)),0,(ROUND(('A6-FinPos'!F15-'A6-FinPos'!E15)/'A6-FinPos'!E15,3)))</f>
        <v>0.436</v>
      </c>
      <c r="H16" s="582">
        <f>IF(ISERROR(ROUND(('A6-FinPos'!G15-'A6-FinPos'!F15)/'A6-FinPos'!F15,3)),0,(ROUND(('A6-FinPos'!G15-'A6-FinPos'!F15)/'A6-FinPos'!F15,3)))</f>
        <v>0</v>
      </c>
      <c r="I16" s="580">
        <f>IF(ISERROR(ROUND(('A6-FinPos'!H15-'A6-FinPos'!G15)/'A6-FinPos'!G15,3)),0,(ROUND(('A6-FinPos'!H15-'A6-FinPos'!G15)/'A6-FinPos'!G15,3)))</f>
        <v>0</v>
      </c>
      <c r="J16" s="583">
        <f>IF(ISERROR(ROUND(('A6-FinPos'!I15-'A6-FinPos'!H15)/'A6-FinPos'!H15,3)),0,(ROUND(('A6-FinPos'!I15-'A6-FinPos'!H15)/'A6-FinPos'!H15,3)))</f>
        <v>0</v>
      </c>
      <c r="K16" s="584">
        <f>IF(ISERROR(ROUND(('A6-FinPos'!J15-'A6-FinPos'!G15)/'A6-FinPos'!G15,3)),0,(ROUND(('A6-FinPos'!J15-'A6-FinPos'!G15)/'A6-FinPos'!G15,3)))</f>
        <v>6.3E-2</v>
      </c>
      <c r="L16" s="582">
        <f>IF(ISERROR(ROUND(('A6-FinPos'!K15-'A6-FinPos'!J15)/'A6-FinPos'!J15,3)),0,(ROUND(('A6-FinPos'!K15-'A6-FinPos'!J15)/'A6-FinPos'!J15,3)))</f>
        <v>0.06</v>
      </c>
      <c r="M16" s="580">
        <f>IF(ISERROR(ROUND(('A6-FinPos'!L15-'A6-FinPos'!K15)/'A6-FinPos'!K15,3)),0,(ROUND(('A6-FinPos'!L15-'A6-FinPos'!K15)/'A6-FinPos'!K15,3)))</f>
        <v>5.6000000000000001E-2</v>
      </c>
    </row>
    <row r="17" spans="1:13">
      <c r="A17" s="191" t="s">
        <v>101</v>
      </c>
      <c r="B17" s="585" t="s">
        <v>1452</v>
      </c>
      <c r="C17" s="294">
        <v>13</v>
      </c>
      <c r="D17" s="636">
        <f>IF(ISERROR('A9-Asset'!C69/'A6-FinPos'!C19),0,('A9-Asset'!C69/'A6-FinPos'!C19))</f>
        <v>4.8724952597193796E-2</v>
      </c>
      <c r="E17" s="636">
        <f>IF(ISERROR('A9-Asset'!D69/'A6-FinPos'!D19),0,('A9-Asset'!D69/'A6-FinPos'!D19))</f>
        <v>4.9255898451559914E-2</v>
      </c>
      <c r="F17" s="580">
        <f>IF(ISERROR('A9-Asset'!E69/'A6-FinPos'!E19),0,('A9-Asset'!E69/'A6-FinPos'!E19))</f>
        <v>2.0323504886105983E-2</v>
      </c>
      <c r="G17" s="1662">
        <f>IF(ISERROR('A9-Asset'!F69/'A6-FinPos'!F19),0,('A9-Asset'!F69/'A6-FinPos'!F19))</f>
        <v>1.0300144468230485E-2</v>
      </c>
      <c r="H17" s="636">
        <f>IF(ISERROR('A9-Asset'!G69/'A6-FinPos'!G19),0,('A9-Asset'!G69/'A6-FinPos'!G19))</f>
        <v>1.1137943534513785E-2</v>
      </c>
      <c r="I17" s="580">
        <f>IF(ISERROR('A9-Asset'!H69/'A6-FinPos'!H19),0,('A9-Asset'!H69/'A6-FinPos'!H19))</f>
        <v>1.1137943534513785E-2</v>
      </c>
      <c r="J17" s="598">
        <f>IF(ISERROR('A9-Asset'!I69/'A6-FinPos'!I19),0,('A9-Asset'!I69/'A6-FinPos'!I19))</f>
        <v>1.5239993807217989E-2</v>
      </c>
      <c r="K17" s="1662">
        <f>IF(ISERROR('A9-Asset'!J69/'A6-FinPos'!J19),0,('A9-Asset'!J69/'A6-FinPos'!J19))</f>
        <v>1.7219271058094298E-2</v>
      </c>
      <c r="L17" s="636">
        <f>IF(ISERROR('A9-Asset'!K69/'A6-FinPos'!K19),0,('A9-Asset'!K69/'A6-FinPos'!K19))</f>
        <v>1.8147200569130609E-2</v>
      </c>
      <c r="M17" s="580">
        <f>IF(ISERROR('A9-Asset'!L69/'A6-FinPos'!L19),0,('A9-Asset'!L69/'A6-FinPos'!L19))</f>
        <v>0</v>
      </c>
    </row>
    <row r="18" spans="1:13">
      <c r="A18" s="191" t="s">
        <v>1070</v>
      </c>
      <c r="B18" s="585" t="str">
        <f>B17</f>
        <v>20(1)(vi)</v>
      </c>
      <c r="C18" s="294">
        <v>14</v>
      </c>
      <c r="D18" s="636">
        <f t="shared" ref="D18:L18" si="2">IF(ISERROR(D58/D57),0,(D58/D57))</f>
        <v>0</v>
      </c>
      <c r="E18" s="582">
        <f t="shared" si="2"/>
        <v>0</v>
      </c>
      <c r="F18" s="580">
        <f t="shared" si="2"/>
        <v>0.54427142762128466</v>
      </c>
      <c r="G18" s="581">
        <f t="shared" si="2"/>
        <v>9.4908628371257575E-2</v>
      </c>
      <c r="H18" s="582">
        <f t="shared" si="2"/>
        <v>8.6277645295519137E-2</v>
      </c>
      <c r="I18" s="580">
        <f t="shared" si="2"/>
        <v>8.6277645295519137E-2</v>
      </c>
      <c r="J18" s="583">
        <f t="shared" si="2"/>
        <v>0.38678005538626381</v>
      </c>
      <c r="K18" s="584">
        <f t="shared" si="2"/>
        <v>0.35573685557943302</v>
      </c>
      <c r="L18" s="582">
        <f t="shared" si="2"/>
        <v>0.58624094449733333</v>
      </c>
      <c r="M18" s="580">
        <f>IF(ISERROR(M58/M57),0,((M58/M57)))</f>
        <v>0</v>
      </c>
    </row>
    <row r="19" spans="1:13" ht="6" customHeight="1">
      <c r="A19" s="337"/>
      <c r="B19" s="586"/>
      <c r="C19" s="587"/>
      <c r="D19" s="587"/>
      <c r="E19" s="586"/>
      <c r="F19" s="589"/>
      <c r="G19" s="590"/>
      <c r="H19" s="586"/>
      <c r="I19" s="589"/>
      <c r="J19" s="588"/>
      <c r="K19" s="591"/>
      <c r="L19" s="586"/>
      <c r="M19" s="589"/>
    </row>
    <row r="20" spans="1:13">
      <c r="A20" s="1000" t="str">
        <f>head27a</f>
        <v>References</v>
      </c>
      <c r="B20" s="592"/>
      <c r="C20" s="592"/>
      <c r="D20" s="592"/>
      <c r="E20" s="592"/>
      <c r="F20" s="592"/>
      <c r="G20" s="592"/>
      <c r="H20" s="592"/>
      <c r="I20" s="592"/>
      <c r="J20" s="592"/>
      <c r="K20" s="592"/>
      <c r="L20" s="592"/>
      <c r="M20" s="592"/>
    </row>
    <row r="21" spans="1:13">
      <c r="A21" s="240" t="s">
        <v>509</v>
      </c>
      <c r="B21" s="593"/>
      <c r="C21" s="593"/>
      <c r="D21" s="593"/>
      <c r="E21" s="593"/>
      <c r="F21" s="593"/>
      <c r="G21" s="593"/>
      <c r="H21" s="593"/>
      <c r="I21" s="593"/>
      <c r="J21" s="593"/>
      <c r="K21" s="593"/>
      <c r="L21" s="593"/>
      <c r="M21" s="593"/>
    </row>
    <row r="22" spans="1:13">
      <c r="A22" s="288" t="s">
        <v>1531</v>
      </c>
      <c r="B22" s="593"/>
      <c r="C22" s="593"/>
      <c r="D22" s="593"/>
      <c r="E22" s="593"/>
      <c r="F22" s="593"/>
      <c r="G22" s="593"/>
      <c r="H22" s="593"/>
      <c r="I22" s="593"/>
      <c r="J22" s="593"/>
      <c r="K22" s="593"/>
      <c r="L22" s="593"/>
      <c r="M22" s="593"/>
    </row>
    <row r="23" spans="1:13">
      <c r="A23" s="288" t="s">
        <v>722</v>
      </c>
      <c r="B23" s="593"/>
      <c r="C23" s="593"/>
      <c r="D23" s="593"/>
      <c r="E23" s="593"/>
      <c r="F23" s="593"/>
      <c r="G23" s="593"/>
      <c r="H23" s="593"/>
      <c r="I23" s="593"/>
      <c r="J23" s="593"/>
      <c r="K23" s="593"/>
      <c r="L23" s="593"/>
      <c r="M23" s="593"/>
    </row>
    <row r="24" spans="1:13">
      <c r="A24" s="288" t="s">
        <v>723</v>
      </c>
      <c r="B24" s="593"/>
      <c r="C24" s="593"/>
      <c r="D24" s="593"/>
      <c r="E24" s="593"/>
      <c r="F24" s="593"/>
      <c r="G24" s="593"/>
      <c r="H24" s="593"/>
      <c r="I24" s="593"/>
      <c r="J24" s="593"/>
      <c r="K24" s="593"/>
      <c r="L24" s="593"/>
      <c r="M24" s="593"/>
    </row>
    <row r="25" spans="1:13">
      <c r="A25" s="288" t="s">
        <v>847</v>
      </c>
      <c r="B25" s="593"/>
      <c r="C25" s="593"/>
      <c r="D25" s="593"/>
      <c r="E25" s="593"/>
      <c r="F25" s="593"/>
      <c r="G25" s="593"/>
      <c r="H25" s="593"/>
      <c r="I25" s="593"/>
      <c r="J25" s="593"/>
      <c r="K25" s="593"/>
      <c r="L25" s="593"/>
      <c r="M25" s="593"/>
    </row>
    <row r="26" spans="1:13">
      <c r="A26" s="288" t="s">
        <v>1136</v>
      </c>
      <c r="B26" s="593"/>
      <c r="C26" s="593"/>
      <c r="D26" s="593"/>
      <c r="E26" s="593"/>
      <c r="F26" s="593"/>
      <c r="G26" s="593"/>
      <c r="H26" s="593"/>
      <c r="I26" s="593"/>
      <c r="J26" s="593"/>
      <c r="K26" s="593"/>
      <c r="L26" s="593"/>
      <c r="M26" s="593"/>
    </row>
    <row r="27" spans="1:13">
      <c r="A27" s="288" t="s">
        <v>711</v>
      </c>
      <c r="B27" s="593"/>
      <c r="C27" s="593"/>
      <c r="D27" s="593"/>
      <c r="E27" s="593"/>
      <c r="F27" s="593"/>
      <c r="G27" s="593"/>
      <c r="H27" s="593"/>
      <c r="I27" s="593"/>
      <c r="J27" s="593"/>
      <c r="K27" s="593"/>
      <c r="L27" s="593"/>
      <c r="M27" s="593"/>
    </row>
    <row r="28" spans="1:13">
      <c r="A28" s="288" t="s">
        <v>1135</v>
      </c>
      <c r="B28" s="593"/>
      <c r="C28" s="593"/>
      <c r="D28" s="593"/>
      <c r="E28" s="593"/>
      <c r="F28" s="593"/>
      <c r="G28" s="593"/>
      <c r="H28" s="593"/>
      <c r="I28" s="593"/>
      <c r="J28" s="593"/>
      <c r="K28" s="593"/>
      <c r="L28" s="593"/>
      <c r="M28" s="593"/>
    </row>
    <row r="29" spans="1:13">
      <c r="A29" s="288" t="s">
        <v>1311</v>
      </c>
      <c r="B29" s="593"/>
      <c r="C29" s="593"/>
      <c r="D29" s="593"/>
      <c r="E29" s="593"/>
      <c r="F29" s="593"/>
      <c r="G29" s="593"/>
      <c r="H29" s="593"/>
      <c r="I29" s="593"/>
      <c r="J29" s="593"/>
      <c r="K29" s="593"/>
      <c r="L29" s="593"/>
      <c r="M29" s="593"/>
    </row>
    <row r="30" spans="1:13">
      <c r="A30" s="288" t="s">
        <v>363</v>
      </c>
      <c r="B30" s="593"/>
      <c r="C30" s="593"/>
      <c r="D30" s="593"/>
      <c r="E30" s="593"/>
      <c r="F30" s="593"/>
      <c r="G30" s="593"/>
      <c r="H30" s="593"/>
      <c r="I30" s="593"/>
      <c r="J30" s="593"/>
      <c r="K30" s="593"/>
      <c r="L30" s="593"/>
      <c r="M30" s="593"/>
    </row>
    <row r="31" spans="1:13">
      <c r="A31" s="288" t="s">
        <v>1958</v>
      </c>
      <c r="B31" s="593"/>
      <c r="C31" s="593"/>
      <c r="D31" s="593"/>
      <c r="E31" s="593"/>
      <c r="F31" s="593"/>
      <c r="G31" s="593"/>
      <c r="H31" s="593"/>
      <c r="I31" s="593"/>
      <c r="J31" s="593"/>
      <c r="K31" s="593"/>
      <c r="L31" s="593"/>
      <c r="M31" s="593"/>
    </row>
    <row r="32" spans="1:13">
      <c r="A32" s="288" t="s">
        <v>123</v>
      </c>
      <c r="B32" s="593"/>
      <c r="C32" s="593"/>
      <c r="D32" s="593"/>
      <c r="E32" s="593"/>
      <c r="F32" s="593"/>
      <c r="G32" s="593"/>
      <c r="H32" s="593"/>
      <c r="I32" s="593"/>
      <c r="J32" s="593"/>
      <c r="K32" s="593"/>
      <c r="L32" s="593"/>
      <c r="M32" s="593"/>
    </row>
    <row r="33" spans="1:18">
      <c r="A33" s="288" t="s">
        <v>712</v>
      </c>
      <c r="B33" s="593"/>
      <c r="C33" s="593"/>
      <c r="D33" s="593"/>
      <c r="E33" s="593"/>
      <c r="F33" s="593"/>
      <c r="G33" s="593"/>
      <c r="H33" s="593"/>
      <c r="I33" s="593"/>
      <c r="J33" s="593"/>
      <c r="K33" s="593"/>
      <c r="L33" s="593"/>
      <c r="M33" s="593"/>
    </row>
    <row r="34" spans="1:18">
      <c r="A34" s="288" t="s">
        <v>713</v>
      </c>
      <c r="B34" s="593"/>
      <c r="C34" s="593"/>
      <c r="D34" s="593"/>
      <c r="E34" s="593"/>
      <c r="F34" s="593"/>
      <c r="G34" s="593"/>
      <c r="H34" s="593"/>
      <c r="I34" s="593"/>
      <c r="J34" s="593"/>
      <c r="K34" s="593"/>
      <c r="L34" s="593"/>
      <c r="M34" s="593"/>
    </row>
    <row r="35" spans="1:18">
      <c r="A35" s="2160" t="s">
        <v>1315</v>
      </c>
      <c r="B35" s="2161"/>
      <c r="C35" s="2161"/>
      <c r="D35" s="2189"/>
      <c r="E35" s="2190"/>
      <c r="F35" s="2191"/>
      <c r="G35" s="404"/>
      <c r="H35" s="402"/>
      <c r="I35" s="402"/>
      <c r="J35" s="2191"/>
      <c r="K35" s="404"/>
      <c r="L35" s="402"/>
      <c r="M35" s="2191"/>
    </row>
    <row r="36" spans="1:18">
      <c r="A36" s="595" t="s">
        <v>979</v>
      </c>
      <c r="B36" s="596" t="s">
        <v>457</v>
      </c>
      <c r="C36" s="596"/>
      <c r="D36" s="2106"/>
      <c r="E36" s="2192">
        <f t="shared" ref="E36:E42" si="3">IF(ISERROR((E44/D44)-1),0,((E44/D44)-1))</f>
        <v>7.0345653226404403E-2</v>
      </c>
      <c r="F36" s="580">
        <f>IF(ISERROR((F44/E44)-1),0,((F44/E44)-1))</f>
        <v>0.24481065119429379</v>
      </c>
      <c r="G36" s="2194">
        <f>IF(ISERROR((G44/F44)-1),0,((G44/F44)-1))</f>
        <v>0.2088646305140669</v>
      </c>
      <c r="H36" s="2192">
        <f>IF(ISERROR((H44/G44)-1),0,((H44/G44)-1))</f>
        <v>1.8462021979273047E-3</v>
      </c>
      <c r="I36" s="2192">
        <f>IF(ISERROR((I44/H44)-1),0,((I44/H44)-1))</f>
        <v>-1.0323124577382714E-9</v>
      </c>
      <c r="J36" s="2195">
        <f>IF(ISERROR((J44/I44)-1),0,((J44/I44)-1))</f>
        <v>-1.0323124577382714E-9</v>
      </c>
      <c r="K36" s="584">
        <f>IF(ISERROR((K44/H44)-1),0,((K44/H44)-1))</f>
        <v>0.12862637910772579</v>
      </c>
      <c r="L36" s="636">
        <f>IF(ISERROR((L44/K44)-1),0,((L44/K44)-1))</f>
        <v>5.4412999493534286E-2</v>
      </c>
      <c r="M36" s="580">
        <f>IF(ISERROR((M44/L44)-1),0,((M44/L44)-1))</f>
        <v>5.6897755657778992E-2</v>
      </c>
      <c r="Q36" s="311"/>
      <c r="R36" s="311"/>
    </row>
    <row r="37" spans="1:18">
      <c r="A37" s="595" t="s">
        <v>980</v>
      </c>
      <c r="B37" s="596" t="s">
        <v>457</v>
      </c>
      <c r="C37" s="596"/>
      <c r="D37" s="2106"/>
      <c r="E37" s="2192">
        <f t="shared" si="3"/>
        <v>5.8789013363686804E-2</v>
      </c>
      <c r="F37" s="580">
        <f t="shared" ref="F37:M42" si="4">IF(ISERROR((F45/E45)-1),0,((F45/E45)-1))</f>
        <v>0.1281311752365244</v>
      </c>
      <c r="G37" s="2194">
        <f t="shared" si="4"/>
        <v>0.31984452534529417</v>
      </c>
      <c r="H37" s="2192">
        <f t="shared" si="4"/>
        <v>-0.20983568043974521</v>
      </c>
      <c r="I37" s="2192">
        <f t="shared" si="4"/>
        <v>0</v>
      </c>
      <c r="J37" s="2195">
        <f t="shared" si="4"/>
        <v>0</v>
      </c>
      <c r="K37" s="584">
        <f t="shared" ref="K37:K42" si="5">IF(ISERROR((K45/H45)-1),0,((K45/H45)-1))</f>
        <v>0.12545732296455481</v>
      </c>
      <c r="L37" s="636">
        <f t="shared" si="4"/>
        <v>5.3000000386987711E-2</v>
      </c>
      <c r="M37" s="580">
        <f t="shared" si="4"/>
        <v>5.4999999237417274E-2</v>
      </c>
      <c r="Q37" s="311"/>
      <c r="R37" s="311"/>
    </row>
    <row r="38" spans="1:18">
      <c r="A38" s="595" t="str">
        <f>"% incr "&amp;'A4-FinPerf RE'!A7</f>
        <v>% incr Service charges - electricity revenue</v>
      </c>
      <c r="B38" s="596" t="s">
        <v>457</v>
      </c>
      <c r="C38" s="596"/>
      <c r="D38" s="2106"/>
      <c r="E38" s="2192">
        <f t="shared" si="3"/>
        <v>8.5248428140349608E-2</v>
      </c>
      <c r="F38" s="580">
        <f t="shared" si="4"/>
        <v>0.39743522308674795</v>
      </c>
      <c r="G38" s="2194">
        <f t="shared" si="4"/>
        <v>0.1797670480500706</v>
      </c>
      <c r="H38" s="2192">
        <f t="shared" si="4"/>
        <v>7.8470419522326029E-2</v>
      </c>
      <c r="I38" s="2192">
        <f t="shared" si="4"/>
        <v>-9.6286512096810384E-10</v>
      </c>
      <c r="J38" s="2195">
        <f t="shared" si="4"/>
        <v>-9.6286512096810384E-10</v>
      </c>
      <c r="K38" s="584">
        <f t="shared" si="5"/>
        <v>0.14149280500834394</v>
      </c>
      <c r="L38" s="636">
        <f t="shared" si="4"/>
        <v>5.5606173143864845E-2</v>
      </c>
      <c r="M38" s="580">
        <f>IF(ISERROR((M46/L46)-1),0,((M46/L46)-1))</f>
        <v>5.8496315231389762E-2</v>
      </c>
      <c r="Q38" s="311"/>
      <c r="R38" s="311"/>
    </row>
    <row r="39" spans="1:18">
      <c r="A39" s="595" t="str">
        <f>"% incr "&amp;'A4-FinPerf RE'!A8</f>
        <v>% incr Service charges - water revenue</v>
      </c>
      <c r="B39" s="596" t="s">
        <v>457</v>
      </c>
      <c r="C39" s="596"/>
      <c r="D39" s="2106"/>
      <c r="E39" s="2192">
        <f t="shared" si="3"/>
        <v>6.0955885031413803E-2</v>
      </c>
      <c r="F39" s="580">
        <f t="shared" si="4"/>
        <v>7.0016286301605168E-2</v>
      </c>
      <c r="G39" s="2194">
        <f t="shared" si="4"/>
        <v>8.7158716605394426E-2</v>
      </c>
      <c r="H39" s="2192">
        <f t="shared" si="4"/>
        <v>0.16678598966694769</v>
      </c>
      <c r="I39" s="2192">
        <f t="shared" si="4"/>
        <v>0</v>
      </c>
      <c r="J39" s="2195">
        <f t="shared" si="4"/>
        <v>0</v>
      </c>
      <c r="K39" s="584">
        <f t="shared" si="5"/>
        <v>0.11408688150788882</v>
      </c>
      <c r="L39" s="636">
        <f t="shared" si="4"/>
        <v>5.300000061277288E-2</v>
      </c>
      <c r="M39" s="580">
        <f t="shared" si="4"/>
        <v>5.4999998238480785E-2</v>
      </c>
      <c r="Q39" s="311"/>
      <c r="R39" s="311"/>
    </row>
    <row r="40" spans="1:18">
      <c r="A40" s="595" t="str">
        <f>"% incr "&amp;'A4-FinPerf RE'!A9</f>
        <v>% incr Service charges - sanitation revenue</v>
      </c>
      <c r="B40" s="596" t="s">
        <v>457</v>
      </c>
      <c r="C40" s="596"/>
      <c r="D40" s="2106"/>
      <c r="E40" s="2192">
        <f t="shared" si="3"/>
        <v>5.6333192957644052E-2</v>
      </c>
      <c r="F40" s="580">
        <f t="shared" si="4"/>
        <v>0.17634175924983886</v>
      </c>
      <c r="G40" s="2194">
        <f t="shared" si="4"/>
        <v>0.19600413174279496</v>
      </c>
      <c r="H40" s="2192">
        <f t="shared" si="4"/>
        <v>0.14343552766361367</v>
      </c>
      <c r="I40" s="2192">
        <f t="shared" si="4"/>
        <v>0</v>
      </c>
      <c r="J40" s="2195">
        <f t="shared" si="4"/>
        <v>0</v>
      </c>
      <c r="K40" s="584">
        <f t="shared" si="5"/>
        <v>9.156320090963832E-2</v>
      </c>
      <c r="L40" s="636">
        <f t="shared" si="4"/>
        <v>5.3000000922998058E-2</v>
      </c>
      <c r="M40" s="580">
        <f t="shared" si="4"/>
        <v>5.5000000834801277E-2</v>
      </c>
      <c r="Q40" s="311"/>
      <c r="R40" s="311"/>
    </row>
    <row r="41" spans="1:18">
      <c r="A41" s="595" t="str">
        <f>"% incr "&amp;'A4-FinPerf RE'!A10</f>
        <v>% incr Service charges - refuse revenue</v>
      </c>
      <c r="B41" s="596" t="s">
        <v>457</v>
      </c>
      <c r="C41" s="596"/>
      <c r="D41" s="2106"/>
      <c r="E41" s="2192">
        <f t="shared" si="3"/>
        <v>4.4712169008383595E-2</v>
      </c>
      <c r="F41" s="580">
        <f t="shared" si="4"/>
        <v>0.15234889915382466</v>
      </c>
      <c r="G41" s="2194">
        <f t="shared" si="4"/>
        <v>0.24387576270125044</v>
      </c>
      <c r="H41" s="2192">
        <f t="shared" si="4"/>
        <v>-2.807942118541884E-2</v>
      </c>
      <c r="I41" s="2192">
        <f t="shared" si="4"/>
        <v>-1.552271189364518E-8</v>
      </c>
      <c r="J41" s="2195">
        <f t="shared" si="4"/>
        <v>-1.5522712115689785E-8</v>
      </c>
      <c r="K41" s="584">
        <f t="shared" si="5"/>
        <v>6.4909865122690924E-2</v>
      </c>
      <c r="L41" s="636">
        <f t="shared" si="4"/>
        <v>5.3000000481026044E-2</v>
      </c>
      <c r="M41" s="580">
        <f t="shared" si="4"/>
        <v>5.4999994739706626E-2</v>
      </c>
      <c r="Q41" s="311"/>
      <c r="R41" s="311"/>
    </row>
    <row r="42" spans="1:18">
      <c r="A42" s="595" t="str">
        <f>"% incr in "&amp;'A4-FinPerf RE'!A11</f>
        <v>% incr in Service charges - other</v>
      </c>
      <c r="B42" s="596" t="s">
        <v>457</v>
      </c>
      <c r="C42" s="596"/>
      <c r="D42" s="2106"/>
      <c r="E42" s="2192">
        <f t="shared" si="3"/>
        <v>0</v>
      </c>
      <c r="F42" s="580">
        <f t="shared" si="4"/>
        <v>0</v>
      </c>
      <c r="G42" s="2194">
        <f t="shared" si="4"/>
        <v>0</v>
      </c>
      <c r="H42" s="2192">
        <f t="shared" si="4"/>
        <v>0</v>
      </c>
      <c r="I42" s="2192">
        <f>IF(ISERROR((I50/H50)-1),0,((I50/H50)-1))</f>
        <v>0</v>
      </c>
      <c r="J42" s="2195">
        <f t="shared" si="4"/>
        <v>0</v>
      </c>
      <c r="K42" s="584">
        <f t="shared" si="5"/>
        <v>0</v>
      </c>
      <c r="L42" s="636">
        <f>IF(ISERROR((L50/K50)-1),0,((L50/K50)-1))</f>
        <v>0</v>
      </c>
      <c r="M42" s="580">
        <f t="shared" si="4"/>
        <v>0</v>
      </c>
      <c r="Q42" s="311"/>
      <c r="R42" s="311"/>
    </row>
    <row r="43" spans="1:18">
      <c r="A43" s="595" t="s">
        <v>825</v>
      </c>
      <c r="B43" s="596" t="s">
        <v>457</v>
      </c>
      <c r="C43" s="596"/>
      <c r="D43" s="1316">
        <f>SUM(D45:D51)</f>
        <v>1216357157</v>
      </c>
      <c r="E43" s="193">
        <f t="shared" ref="E43:M43" si="6">SUM(E45:E51)</f>
        <v>1302198616</v>
      </c>
      <c r="F43" s="1317">
        <f t="shared" si="6"/>
        <v>1615277100</v>
      </c>
      <c r="G43" s="1316">
        <f t="shared" si="6"/>
        <v>1951273727</v>
      </c>
      <c r="H43" s="193">
        <f t="shared" si="6"/>
        <v>1954843650</v>
      </c>
      <c r="I43" s="193">
        <f t="shared" si="6"/>
        <v>1954843648</v>
      </c>
      <c r="J43" s="1317">
        <f>SUM(J45:J51)</f>
        <v>1954843646</v>
      </c>
      <c r="K43" s="1316">
        <f>SUM(K45:K51)</f>
        <v>2204859546</v>
      </c>
      <c r="L43" s="193">
        <f t="shared" si="6"/>
        <v>2324781317.2979999</v>
      </c>
      <c r="M43" s="1317">
        <f t="shared" si="6"/>
        <v>2457019713.2793899</v>
      </c>
    </row>
    <row r="44" spans="1:18">
      <c r="A44" s="595" t="s">
        <v>1761</v>
      </c>
      <c r="B44" s="596"/>
      <c r="C44" s="596"/>
      <c r="D44" s="1316">
        <f>SUM(D45:D50)</f>
        <v>1200639885</v>
      </c>
      <c r="E44" s="193">
        <f t="shared" ref="E44:M44" si="7">SUM(E45:E50)</f>
        <v>1285099682</v>
      </c>
      <c r="F44" s="1317">
        <f t="shared" si="7"/>
        <v>1599705772</v>
      </c>
      <c r="G44" s="1316">
        <f t="shared" si="7"/>
        <v>1933827727</v>
      </c>
      <c r="H44" s="193">
        <f t="shared" si="7"/>
        <v>1937397964</v>
      </c>
      <c r="I44" s="193">
        <f t="shared" si="7"/>
        <v>1937397962</v>
      </c>
      <c r="J44" s="1317">
        <f>SUM(J45:J50)</f>
        <v>1937397960</v>
      </c>
      <c r="K44" s="1316">
        <f t="shared" si="7"/>
        <v>2186598449</v>
      </c>
      <c r="L44" s="193">
        <f t="shared" si="7"/>
        <v>2305577829.2979999</v>
      </c>
      <c r="M44" s="1317">
        <f t="shared" si="7"/>
        <v>2436760033.2793899</v>
      </c>
    </row>
    <row r="45" spans="1:18">
      <c r="A45" s="595" t="s">
        <v>572</v>
      </c>
      <c r="B45" s="596"/>
      <c r="C45" s="596"/>
      <c r="D45" s="1316">
        <f>'A4-FinPerf RE'!C5+'A4-FinPerf RE'!C6</f>
        <v>368633300</v>
      </c>
      <c r="E45" s="193">
        <f>'A4-FinPerf RE'!D5+'A4-FinPerf RE'!D6</f>
        <v>390304888</v>
      </c>
      <c r="F45" s="1317">
        <f>'A4-FinPerf RE'!E5+'A4-FinPerf RE'!E6</f>
        <v>440315112</v>
      </c>
      <c r="G45" s="1316">
        <f>'A4-FinPerf RE'!F5+'A4-FinPerf RE'!F6</f>
        <v>581147490</v>
      </c>
      <c r="H45" s="193">
        <f>'A4-FinPerf RE'!G5+'A4-FinPerf RE'!G6</f>
        <v>459202011</v>
      </c>
      <c r="I45" s="193">
        <f>'A4-FinPerf RE'!H5+'A4-FinPerf RE'!H6</f>
        <v>459202011</v>
      </c>
      <c r="J45" s="1317">
        <f>'A4-FinPerf RE'!I5+'A4-FinPerf RE'!I6</f>
        <v>459202011</v>
      </c>
      <c r="K45" s="1316">
        <f>'A4-FinPerf RE'!J5+'A4-FinPerf RE'!J6</f>
        <v>516812266</v>
      </c>
      <c r="L45" s="193">
        <f>'A4-FinPerf RE'!K5+'A4-FinPerf RE'!K6</f>
        <v>544203316.29799998</v>
      </c>
      <c r="M45" s="1317">
        <f>'A4-FinPerf RE'!L5+'A4-FinPerf RE'!L6</f>
        <v>574134498.27938998</v>
      </c>
    </row>
    <row r="46" spans="1:18">
      <c r="A46" s="595" t="s">
        <v>1964</v>
      </c>
      <c r="B46" s="596"/>
      <c r="C46" s="596"/>
      <c r="D46" s="1316">
        <f>'A4-FinPerf RE'!C7</f>
        <v>538231578</v>
      </c>
      <c r="E46" s="193">
        <f>'A4-FinPerf RE'!D7</f>
        <v>584114974</v>
      </c>
      <c r="F46" s="1317">
        <f>'A4-FinPerf RE'!E7</f>
        <v>816262839</v>
      </c>
      <c r="G46" s="1316">
        <f>'A4-FinPerf RE'!F7</f>
        <v>963000000</v>
      </c>
      <c r="H46" s="193">
        <f>'A4-FinPerf RE'!G7</f>
        <v>1038567014</v>
      </c>
      <c r="I46" s="193">
        <f>'A4-FinPerf RE'!H7</f>
        <v>1038567013</v>
      </c>
      <c r="J46" s="1317">
        <f>'A4-FinPerf RE'!I7</f>
        <v>1038567012</v>
      </c>
      <c r="K46" s="1316">
        <f>'A4-FinPerf RE'!J7</f>
        <v>1185516774</v>
      </c>
      <c r="L46" s="193">
        <f>'A4-FinPerf RE'!K7</f>
        <v>1251438825</v>
      </c>
      <c r="M46" s="1317">
        <f>'A4-FinPerf RE'!L7</f>
        <v>1324643385</v>
      </c>
    </row>
    <row r="47" spans="1:18">
      <c r="A47" s="595" t="s">
        <v>1965</v>
      </c>
      <c r="B47" s="596"/>
      <c r="C47" s="596"/>
      <c r="D47" s="1316">
        <f>'A4-FinPerf RE'!C8</f>
        <v>188183405</v>
      </c>
      <c r="E47" s="193">
        <f>'A4-FinPerf RE'!D8</f>
        <v>199654291</v>
      </c>
      <c r="F47" s="1317">
        <f>'A4-FinPerf RE'!E8</f>
        <v>213633343</v>
      </c>
      <c r="G47" s="1316">
        <f>'A4-FinPerf RE'!F8</f>
        <v>232253351</v>
      </c>
      <c r="H47" s="193">
        <f>'A4-FinPerf RE'!G8</f>
        <v>270989956</v>
      </c>
      <c r="I47" s="193">
        <f>'A4-FinPerf RE'!H8</f>
        <v>270989956</v>
      </c>
      <c r="J47" s="1317">
        <f>'A4-FinPerf RE'!I8</f>
        <v>270989956</v>
      </c>
      <c r="K47" s="1316">
        <f>'A4-FinPerf RE'!J8</f>
        <v>301906355</v>
      </c>
      <c r="L47" s="193">
        <f>'A4-FinPerf RE'!K8</f>
        <v>317907392</v>
      </c>
      <c r="M47" s="1317">
        <f>'A4-FinPerf RE'!L8</f>
        <v>335392298</v>
      </c>
    </row>
    <row r="48" spans="1:18">
      <c r="A48" s="595" t="s">
        <v>1006</v>
      </c>
      <c r="B48" s="596"/>
      <c r="C48" s="596"/>
      <c r="D48" s="1316">
        <f>'A4-FinPerf RE'!C9</f>
        <v>61328283</v>
      </c>
      <c r="E48" s="193">
        <f>'A4-FinPerf RE'!D9</f>
        <v>64783101</v>
      </c>
      <c r="F48" s="1317">
        <f>'A4-FinPerf RE'!E9</f>
        <v>76207067</v>
      </c>
      <c r="G48" s="1316">
        <f>'A4-FinPerf RE'!F9</f>
        <v>91143967</v>
      </c>
      <c r="H48" s="193">
        <f>'A4-FinPerf RE'!G9</f>
        <v>104217250</v>
      </c>
      <c r="I48" s="193">
        <f>'A4-FinPerf RE'!H9</f>
        <v>104217250</v>
      </c>
      <c r="J48" s="1317">
        <f>'A4-FinPerf RE'!I9</f>
        <v>104217250</v>
      </c>
      <c r="K48" s="1316">
        <f>'A4-FinPerf RE'!J9</f>
        <v>113759715</v>
      </c>
      <c r="L48" s="193">
        <f>'A4-FinPerf RE'!K9</f>
        <v>119788980</v>
      </c>
      <c r="M48" s="1317">
        <f>'A4-FinPerf RE'!L9</f>
        <v>126377374</v>
      </c>
    </row>
    <row r="49" spans="1:13">
      <c r="A49" s="595" t="s">
        <v>1007</v>
      </c>
      <c r="B49" s="596"/>
      <c r="C49" s="596"/>
      <c r="D49" s="1316">
        <f>'A4-FinPerf RE'!C10</f>
        <v>44263319</v>
      </c>
      <c r="E49" s="193">
        <f>'A4-FinPerf RE'!D10</f>
        <v>46242428</v>
      </c>
      <c r="F49" s="1317">
        <f>'A4-FinPerf RE'!E10</f>
        <v>53287411</v>
      </c>
      <c r="G49" s="1316">
        <f>'A4-FinPerf RE'!F10</f>
        <v>66282919</v>
      </c>
      <c r="H49" s="193">
        <f>'A4-FinPerf RE'!G10</f>
        <v>64421733</v>
      </c>
      <c r="I49" s="193">
        <f>'A4-FinPerf RE'!H10</f>
        <v>64421732</v>
      </c>
      <c r="J49" s="1317">
        <f>'A4-FinPerf RE'!I10</f>
        <v>64421731</v>
      </c>
      <c r="K49" s="1316">
        <f>'A4-FinPerf RE'!J10</f>
        <v>68603339</v>
      </c>
      <c r="L49" s="193">
        <f>'A4-FinPerf RE'!K10</f>
        <v>72239316</v>
      </c>
      <c r="M49" s="1317">
        <f>'A4-FinPerf RE'!L10</f>
        <v>76212478</v>
      </c>
    </row>
    <row r="50" spans="1:13">
      <c r="A50" s="595" t="s">
        <v>1008</v>
      </c>
      <c r="B50" s="596"/>
      <c r="C50" s="596"/>
      <c r="D50" s="1316">
        <f>'A4-FinPerf RE'!C11</f>
        <v>0</v>
      </c>
      <c r="E50" s="193">
        <f>'A4-FinPerf RE'!D11</f>
        <v>0</v>
      </c>
      <c r="F50" s="1317">
        <f>'A4-FinPerf RE'!E11</f>
        <v>0</v>
      </c>
      <c r="G50" s="1316">
        <f>'A4-FinPerf RE'!F11</f>
        <v>0</v>
      </c>
      <c r="H50" s="193">
        <f>'A4-FinPerf RE'!G11</f>
        <v>0</v>
      </c>
      <c r="I50" s="193">
        <f>'A4-FinPerf RE'!H11</f>
        <v>0</v>
      </c>
      <c r="J50" s="1317">
        <f>'A4-FinPerf RE'!I11</f>
        <v>0</v>
      </c>
      <c r="K50" s="1316">
        <f>'A4-FinPerf RE'!J11</f>
        <v>0</v>
      </c>
      <c r="L50" s="193">
        <f>'A4-FinPerf RE'!K11</f>
        <v>0</v>
      </c>
      <c r="M50" s="1317">
        <f>'A4-FinPerf RE'!L11</f>
        <v>0</v>
      </c>
    </row>
    <row r="51" spans="1:13">
      <c r="A51" s="595" t="str">
        <f>'A4-FinPerf RE'!A12</f>
        <v>Rental of facilities and equipment</v>
      </c>
      <c r="B51" s="596"/>
      <c r="C51" s="596"/>
      <c r="D51" s="1316">
        <f>'A4-FinPerf RE'!C12</f>
        <v>15717272</v>
      </c>
      <c r="E51" s="193">
        <f>'A4-FinPerf RE'!D12</f>
        <v>17098934</v>
      </c>
      <c r="F51" s="1317">
        <f>'A4-FinPerf RE'!E12</f>
        <v>15571328</v>
      </c>
      <c r="G51" s="1316">
        <f>'A4-FinPerf RE'!F12</f>
        <v>17446000</v>
      </c>
      <c r="H51" s="193">
        <f>'A4-FinPerf RE'!G12</f>
        <v>17445686</v>
      </c>
      <c r="I51" s="193">
        <f>'A4-FinPerf RE'!H12</f>
        <v>17445686</v>
      </c>
      <c r="J51" s="1317">
        <f>'A4-FinPerf RE'!I12</f>
        <v>17445686</v>
      </c>
      <c r="K51" s="1316">
        <f>'A4-FinPerf RE'!J12</f>
        <v>18261097</v>
      </c>
      <c r="L51" s="193">
        <f>'A4-FinPerf RE'!K12</f>
        <v>19203488</v>
      </c>
      <c r="M51" s="1317">
        <f>'A4-FinPerf RE'!L12</f>
        <v>20259680</v>
      </c>
    </row>
    <row r="52" spans="1:13">
      <c r="A52" s="595" t="s">
        <v>1064</v>
      </c>
      <c r="B52" s="596"/>
      <c r="C52" s="596"/>
      <c r="D52" s="1316">
        <f>'A5-Capex'!C40-'A5-Capex'!C70</f>
        <v>-98779133</v>
      </c>
      <c r="E52" s="193">
        <f>'A5-Capex'!D40-'A5-Capex'!D70</f>
        <v>-86817000</v>
      </c>
      <c r="F52" s="1317">
        <f>'A5-Capex'!E40-'A5-Capex'!E70</f>
        <v>97626255</v>
      </c>
      <c r="G52" s="1316">
        <f>'A5-Capex'!F40-'A5-Capex'!F70</f>
        <v>159424000</v>
      </c>
      <c r="H52" s="193">
        <f>'A5-Capex'!G40-'A5-Capex'!G70</f>
        <v>268034741</v>
      </c>
      <c r="I52" s="193">
        <f>'A5-Capex'!H40-'A5-Capex'!H70</f>
        <v>268034741</v>
      </c>
      <c r="J52" s="1317">
        <f>'A5-Capex'!I40-'A5-Capex'!I70</f>
        <v>268034741</v>
      </c>
      <c r="K52" s="1316">
        <f>'A5-Capex'!J40-'A5-Capex'!J70</f>
        <v>108191300</v>
      </c>
      <c r="L52" s="193">
        <f>'A5-Capex'!K40-'A5-Capex'!K70</f>
        <v>48561300</v>
      </c>
      <c r="M52" s="1317">
        <f>'A5-Capex'!L40-'A5-Capex'!L70</f>
        <v>0</v>
      </c>
    </row>
    <row r="53" spans="1:13">
      <c r="A53" s="595" t="s">
        <v>1063</v>
      </c>
      <c r="B53" s="596" t="s">
        <v>457</v>
      </c>
      <c r="C53" s="596"/>
      <c r="D53" s="207">
        <f>'A7-CFlow'!C6+'A7-CFlow'!C20</f>
        <v>1320539000</v>
      </c>
      <c r="E53" s="204">
        <f>'A7-CFlow'!D6+'A7-CFlow'!D20</f>
        <v>2139577797</v>
      </c>
      <c r="F53" s="821">
        <f>'A7-CFlow'!E6+'A7-CFlow'!E20</f>
        <v>1924972756</v>
      </c>
      <c r="G53" s="207">
        <f>'A7-CFlow'!F6+'A7-CFlow'!F20</f>
        <v>1696036929</v>
      </c>
      <c r="H53" s="204">
        <f>'A7-CFlow'!G6+'A7-CFlow'!G20</f>
        <v>2025595540</v>
      </c>
      <c r="I53" s="204">
        <f>'A7-CFlow'!H6+'A7-CFlow'!H20</f>
        <v>2025595540</v>
      </c>
      <c r="J53" s="821">
        <f>'A7-CFlow'!I6+'A7-CFlow'!I20</f>
        <v>2025595540</v>
      </c>
      <c r="K53" s="207">
        <f>'A7-CFlow'!J6+'A7-CFlow'!J20</f>
        <v>2041948000</v>
      </c>
      <c r="L53" s="204">
        <f>'A7-CFlow'!K6+'A7-CFlow'!K20</f>
        <v>2420158848</v>
      </c>
      <c r="M53" s="1317">
        <f>'A7-CFlow'!L6+'A7-CFlow'!L20</f>
        <v>2557643009</v>
      </c>
    </row>
    <row r="54" spans="1:13">
      <c r="A54" s="600" t="s">
        <v>1959</v>
      </c>
      <c r="B54" s="596" t="s">
        <v>457</v>
      </c>
      <c r="C54" s="596"/>
      <c r="D54" s="207">
        <f>SUM('A4-FinPerf RE'!C5:C12)+SUM('A4-FinPerf RE'!C16:C18)+'A4-FinPerf RE'!C20</f>
        <v>1678333069</v>
      </c>
      <c r="E54" s="204">
        <f>SUM('A4-FinPerf RE'!D5:D12)+SUM('A4-FinPerf RE'!D16:D18)+'A4-FinPerf RE'!D20</f>
        <v>1620403682</v>
      </c>
      <c r="F54" s="821">
        <f>SUM('A4-FinPerf RE'!E5:E12)+SUM('A4-FinPerf RE'!E16:E18)+'A4-FinPerf RE'!E20</f>
        <v>2496196858</v>
      </c>
      <c r="G54" s="207">
        <f>SUM('A4-FinPerf RE'!F5:F12)+SUM('A4-FinPerf RE'!F16:F18)+'A4-FinPerf RE'!F20</f>
        <v>2052366727</v>
      </c>
      <c r="H54" s="204">
        <f>SUM('A4-FinPerf RE'!G5:G12)+SUM('A4-FinPerf RE'!G16:G18)+'A4-FinPerf RE'!G20</f>
        <v>2708048744</v>
      </c>
      <c r="I54" s="204">
        <f>SUM('A4-FinPerf RE'!H5:H12)+SUM('A4-FinPerf RE'!H16:H18)+'A4-FinPerf RE'!H20</f>
        <v>2708048742</v>
      </c>
      <c r="J54" s="821">
        <f>SUM('A4-FinPerf RE'!I5:I12)+SUM('A4-FinPerf RE'!I16:I18)+'A4-FinPerf RE'!I20</f>
        <v>2708048740</v>
      </c>
      <c r="K54" s="207">
        <f>SUM('A4-FinPerf RE'!J5:J12)+SUM('A4-FinPerf RE'!J16:J18)+'A4-FinPerf RE'!J20</f>
        <v>2996246657</v>
      </c>
      <c r="L54" s="204">
        <f>SUM('A4-FinPerf RE'!K5:K12)+SUM('A4-FinPerf RE'!K16:K18)+'A4-FinPerf RE'!K20</f>
        <v>3167785862.698</v>
      </c>
      <c r="M54" s="821">
        <f>SUM('A4-FinPerf RE'!L5:L12)+SUM('A4-FinPerf RE'!L16:L18)+'A4-FinPerf RE'!L20</f>
        <v>3293878149.6213899</v>
      </c>
    </row>
    <row r="55" spans="1:13">
      <c r="A55" s="600" t="s">
        <v>707</v>
      </c>
      <c r="B55" s="596"/>
      <c r="C55" s="596"/>
      <c r="D55" s="207">
        <f>D84</f>
        <v>-91215304.333333373</v>
      </c>
      <c r="E55" s="204">
        <f>(SUM('A6-FinPos'!D8:D10)+'A6-FinPos'!D15)-(SUM('A6-FinPos'!C8:C10)+'A6-FinPos'!C15)</f>
        <v>37369259</v>
      </c>
      <c r="F55" s="821">
        <f>(SUM('A6-FinPos'!E8:E10)+'A6-FinPos'!E15)-(SUM('A6-FinPos'!D8:D10)+'A6-FinPos'!D15)</f>
        <v>-96295707</v>
      </c>
      <c r="G55" s="207">
        <f>(SUM('A6-FinPos'!F8:F10)+'A6-FinPos'!F15)-(SUM('A6-FinPos'!E8:E10)+'A6-FinPos'!E15)</f>
        <v>342734347</v>
      </c>
      <c r="H55" s="204">
        <f>(SUM('A6-FinPos'!G8:G10)+'A6-FinPos'!G15)-(SUM('A6-FinPos'!E8:E10)+'A6-FinPos'!E15)</f>
        <v>541546707</v>
      </c>
      <c r="I55" s="204">
        <f>(SUM('A6-FinPos'!H8:H10)+'A6-FinPos'!H15)-(SUM('A6-FinPos'!E8:E10)+'A6-FinPos'!E15)</f>
        <v>541546707</v>
      </c>
      <c r="J55" s="821">
        <f>(SUM('A6-FinPos'!I8:I10)+'A6-FinPos'!I15)-(SUM('A6-FinPos'!E8:E10)+'A6-FinPos'!E15)</f>
        <v>541546707</v>
      </c>
      <c r="K55" s="207">
        <f>(SUM('A6-FinPos'!J8:J10)+'A6-FinPos'!J15)-(SUM('A6-FinPos'!F8:F10)+'A6-FinPos'!F15)</f>
        <v>227201160</v>
      </c>
      <c r="L55" s="204">
        <f>(SUM('A6-FinPos'!K8:K10)+'A6-FinPos'!K15)-(SUM('A6-FinPos'!J8:J10)+'A6-FinPos'!J15)</f>
        <v>84818388</v>
      </c>
      <c r="M55" s="821">
        <f>(SUM('A6-FinPos'!L8:L10)+'A6-FinPos'!L15)-(SUM('A6-FinPos'!K8:K10)+'A6-FinPos'!K15)</f>
        <v>84027481</v>
      </c>
    </row>
    <row r="56" spans="1:13">
      <c r="A56" s="600" t="s">
        <v>1314</v>
      </c>
      <c r="B56" s="596" t="s">
        <v>457</v>
      </c>
      <c r="C56" s="596"/>
      <c r="D56" s="207">
        <f>'A4-FinPerf RE'!C19+'A4-FinPerf RE'!C39</f>
        <v>216454854</v>
      </c>
      <c r="E56" s="204">
        <f>'A4-FinPerf RE'!D19+'A4-FinPerf RE'!D39</f>
        <v>278833958</v>
      </c>
      <c r="F56" s="821">
        <f>'A4-FinPerf RE'!E19+'A4-FinPerf RE'!E39</f>
        <v>354429172</v>
      </c>
      <c r="G56" s="207">
        <f>'A4-FinPerf RE'!F19+'A4-FinPerf RE'!F39</f>
        <v>435847266</v>
      </c>
      <c r="H56" s="204">
        <f>'A4-FinPerf RE'!G19+'A4-FinPerf RE'!G39</f>
        <v>449020131</v>
      </c>
      <c r="I56" s="204">
        <f>'A4-FinPerf RE'!H19+'A4-FinPerf RE'!H39</f>
        <v>449020131</v>
      </c>
      <c r="J56" s="821">
        <f>'A4-FinPerf RE'!I19+'A4-FinPerf RE'!I39</f>
        <v>449020131</v>
      </c>
      <c r="K56" s="207">
        <f>'A4-FinPerf RE'!J19+'A4-FinPerf RE'!J39</f>
        <v>737444300</v>
      </c>
      <c r="L56" s="204">
        <f>'A4-FinPerf RE'!K19+'A4-FinPerf RE'!K39</f>
        <v>676531460</v>
      </c>
      <c r="M56" s="821">
        <f>'A4-FinPerf RE'!L19+'A4-FinPerf RE'!L39</f>
        <v>613344300</v>
      </c>
    </row>
    <row r="57" spans="1:13">
      <c r="A57" s="600" t="s">
        <v>1316</v>
      </c>
      <c r="B57" s="601" t="str">
        <f>B17</f>
        <v>20(1)(vi)</v>
      </c>
      <c r="C57" s="596"/>
      <c r="D57" s="207">
        <f>'A5-Capex'!C21</f>
        <v>0</v>
      </c>
      <c r="E57" s="204">
        <f>'A5-Capex'!D21</f>
        <v>0</v>
      </c>
      <c r="F57" s="821">
        <f>'A5-Capex'!E21</f>
        <v>176033492</v>
      </c>
      <c r="G57" s="207">
        <f>'A5-Capex'!F21</f>
        <v>295937266</v>
      </c>
      <c r="H57" s="204">
        <f>'A5-Capex'!G21</f>
        <v>394548007</v>
      </c>
      <c r="I57" s="204">
        <f>'A5-Capex'!H21</f>
        <v>394548007</v>
      </c>
      <c r="J57" s="821">
        <f>'A5-Capex'!I21</f>
        <v>394548007</v>
      </c>
      <c r="K57" s="207">
        <f>'A5-Capex'!J21</f>
        <v>411313300</v>
      </c>
      <c r="L57" s="204">
        <f>'A5-Capex'!K21</f>
        <v>310819300</v>
      </c>
      <c r="M57" s="821">
        <f>'A5-Capex'!L21</f>
        <v>214215000</v>
      </c>
    </row>
    <row r="58" spans="1:13">
      <c r="A58" s="600" t="s">
        <v>1317</v>
      </c>
      <c r="B58" s="601" t="str">
        <f>B18</f>
        <v>20(1)(vi)</v>
      </c>
      <c r="C58" s="596"/>
      <c r="D58" s="207">
        <f>'A9-Asset'!C20</f>
        <v>13213941</v>
      </c>
      <c r="E58" s="204">
        <f>'A9-Asset'!D20</f>
        <v>76982173</v>
      </c>
      <c r="F58" s="821">
        <f>'A9-Asset'!E20</f>
        <v>95810000</v>
      </c>
      <c r="G58" s="207">
        <f>'A9-Asset'!F20</f>
        <v>28087000</v>
      </c>
      <c r="H58" s="204">
        <f>'A9-Asset'!G20</f>
        <v>34040673</v>
      </c>
      <c r="I58" s="204">
        <f>'A9-Asset'!H20</f>
        <v>34040673</v>
      </c>
      <c r="J58" s="821">
        <f>'A9-Asset'!I20</f>
        <v>152603300</v>
      </c>
      <c r="K58" s="207">
        <f>'A9-Asset'!J20</f>
        <v>146319300</v>
      </c>
      <c r="L58" s="204">
        <f>'A9-Asset'!K20</f>
        <v>182215000</v>
      </c>
      <c r="M58" s="821">
        <f>'A9-Asset'!L20</f>
        <v>0</v>
      </c>
    </row>
    <row r="59" spans="1:13" ht="6" customHeight="1">
      <c r="A59" s="600"/>
      <c r="B59" s="596"/>
      <c r="C59" s="596"/>
      <c r="D59" s="2108"/>
      <c r="E59" s="294"/>
      <c r="F59" s="2193"/>
      <c r="G59" s="407"/>
      <c r="H59" s="406"/>
      <c r="I59" s="406"/>
      <c r="J59" s="2193"/>
      <c r="K59" s="407"/>
      <c r="L59" s="406"/>
      <c r="M59" s="2193"/>
    </row>
    <row r="60" spans="1:13">
      <c r="A60" s="594" t="s">
        <v>9</v>
      </c>
      <c r="B60" s="596"/>
      <c r="C60" s="596"/>
      <c r="D60" s="2108"/>
      <c r="E60" s="294"/>
      <c r="F60" s="2193"/>
      <c r="G60" s="407"/>
      <c r="H60" s="406"/>
      <c r="I60" s="406"/>
      <c r="J60" s="2193"/>
      <c r="K60" s="407"/>
      <c r="L60" s="406"/>
      <c r="M60" s="2193"/>
    </row>
    <row r="61" spans="1:13">
      <c r="A61" s="600" t="s">
        <v>492</v>
      </c>
      <c r="B61" s="596"/>
      <c r="C61" s="596"/>
      <c r="D61" s="2194">
        <v>0.06</v>
      </c>
      <c r="E61" s="2192">
        <v>0.06</v>
      </c>
      <c r="F61" s="2195">
        <v>0.06</v>
      </c>
      <c r="G61" s="2194">
        <v>0.06</v>
      </c>
      <c r="H61" s="2192">
        <v>0.06</v>
      </c>
      <c r="I61" s="2192">
        <v>0.06</v>
      </c>
      <c r="J61" s="2195">
        <v>0.06</v>
      </c>
      <c r="K61" s="2194">
        <v>0.06</v>
      </c>
      <c r="L61" s="2192">
        <v>0.06</v>
      </c>
      <c r="M61" s="2195">
        <v>0.06</v>
      </c>
    </row>
    <row r="62" spans="1:13">
      <c r="A62" s="600" t="s">
        <v>493</v>
      </c>
      <c r="B62" s="596"/>
      <c r="C62" s="596"/>
      <c r="D62" s="2194">
        <v>4.2999999999999997E-2</v>
      </c>
      <c r="E62" s="2192">
        <v>3.9E-2</v>
      </c>
      <c r="F62" s="2195">
        <v>4.5999999999999999E-2</v>
      </c>
      <c r="G62" s="2194">
        <v>5.1999999999999998E-2</v>
      </c>
      <c r="H62" s="2192">
        <v>5.1999999999999998E-2</v>
      </c>
      <c r="I62" s="2192">
        <v>5.1999999999999998E-2</v>
      </c>
      <c r="J62" s="2195">
        <v>5.1999999999999998E-2</v>
      </c>
      <c r="K62" s="2194">
        <v>5.0999999999999997E-2</v>
      </c>
      <c r="L62" s="2192">
        <v>4.2999999999999997E-2</v>
      </c>
      <c r="M62" s="2195">
        <v>4.4999999999999998E-2</v>
      </c>
    </row>
    <row r="63" spans="1:13">
      <c r="A63" s="600" t="s">
        <v>1637</v>
      </c>
      <c r="B63" s="596"/>
      <c r="C63" s="596"/>
      <c r="D63" s="2196"/>
      <c r="E63" s="2197"/>
      <c r="F63" s="2198"/>
      <c r="G63" s="2199"/>
      <c r="H63" s="2200"/>
      <c r="I63" s="2200"/>
      <c r="J63" s="2198"/>
      <c r="K63" s="1710"/>
      <c r="L63" s="1708"/>
      <c r="M63" s="1711"/>
    </row>
    <row r="64" spans="1:13">
      <c r="A64" s="600" t="s">
        <v>1638</v>
      </c>
      <c r="B64" s="596"/>
      <c r="C64" s="596"/>
      <c r="D64" s="2196"/>
      <c r="E64" s="2197"/>
      <c r="F64" s="2198"/>
      <c r="G64" s="2199"/>
      <c r="H64" s="2200"/>
      <c r="I64" s="2200"/>
      <c r="J64" s="2198"/>
      <c r="K64" s="1710"/>
      <c r="L64" s="1708"/>
      <c r="M64" s="1711"/>
    </row>
    <row r="65" spans="1:13">
      <c r="A65" s="600" t="s">
        <v>1639</v>
      </c>
      <c r="B65" s="596"/>
      <c r="C65" s="596"/>
      <c r="D65" s="2196"/>
      <c r="E65" s="2197"/>
      <c r="F65" s="2198"/>
      <c r="G65" s="2199"/>
      <c r="H65" s="2200"/>
      <c r="I65" s="2200"/>
      <c r="J65" s="2198"/>
      <c r="K65" s="1710"/>
      <c r="L65" s="1708"/>
      <c r="M65" s="1711"/>
    </row>
    <row r="66" spans="1:13">
      <c r="A66" s="600" t="s">
        <v>1640</v>
      </c>
      <c r="B66" s="596"/>
      <c r="C66" s="596"/>
      <c r="D66" s="2196"/>
      <c r="E66" s="2197"/>
      <c r="F66" s="2198"/>
      <c r="G66" s="2199"/>
      <c r="H66" s="2200"/>
      <c r="I66" s="2200"/>
      <c r="J66" s="2198"/>
      <c r="K66" s="1710"/>
      <c r="L66" s="1708"/>
      <c r="M66" s="1711"/>
    </row>
    <row r="67" spans="1:13">
      <c r="A67" s="600" t="s">
        <v>1313</v>
      </c>
      <c r="B67" s="596"/>
      <c r="C67" s="596"/>
      <c r="D67" s="2196"/>
      <c r="E67" s="2197"/>
      <c r="F67" s="2198"/>
      <c r="G67" s="2199"/>
      <c r="H67" s="2200"/>
      <c r="I67" s="2200"/>
      <c r="J67" s="2198"/>
      <c r="K67" s="1710"/>
      <c r="L67" s="1708"/>
      <c r="M67" s="1711"/>
    </row>
    <row r="68" spans="1:13">
      <c r="A68" s="600" t="s">
        <v>1312</v>
      </c>
      <c r="B68" s="596"/>
      <c r="C68" s="596"/>
      <c r="D68" s="2199"/>
      <c r="E68" s="2200"/>
      <c r="F68" s="2198"/>
      <c r="G68" s="2199"/>
      <c r="H68" s="2200"/>
      <c r="I68" s="2200"/>
      <c r="J68" s="2198"/>
      <c r="K68" s="212">
        <f>SUM(K63:K67)</f>
        <v>0</v>
      </c>
      <c r="L68" s="208">
        <f>SUM(L63:L67)</f>
        <v>0</v>
      </c>
      <c r="M68" s="572">
        <f>SUM(M63:M67)</f>
        <v>0</v>
      </c>
    </row>
    <row r="69" spans="1:13">
      <c r="A69" s="600" t="s">
        <v>10</v>
      </c>
      <c r="B69" s="596"/>
      <c r="C69" s="596"/>
      <c r="D69" s="2106"/>
      <c r="E69" s="2091"/>
      <c r="F69" s="2195"/>
      <c r="G69" s="2194"/>
      <c r="H69" s="2192"/>
      <c r="I69" s="2192"/>
      <c r="J69" s="2195"/>
      <c r="K69" s="2194"/>
      <c r="L69" s="2192"/>
      <c r="M69" s="2195"/>
    </row>
    <row r="70" spans="1:13" ht="13.5" thickBot="1">
      <c r="A70" s="602"/>
      <c r="B70" s="603"/>
      <c r="C70" s="603"/>
      <c r="D70" s="2201"/>
      <c r="E70" s="2202"/>
      <c r="F70" s="2203"/>
      <c r="G70" s="2204"/>
      <c r="H70" s="2205"/>
      <c r="I70" s="2205"/>
      <c r="J70" s="2203"/>
      <c r="K70" s="2204"/>
      <c r="L70" s="2205"/>
      <c r="M70" s="2203"/>
    </row>
    <row r="71" spans="1:13">
      <c r="A71" s="604" t="s">
        <v>1366</v>
      </c>
      <c r="J71" s="1663"/>
      <c r="K71" s="2206"/>
      <c r="L71" s="2207"/>
      <c r="M71" s="2208"/>
    </row>
    <row r="72" spans="1:13">
      <c r="A72" s="1919" t="s">
        <v>1748</v>
      </c>
      <c r="D72" s="2175"/>
      <c r="E72" s="2175"/>
      <c r="F72" s="2176"/>
      <c r="G72" s="2176"/>
      <c r="H72" s="2176"/>
      <c r="I72" s="2176"/>
      <c r="J72" s="2177"/>
      <c r="K72" s="1710"/>
      <c r="L72" s="1708"/>
      <c r="M72" s="1711"/>
    </row>
    <row r="73" spans="1:13">
      <c r="A73" s="1751" t="s">
        <v>2301</v>
      </c>
      <c r="D73" s="2175"/>
      <c r="E73" s="2175"/>
      <c r="F73" s="2176"/>
      <c r="G73" s="2176"/>
      <c r="H73" s="2176"/>
      <c r="I73" s="2176"/>
      <c r="J73" s="2177"/>
      <c r="K73" s="1710">
        <v>2908000</v>
      </c>
      <c r="L73" s="1708">
        <v>3075160</v>
      </c>
      <c r="M73" s="1711">
        <v>3244300</v>
      </c>
    </row>
    <row r="74" spans="1:13">
      <c r="A74" s="1751" t="s">
        <v>2302</v>
      </c>
      <c r="D74" s="2175"/>
      <c r="E74" s="2175"/>
      <c r="F74" s="2176"/>
      <c r="G74" s="2176"/>
      <c r="H74" s="2176"/>
      <c r="I74" s="2176"/>
      <c r="J74" s="2177"/>
      <c r="K74" s="1710">
        <v>1441000</v>
      </c>
      <c r="L74" s="1708">
        <v>1500000</v>
      </c>
      <c r="M74" s="1711">
        <v>1750000</v>
      </c>
    </row>
    <row r="75" spans="1:13">
      <c r="A75" s="1751"/>
      <c r="D75" s="2175"/>
      <c r="E75" s="2175"/>
      <c r="F75" s="2176"/>
      <c r="G75" s="2176"/>
      <c r="H75" s="2176"/>
      <c r="I75" s="2176"/>
      <c r="J75" s="2177"/>
      <c r="K75" s="1710"/>
      <c r="L75" s="1708"/>
      <c r="M75" s="1711"/>
    </row>
    <row r="76" spans="1:13" ht="13.5" thickBot="1">
      <c r="D76" s="2175"/>
      <c r="E76" s="2175"/>
      <c r="F76" s="2176"/>
      <c r="G76" s="2176"/>
      <c r="H76" s="2176"/>
      <c r="I76" s="2176"/>
      <c r="J76" s="2177"/>
      <c r="K76" s="2209">
        <f>SUM(K72:K75)</f>
        <v>4349000</v>
      </c>
      <c r="L76" s="2210">
        <f>SUM(L72:L75)</f>
        <v>4575160</v>
      </c>
      <c r="M76" s="2211">
        <f>SUM(M72:M75)</f>
        <v>4994300</v>
      </c>
    </row>
    <row r="77" spans="1:13" ht="13.5" thickTop="1">
      <c r="A77" s="604" t="s">
        <v>292</v>
      </c>
      <c r="J77" s="1663"/>
      <c r="K77" s="207"/>
      <c r="L77" s="204"/>
      <c r="M77" s="821"/>
    </row>
    <row r="78" spans="1:13">
      <c r="A78" s="1919" t="s">
        <v>1749</v>
      </c>
      <c r="D78" s="2175"/>
      <c r="E78" s="2175"/>
      <c r="F78" s="2176"/>
      <c r="G78" s="2176"/>
      <c r="H78" s="2176"/>
      <c r="I78" s="2176"/>
      <c r="J78" s="2177"/>
      <c r="K78" s="1710"/>
      <c r="L78" s="1708"/>
      <c r="M78" s="1711"/>
    </row>
    <row r="79" spans="1:13">
      <c r="A79" s="1751" t="s">
        <v>2306</v>
      </c>
      <c r="D79" s="2175"/>
      <c r="E79" s="2175"/>
      <c r="F79" s="2176"/>
      <c r="G79" s="2176"/>
      <c r="H79" s="2176"/>
      <c r="I79" s="2176"/>
      <c r="J79" s="2177"/>
      <c r="K79" s="1710">
        <v>137720000</v>
      </c>
      <c r="L79" s="1708">
        <v>24300000</v>
      </c>
      <c r="M79" s="1711">
        <v>27900000</v>
      </c>
    </row>
    <row r="80" spans="1:13">
      <c r="A80" s="1751" t="s">
        <v>2307</v>
      </c>
      <c r="D80" s="2175"/>
      <c r="E80" s="2175"/>
      <c r="F80" s="2176"/>
      <c r="G80" s="2176"/>
      <c r="H80" s="2176"/>
      <c r="I80" s="2176"/>
      <c r="J80" s="2177"/>
      <c r="K80" s="1710">
        <v>65000000</v>
      </c>
      <c r="L80" s="1708">
        <v>85000000</v>
      </c>
      <c r="M80" s="1711">
        <v>25000000</v>
      </c>
    </row>
    <row r="81" spans="1:14">
      <c r="A81" s="1751" t="s">
        <v>2300</v>
      </c>
      <c r="D81" s="2175"/>
      <c r="E81" s="2175"/>
      <c r="F81" s="2176"/>
      <c r="G81" s="2176"/>
      <c r="H81" s="2176"/>
      <c r="I81" s="2176"/>
      <c r="J81" s="2177"/>
      <c r="K81" s="1710">
        <v>123547000</v>
      </c>
      <c r="L81" s="1708">
        <v>153757500</v>
      </c>
      <c r="M81" s="1711">
        <v>162215000</v>
      </c>
    </row>
    <row r="82" spans="1:14" ht="13.5" thickBot="1">
      <c r="A82" s="1676"/>
      <c r="B82" s="338"/>
      <c r="C82" s="338"/>
      <c r="D82" s="2178"/>
      <c r="E82" s="2178"/>
      <c r="F82" s="2179"/>
      <c r="G82" s="2179"/>
      <c r="H82" s="2179"/>
      <c r="I82" s="2179"/>
      <c r="J82" s="2180"/>
      <c r="K82" s="2209">
        <f>SUM(K78:K81)</f>
        <v>326267000</v>
      </c>
      <c r="L82" s="2210">
        <f>SUM(L78:L81)</f>
        <v>263057500</v>
      </c>
      <c r="M82" s="2211">
        <f>SUM(M78:M81)</f>
        <v>215115000</v>
      </c>
    </row>
    <row r="83" spans="1:14" ht="13.5" thickTop="1">
      <c r="A83" s="604" t="s">
        <v>710</v>
      </c>
      <c r="M83" s="1687"/>
    </row>
    <row r="84" spans="1:14">
      <c r="A84" s="150" t="str">
        <f>A55</f>
        <v>Change in consumer debtors (current and non-current)</v>
      </c>
      <c r="D84" s="605">
        <f>TREND(E84:G84)</f>
        <v>-91215304.333333373</v>
      </c>
      <c r="E84" s="605">
        <f>E55</f>
        <v>37369259</v>
      </c>
      <c r="F84" s="605">
        <f>F55</f>
        <v>-96295707</v>
      </c>
      <c r="G84" s="364">
        <f>J55</f>
        <v>541546707</v>
      </c>
      <c r="H84" s="364">
        <f t="shared" ref="H84:M84" si="8">K55</f>
        <v>227201160</v>
      </c>
      <c r="I84" s="364">
        <f t="shared" si="8"/>
        <v>84818388</v>
      </c>
      <c r="J84" s="364">
        <f t="shared" si="8"/>
        <v>84027481</v>
      </c>
      <c r="K84" s="364">
        <f t="shared" si="8"/>
        <v>0</v>
      </c>
      <c r="L84" s="364">
        <f t="shared" si="8"/>
        <v>0</v>
      </c>
      <c r="M84" s="205">
        <f t="shared" si="8"/>
        <v>0</v>
      </c>
    </row>
    <row r="85" spans="1:14" ht="12" customHeight="1">
      <c r="M85" s="1677"/>
    </row>
    <row r="86" spans="1:14">
      <c r="A86" s="1674" t="s">
        <v>2028</v>
      </c>
      <c r="B86" s="1672"/>
      <c r="C86" s="1673"/>
      <c r="D86" s="2181">
        <f>'A1-Sum'!B10</f>
        <v>1899237459</v>
      </c>
      <c r="E86" s="2182">
        <f>'A1-Sum'!C10</f>
        <v>1831297823</v>
      </c>
      <c r="F86" s="2183">
        <f>'A1-Sum'!D10</f>
        <v>2778975997</v>
      </c>
      <c r="G86" s="2181">
        <f>'A1-Sum'!E10</f>
        <v>2388408730</v>
      </c>
      <c r="H86" s="2182">
        <f>'A1-Sum'!F10</f>
        <v>3035568162</v>
      </c>
      <c r="I86" s="2182">
        <f>'A1-Sum'!G10</f>
        <v>3035568160</v>
      </c>
      <c r="J86" s="2183">
        <f>'A1-Sum'!H10</f>
        <v>3035568158</v>
      </c>
      <c r="K86" s="2181">
        <f>'A1-Sum'!I10</f>
        <v>3339196184</v>
      </c>
      <c r="L86" s="2182">
        <f>'A1-Sum'!J10</f>
        <v>3551207931.6289997</v>
      </c>
      <c r="M86" s="2184">
        <f>'A1-Sum'!K10</f>
        <v>3711691403.5435948</v>
      </c>
      <c r="N86" s="247"/>
    </row>
    <row r="87" spans="1:14">
      <c r="A87" s="1664" t="s">
        <v>2029</v>
      </c>
      <c r="B87" s="1671"/>
      <c r="C87" s="596"/>
      <c r="D87" s="2095">
        <f>'A1-Sum'!B18</f>
        <v>1596216663</v>
      </c>
      <c r="E87" s="325">
        <f>'A1-Sum'!C18</f>
        <v>1827270016</v>
      </c>
      <c r="F87" s="2098">
        <f>'A1-Sum'!D18</f>
        <v>3090274068</v>
      </c>
      <c r="G87" s="2095">
        <f>'A1-Sum'!E18</f>
        <v>2388295829</v>
      </c>
      <c r="H87" s="325">
        <f>'A1-Sum'!F18</f>
        <v>3035454669</v>
      </c>
      <c r="I87" s="325">
        <f>'A1-Sum'!G18</f>
        <v>3035454669</v>
      </c>
      <c r="J87" s="2098">
        <f>'A1-Sum'!H18</f>
        <v>3035454669</v>
      </c>
      <c r="K87" s="2095">
        <f>'A1-Sum'!I18</f>
        <v>3339106248</v>
      </c>
      <c r="L87" s="325">
        <f>'A1-Sum'!J18</f>
        <v>3551108115.1859999</v>
      </c>
      <c r="M87" s="1688">
        <f>'A1-Sum'!K18</f>
        <v>3711581480.3612299</v>
      </c>
      <c r="N87" s="247"/>
    </row>
    <row r="88" spans="1:14">
      <c r="A88" s="1664" t="s">
        <v>2030</v>
      </c>
      <c r="B88" s="1671"/>
      <c r="C88" s="596"/>
      <c r="D88" s="2095">
        <f>D86-D87</f>
        <v>303020796</v>
      </c>
      <c r="E88" s="325">
        <f t="shared" ref="E88:M88" si="9">E86-E87</f>
        <v>4027807</v>
      </c>
      <c r="F88" s="2098">
        <f t="shared" si="9"/>
        <v>-311298071</v>
      </c>
      <c r="G88" s="2095">
        <f t="shared" si="9"/>
        <v>112901</v>
      </c>
      <c r="H88" s="325">
        <f t="shared" si="9"/>
        <v>113493</v>
      </c>
      <c r="I88" s="325">
        <f t="shared" si="9"/>
        <v>113491</v>
      </c>
      <c r="J88" s="2098">
        <f t="shared" si="9"/>
        <v>113489</v>
      </c>
      <c r="K88" s="2095">
        <f>K86-K87</f>
        <v>89936</v>
      </c>
      <c r="L88" s="325">
        <f t="shared" si="9"/>
        <v>99816.442999839783</v>
      </c>
      <c r="M88" s="1688">
        <f t="shared" si="9"/>
        <v>109923.18236494064</v>
      </c>
      <c r="N88" s="247"/>
    </row>
    <row r="89" spans="1:14">
      <c r="A89" s="1664" t="s">
        <v>2117</v>
      </c>
      <c r="B89" s="1671"/>
      <c r="C89" s="596"/>
      <c r="D89" s="2185"/>
      <c r="E89" s="2186"/>
      <c r="F89" s="2187"/>
      <c r="G89" s="2188"/>
      <c r="H89" s="436"/>
      <c r="I89" s="436"/>
      <c r="J89" s="2187"/>
      <c r="K89" s="2185">
        <f>'A7-CFlow'!J38</f>
        <v>238508672</v>
      </c>
      <c r="L89" s="436"/>
      <c r="M89" s="2149"/>
      <c r="N89" s="247"/>
    </row>
    <row r="90" spans="1:14">
      <c r="A90" s="1651" t="s">
        <v>2031</v>
      </c>
      <c r="B90" s="1675"/>
      <c r="C90" s="435"/>
      <c r="D90" s="292"/>
      <c r="E90" s="292"/>
      <c r="F90" s="567"/>
      <c r="G90" s="569"/>
      <c r="H90" s="1685"/>
      <c r="I90" s="1685"/>
      <c r="J90" s="567"/>
      <c r="K90" s="569"/>
      <c r="L90" s="1685"/>
      <c r="M90" s="568"/>
    </row>
    <row r="91" spans="1:14">
      <c r="A91" s="202" t="s">
        <v>2032</v>
      </c>
      <c r="B91" s="1666"/>
      <c r="C91" s="237"/>
      <c r="D91" s="2091"/>
      <c r="E91" s="2091">
        <f>IF(ISERROR(('A1-Sum'!C10-'A1-Sum'!B10)/'A1-Sum'!B10),0,(('A1-Sum'!C10-'A1-Sum'!B10)/'A1-Sum'!B10))</f>
        <v>-3.57720598222468E-2</v>
      </c>
      <c r="F91" s="2104">
        <f>IF(ISERROR(('A1-Sum'!D10-'A1-Sum'!C10)/'A1-Sum'!C10),0,(('A1-Sum'!D10-'A1-Sum'!C10)/'A1-Sum'!C10))</f>
        <v>0.5174899255040506</v>
      </c>
      <c r="G91" s="2106">
        <f>IF(ISERROR(('A1-Sum'!E10-'A1-Sum'!D10)/'A1-Sum'!D10),0,(('A1-Sum'!E10-'A1-Sum'!D10)/'A1-Sum'!D10))</f>
        <v>-0.14054359138820585</v>
      </c>
      <c r="H91" s="2091">
        <f>IF(ISERROR(('A1-Sum'!F10-'A1-Sum'!E10)/'A1-Sum'!E10),0,(('A1-Sum'!F10-'A1-Sum'!E10)/'A1-Sum'!E10))</f>
        <v>0.27095841003729709</v>
      </c>
      <c r="I91" s="2091">
        <f>IF(ISERROR(('A1-Sum'!G10-'A1-Sum'!F10)/'A1-Sum'!F10),0,(('A1-Sum'!G10-'A1-Sum'!F10)/'A1-Sum'!F10))</f>
        <v>-6.5885524332363851E-10</v>
      </c>
      <c r="J91" s="2104">
        <f>IF(ISERROR(('A1-Sum'!H10-'A1-Sum'!G10)/'A1-Sum'!G10),0,(('A1-Sum'!H10-'A1-Sum'!G10)/'A1-Sum'!G10))</f>
        <v>-6.5885524375772873E-10</v>
      </c>
      <c r="K91" s="2106">
        <f>IF(ISERROR(('A1-Sum'!I10-'A1-Sum'!F10)/'A1-Sum'!F10),0,(('A1-Sum'!I10-'A1-Sum'!F10)/'A1-Sum'!F10))</f>
        <v>0.10002345715734252</v>
      </c>
      <c r="L91" s="2091">
        <f>IF(ISERROR(('A1-Sum'!J10-'A1-Sum'!I10)/'A1-Sum'!I10),0,(('A1-Sum'!J10-'A1-Sum'!I10)/'A1-Sum'!I10))</f>
        <v>6.3491851315855399E-2</v>
      </c>
      <c r="M91" s="2092">
        <f>IF(ISERROR(('A1-Sum'!K10-'A1-Sum'!J10)/'A1-Sum'!J10),0,(('A1-Sum'!K10-'A1-Sum'!J10)/'A1-Sum'!J10))</f>
        <v>4.5191234927485259E-2</v>
      </c>
    </row>
    <row r="92" spans="1:14">
      <c r="A92" s="202" t="s">
        <v>2033</v>
      </c>
      <c r="B92" s="1666"/>
      <c r="C92" s="237"/>
      <c r="D92" s="2091"/>
      <c r="E92" s="2091">
        <f>IF(ISERROR(('A4-FinPerf RE'!D5-'A4-FinPerf RE'!C5)/'A4-FinPerf RE'!C5),0,(('A4-FinPerf RE'!D5-'A4-FinPerf RE'!C5)/'A4-FinPerf RE'!C5))</f>
        <v>7.6203071560688729E-2</v>
      </c>
      <c r="F92" s="2104">
        <f>IF(ISERROR(('A4-FinPerf RE'!E5-'A4-FinPerf RE'!D5)/'A4-FinPerf RE'!D5),0,(('A4-FinPerf RE'!E5-'A4-FinPerf RE'!D5)/'A4-FinPerf RE'!D5))</f>
        <v>0.13104991203150479</v>
      </c>
      <c r="G92" s="2106">
        <f>IF(ISERROR(('A4-FinPerf RE'!F5-'A4-FinPerf RE'!E5)/'A4-FinPerf RE'!E5),0,(('A4-FinPerf RE'!F5-'A4-FinPerf RE'!E5)/'A4-FinPerf RE'!E5))</f>
        <v>0.36938023036545647</v>
      </c>
      <c r="H92" s="2091">
        <f>IF(ISERROR(('A4-FinPerf RE'!G5-'A4-FinPerf RE'!F5)/'A4-FinPerf RE'!F5),0,(('A4-FinPerf RE'!G5-'A4-FinPerf RE'!F5)/'A4-FinPerf RE'!F5))</f>
        <v>-0.21201235611051131</v>
      </c>
      <c r="I92" s="2091">
        <f>IF(ISERROR(('A4-FinPerf RE'!H5-'A4-FinPerf RE'!G5)/'A4-FinPerf RE'!G5),0,(('A4-FinPerf RE'!H5-'A4-FinPerf RE'!G5)/'A4-FinPerf RE'!G5))</f>
        <v>0</v>
      </c>
      <c r="J92" s="2104">
        <f>IF(ISERROR(('A4-FinPerf RE'!I5-'A4-FinPerf RE'!H5)/'A4-FinPerf RE'!H5),0,(('A4-FinPerf RE'!I5-'A4-FinPerf RE'!H5)/'A4-FinPerf RE'!H5))</f>
        <v>0</v>
      </c>
      <c r="K92" s="2106">
        <f>IF(ISERROR(('A4-FinPerf RE'!J5-'A4-FinPerf RE'!G5)/'A4-FinPerf RE'!G5),0,(('A4-FinPerf RE'!J5-'A4-FinPerf RE'!G5)/'A4-FinPerf RE'!G5))</f>
        <v>7.7491894109508686E-2</v>
      </c>
      <c r="L92" s="2091">
        <f>IF(ISERROR(('A4-FinPerf RE'!K5-'A4-FinPerf RE'!J5)/'A4-FinPerf RE'!J5),0,(('A4-FinPerf RE'!K5-'A4-FinPerf RE'!J5)/'A4-FinPerf RE'!J5))</f>
        <v>5.3000000409535966E-2</v>
      </c>
      <c r="M92" s="2092">
        <f>IF(ISERROR(('A4-FinPerf RE'!L5-'A4-FinPerf RE'!K5)/'A4-FinPerf RE'!K5),0,(('A4-FinPerf RE'!L5-'A4-FinPerf RE'!K5)/'A4-FinPerf RE'!K5))</f>
        <v>5.4999999192984692E-2</v>
      </c>
    </row>
    <row r="93" spans="1:14">
      <c r="A93" s="202" t="s">
        <v>2034</v>
      </c>
      <c r="B93" s="1666"/>
      <c r="C93" s="237"/>
      <c r="D93" s="2091"/>
      <c r="E93" s="2091">
        <f>IF(ISERROR(('A4-FinPerf RE'!D7-'A4-FinPerf RE'!C7)/'A4-FinPerf RE'!C7),0,(('A4-FinPerf RE'!D7-'A4-FinPerf RE'!C7)/'A4-FinPerf RE'!C7))</f>
        <v>8.524842814034965E-2</v>
      </c>
      <c r="F93" s="2104">
        <f>IF(ISERROR(('A4-FinPerf RE'!E7-'A4-FinPerf RE'!D7)/'A4-FinPerf RE'!D7),0,(('A4-FinPerf RE'!E7-'A4-FinPerf RE'!D7)/'A4-FinPerf RE'!D7))</f>
        <v>0.397435223086748</v>
      </c>
      <c r="G93" s="2106">
        <f>IF(ISERROR(('A4-FinPerf RE'!F7-'A4-FinPerf RE'!E7)/'A4-FinPerf RE'!E7),0,(('A4-FinPerf RE'!F7-'A4-FinPerf RE'!E7)/'A4-FinPerf RE'!E7))</f>
        <v>0.17976704805007054</v>
      </c>
      <c r="H93" s="2091">
        <f>IF(ISERROR(('A4-FinPerf RE'!G7-'A4-FinPerf RE'!F7)/'A4-FinPerf RE'!F7),0,(('A4-FinPerf RE'!G7-'A4-FinPerf RE'!F7)/'A4-FinPerf RE'!F7))</f>
        <v>7.8470419522326071E-2</v>
      </c>
      <c r="I93" s="2091">
        <f>IF(ISERROR(('A4-FinPerf RE'!H7-'A4-FinPerf RE'!G7)/'A4-FinPerf RE'!G7),0,(('A4-FinPerf RE'!H7-'A4-FinPerf RE'!G7)/'A4-FinPerf RE'!G7))</f>
        <v>-9.6286516567528882E-10</v>
      </c>
      <c r="J93" s="2104">
        <f>IF(ISERROR(('A4-FinPerf RE'!I7-'A4-FinPerf RE'!H7)/'A4-FinPerf RE'!H7),0,(('A4-FinPerf RE'!I7-'A4-FinPerf RE'!H7)/'A4-FinPerf RE'!H7))</f>
        <v>-9.6286516660239823E-10</v>
      </c>
      <c r="K93" s="2106">
        <f>IF(ISERROR(('A4-FinPerf RE'!J7-'A4-FinPerf RE'!G7)/'A4-FinPerf RE'!G7),0,(('A4-FinPerf RE'!J7-'A4-FinPerf RE'!G7)/'A4-FinPerf RE'!G7))</f>
        <v>0.14149280500834394</v>
      </c>
      <c r="L93" s="2091">
        <f>IF(ISERROR(('A4-FinPerf RE'!K7-'A4-FinPerf RE'!J7)/'A4-FinPerf RE'!J7),0,(('A4-FinPerf RE'!K7-'A4-FinPerf RE'!J7)/'A4-FinPerf RE'!J7))</f>
        <v>5.5606173143864769E-2</v>
      </c>
      <c r="M93" s="2092">
        <f>IF(ISERROR(('A4-FinPerf RE'!L7-'A4-FinPerf RE'!K7)/'A4-FinPerf RE'!K7),0,(('A4-FinPerf RE'!L7-'A4-FinPerf RE'!K7)/'A4-FinPerf RE'!K7))</f>
        <v>5.8496315231389755E-2</v>
      </c>
    </row>
    <row r="94" spans="1:14">
      <c r="A94" s="337" t="s">
        <v>2035</v>
      </c>
      <c r="B94" s="940"/>
      <c r="C94" s="338"/>
      <c r="D94" s="1683"/>
      <c r="E94" s="1683">
        <f>IF(ISERROR((('A1-Sum'!C5+'A1-Sum'!C6)-('A1-Sum'!B5+'A1-Sum'!B6))/('A1-Sum'!B5+'A1-Sum'!B6)),0,((('A1-Sum'!C5+'A1-Sum'!C6)-('A1-Sum'!B5+'A1-Sum'!B6))/('A1-Sum'!B5+'A1-Sum'!B6)))</f>
        <v>7.0345653226404348E-2</v>
      </c>
      <c r="F94" s="2096">
        <f>IF(ISERROR((('A1-Sum'!D5+'A1-Sum'!D6)-('A1-Sum'!C5+'A1-Sum'!C6))/('A1-Sum'!C5+'A1-Sum'!C6)),0,((('A1-Sum'!D5+'A1-Sum'!D6)-('A1-Sum'!C5+'A1-Sum'!C6))/('A1-Sum'!C5+'A1-Sum'!C6)))</f>
        <v>0.2448106511942939</v>
      </c>
      <c r="G94" s="2101">
        <f>IF(ISERROR((('A1-Sum'!E5+'A1-Sum'!E6)-('A1-Sum'!D5+'A1-Sum'!D6))/('A1-Sum'!D5+'A1-Sum'!D6)),0,((('A1-Sum'!E5+'A1-Sum'!E6)-('A1-Sum'!D5+'A1-Sum'!D6))/('A1-Sum'!D5+'A1-Sum'!D6)))</f>
        <v>0.20886463051406681</v>
      </c>
      <c r="H94" s="1683">
        <f>IF(ISERROR((('A1-Sum'!F5+'A1-Sum'!F6)-('A1-Sum'!E5+'A1-Sum'!E6))/('A1-Sum'!E5+'A1-Sum'!E6)),0,((('A1-Sum'!F5+'A1-Sum'!F6)-('A1-Sum'!E5+'A1-Sum'!E6))/('A1-Sum'!E5+'A1-Sum'!E6)))</f>
        <v>1.8462021979272201E-3</v>
      </c>
      <c r="I94" s="1683">
        <f>IF(ISERROR((('A1-Sum'!G5+'A1-Sum'!G6)-('A1-Sum'!F5+'A1-Sum'!F6))/('A1-Sum'!F5+'A1-Sum'!F6)),0,((('A1-Sum'!G5+'A1-Sum'!G6)-('A1-Sum'!F5+'A1-Sum'!F6))/('A1-Sum'!F5+'A1-Sum'!F6)))</f>
        <v>-1.0323124299515367E-9</v>
      </c>
      <c r="J94" s="2096">
        <f>IF(ISERROR((('A1-Sum'!H5+'A1-Sum'!H6)-('A1-Sum'!G5+'A1-Sum'!G6))/('A1-Sum'!G5+'A1-Sum'!G6)),0,((('A1-Sum'!H5+'A1-Sum'!H6)-('A1-Sum'!G5+'A1-Sum'!G6))/('A1-Sum'!G5+'A1-Sum'!G6)))</f>
        <v>-1.0323124310172057E-9</v>
      </c>
      <c r="K94" s="2101">
        <f>IF(ISERROR((('A1-Sum'!I5+'A1-Sum'!I6)-('A1-Sum'!F5+'A1-Sum'!F6))/('A1-Sum'!F5+'A1-Sum'!F6)),0,((('A1-Sum'!I5+'A1-Sum'!I6)-('A1-Sum'!F5+'A1-Sum'!F6))/('A1-Sum'!F5+'A1-Sum'!F6)))</f>
        <v>0.12862637910772576</v>
      </c>
      <c r="L94" s="1683">
        <f>IF(ISERROR((('A1-Sum'!J5+'A1-Sum'!J6)-('A1-Sum'!I5+'A1-Sum'!I6))/('A1-Sum'!I5+'A1-Sum'!I6)),0,((('A1-Sum'!J5+'A1-Sum'!J6)-('A1-Sum'!I5+'A1-Sum'!I6))/('A1-Sum'!I5+'A1-Sum'!I6)))</f>
        <v>5.4412999493534286E-2</v>
      </c>
      <c r="M94" s="1690">
        <f>IF(ISERROR((('A1-Sum'!K5+'A1-Sum'!K6)-('A1-Sum'!J5+'A1-Sum'!J6))/('A1-Sum'!J5+'A1-Sum'!J6)),0,((('A1-Sum'!K5+'A1-Sum'!K6)-('A1-Sum'!J5+'A1-Sum'!J6))/('A1-Sum'!J5+'A1-Sum'!J6)))</f>
        <v>5.6897755657778958E-2</v>
      </c>
    </row>
    <row r="95" spans="1:14">
      <c r="A95" s="1664" t="s">
        <v>2036</v>
      </c>
      <c r="B95" s="1666"/>
      <c r="D95" s="294"/>
      <c r="E95" s="294"/>
      <c r="F95" s="2097"/>
      <c r="G95" s="1478"/>
      <c r="H95" s="998"/>
      <c r="I95" s="998"/>
      <c r="J95" s="2097"/>
      <c r="K95" s="1478"/>
      <c r="L95" s="998"/>
      <c r="M95" s="1682"/>
    </row>
    <row r="96" spans="1:14">
      <c r="A96" s="202" t="s">
        <v>2037</v>
      </c>
      <c r="B96" s="1666"/>
      <c r="D96" s="2091"/>
      <c r="E96" s="2091">
        <f>IF(ISERROR(('A1-Sum'!C18-'A1-Sum'!B18)/'A1-Sum'!B18),0,(('A1-Sum'!C18-'A1-Sum'!B18)/'A1-Sum'!B18))</f>
        <v>0.14475062086230081</v>
      </c>
      <c r="F96" s="2104">
        <f>IF(ISERROR(('A1-Sum'!D18-'A1-Sum'!C18)/'A1-Sum'!C18),0,(('A1-Sum'!D18-'A1-Sum'!C18)/'A1-Sum'!C18))</f>
        <v>0.69119727294863031</v>
      </c>
      <c r="G96" s="2106">
        <f>IF(ISERROR(('A1-Sum'!E18-'A1-Sum'!D18)/'A1-Sum'!D18),0,(('A1-Sum'!E18-'A1-Sum'!D18)/'A1-Sum'!D18))</f>
        <v>-0.22715727587693041</v>
      </c>
      <c r="H96" s="2091">
        <f>IF(ISERROR(('A1-Sum'!F18-'A1-Sum'!E18)/'A1-Sum'!E18),0,(('A1-Sum'!F18-'A1-Sum'!E18)/'A1-Sum'!E18))</f>
        <v>0.27097097107562718</v>
      </c>
      <c r="I96" s="2091">
        <f>IF(ISERROR(('A1-Sum'!G18-'A1-Sum'!F18)/'A1-Sum'!F18),0,(('A1-Sum'!G18-'A1-Sum'!F18)/'A1-Sum'!F18))</f>
        <v>0</v>
      </c>
      <c r="J96" s="2104">
        <f>IF(ISERROR(('A1-Sum'!H18-'A1-Sum'!G18)/'A1-Sum'!G18),0,(('A1-Sum'!H18-'A1-Sum'!G18)/'A1-Sum'!G18))</f>
        <v>0</v>
      </c>
      <c r="K96" s="2106">
        <f>IF(ISERROR(('A1-Sum'!I18-'A1-Sum'!F18)/'A1-Sum'!F18),0,(('A1-Sum'!I18-'A1-Sum'!F18)/'A1-Sum'!F18))</f>
        <v>0.10003495756371646</v>
      </c>
      <c r="L96" s="2091">
        <f>IF(ISERROR(('A1-Sum'!J18-'A1-Sum'!I18)/'A1-Sum'!I18),0,(('A1-Sum'!J18-'A1-Sum'!I18)/'A1-Sum'!I18))</f>
        <v>6.3490602406850963E-2</v>
      </c>
      <c r="M96" s="2092">
        <f>IF(ISERROR(('A1-Sum'!K18-'A1-Sum'!J18)/'A1-Sum'!J18),0,(('A1-Sum'!K18-'A1-Sum'!J18)/'A1-Sum'!J18))</f>
        <v>4.5189659106401145E-2</v>
      </c>
    </row>
    <row r="97" spans="1:13">
      <c r="A97" s="202" t="s">
        <v>2038</v>
      </c>
      <c r="B97" s="1666"/>
      <c r="D97" s="2091"/>
      <c r="E97" s="2091">
        <f>IF(ISERROR(('A1-Sum'!C11-'A1-Sum'!B11)/'A1-Sum'!B11),0,(('A1-Sum'!C11-'A1-Sum'!B11)/'A1-Sum'!B11))</f>
        <v>4.0760607955005128E-2</v>
      </c>
      <c r="F97" s="2104">
        <f>IF(ISERROR(('A1-Sum'!D11-'A1-Sum'!C11)/'A1-Sum'!C11),0,(('A1-Sum'!D11-'A1-Sum'!C11)/'A1-Sum'!C11))</f>
        <v>0.26629343073029743</v>
      </c>
      <c r="G97" s="2106">
        <f>IF(ISERROR(('A1-Sum'!E11-'A1-Sum'!D11)/'A1-Sum'!D11),0,(('A1-Sum'!E11-'A1-Sum'!D11)/'A1-Sum'!D11))</f>
        <v>-9.4036994748306915E-2</v>
      </c>
      <c r="H97" s="2091">
        <f>IF(ISERROR(('A1-Sum'!F11-'A1-Sum'!E11)/'A1-Sum'!E11),0,(('A1-Sum'!F11-'A1-Sum'!E11)/'A1-Sum'!E11))</f>
        <v>6.6079508172049481E-2</v>
      </c>
      <c r="I97" s="2091">
        <f>IF(ISERROR(('A1-Sum'!G11-'A1-Sum'!F11)/'A1-Sum'!F11),0,(('A1-Sum'!G11-'A1-Sum'!F11)/'A1-Sum'!F11))</f>
        <v>0</v>
      </c>
      <c r="J97" s="2104">
        <f>IF(ISERROR(('A1-Sum'!H11-'A1-Sum'!G11)/'A1-Sum'!G11),0,(('A1-Sum'!H11-'A1-Sum'!G11)/'A1-Sum'!G11))</f>
        <v>0</v>
      </c>
      <c r="K97" s="2106">
        <f>IF(ISERROR(('A1-Sum'!I11-'A1-Sum'!F11)/'A1-Sum'!F11),0,(('A1-Sum'!I11-'A1-Sum'!F11)/'A1-Sum'!F11))</f>
        <v>3.0689527622594213E-2</v>
      </c>
      <c r="L97" s="2091">
        <f>IF(ISERROR(('A1-Sum'!J11-'A1-Sum'!I11)/'A1-Sum'!I11),0,(('A1-Sum'!J11-'A1-Sum'!I11)/'A1-Sum'!I11))</f>
        <v>0.12537355349518345</v>
      </c>
      <c r="M97" s="2092">
        <f>IF(ISERROR(('A1-Sum'!K11-'A1-Sum'!J11)/'A1-Sum'!J11),0,(('A1-Sum'!K11-'A1-Sum'!J11)/'A1-Sum'!J11))</f>
        <v>6.9604977447631819E-2</v>
      </c>
    </row>
    <row r="98" spans="1:13">
      <c r="A98" s="202" t="s">
        <v>2039</v>
      </c>
      <c r="B98" s="1666"/>
      <c r="D98" s="2091"/>
      <c r="E98" s="2091">
        <f>IF(ISERROR(('SA1'!D68-'SA1'!C68)/'SA1'!C68),0,(('SA1'!D68-'SA1'!C68)/'SA1'!C68))</f>
        <v>0.18663305151495885</v>
      </c>
      <c r="F98" s="2104">
        <f>IF(ISERROR(('SA1'!E68-'SA1'!D68)/'SA1'!D68),0,(('SA1'!E68-'SA1'!D68)/'SA1'!D68))</f>
        <v>0.49051034435203678</v>
      </c>
      <c r="G98" s="2106">
        <f>IF(ISERROR(('SA1'!F68-'SA1'!E68)/'SA1'!E68),0,(('SA1'!F68-'SA1'!E68)/'SA1'!E68))</f>
        <v>0.16254484304232353</v>
      </c>
      <c r="H98" s="2091">
        <f>IF(ISERROR(('SA1'!G68-'SA1'!F68)/'SA1'!F68),0,(('SA1'!G68-'SA1'!F68)/'SA1'!F68))</f>
        <v>0.10596427490160461</v>
      </c>
      <c r="I98" s="2091">
        <f>IF(ISERROR(('SA1'!H68-'SA1'!G68)/'SA1'!G68),0,(('SA1'!H68-'SA1'!G68)/'SA1'!G68))</f>
        <v>0</v>
      </c>
      <c r="J98" s="2104">
        <f>IF(ISERROR(('SA1'!I68-'SA1'!H68)/'SA1'!H68),0,(('SA1'!I68-'SA1'!H68)/'SA1'!H68))</f>
        <v>0</v>
      </c>
      <c r="K98" s="2106">
        <f>IF(ISERROR(('SA1'!J68-'SA1'!G68)/'SA1'!G68),0,(('SA1'!J68-'SA1'!G68)/'SA1'!G68))</f>
        <v>0.29479107856556253</v>
      </c>
      <c r="L98" s="2091">
        <f>IF(ISERROR(('SA1'!K68-'SA1'!J68)/'SA1'!J68),0,(('SA1'!K68-'SA1'!J68)/'SA1'!J68))</f>
        <v>5.2999999999999992E-2</v>
      </c>
      <c r="M98" s="2092">
        <f>IF(ISERROR(('SA1'!L68-'SA1'!K68)/'SA1'!K68),0,(('SA1'!L68-'SA1'!K68)/'SA1'!K68))</f>
        <v>5.499999999999991E-2</v>
      </c>
    </row>
    <row r="99" spans="1:13">
      <c r="A99" s="202" t="s">
        <v>2130</v>
      </c>
      <c r="B99" s="1666"/>
      <c r="D99" s="294"/>
      <c r="E99" s="294"/>
      <c r="F99" s="570">
        <f>IF(ISERROR('A1-Sum'!D11/('SA24'!D36+'SA24'!E36-'SA24'!C5)),0,('A1-Sum'!D11/('SA24'!D36+'SA24'!E36-'SA24'!C5)))</f>
        <v>209551.28761904762</v>
      </c>
      <c r="G99" s="2108">
        <f>IF(ISERROR('A1-Sum'!E11/('SA24'!F36-'SA24'!F5)),0,('A1-Sum'!E11/('SA24'!F36-'SA24'!F5)))</f>
        <v>202373.6040609137</v>
      </c>
      <c r="H99" s="998"/>
      <c r="I99" s="998"/>
      <c r="J99" s="2097"/>
      <c r="K99" s="2108">
        <f>IF(ISERROR('A1-Sum'!I11/('SA24'!I36-'SA24'!I5)),0,('A1-Sum'!I11/('SA24'!I36-'SA24'!I5)))</f>
        <v>208601.89841269841</v>
      </c>
      <c r="L99" s="998"/>
      <c r="M99" s="1682"/>
    </row>
    <row r="100" spans="1:13">
      <c r="A100" s="202" t="s">
        <v>2040</v>
      </c>
      <c r="B100" s="1666"/>
      <c r="D100" s="294"/>
      <c r="E100" s="294"/>
      <c r="F100" s="570">
        <f>IF(ISERROR('A1-Sum'!D12/'SA24'!C5),0,('A1-Sum'!D12/'SA24'!C5))</f>
        <v>265530.15068493149</v>
      </c>
      <c r="G100" s="2108">
        <f>IF(ISERROR('A1-Sum'!E12/'SA24'!F5),0,('A1-Sum'!E12/'SA24'!F5))</f>
        <v>288892.29850746266</v>
      </c>
      <c r="H100" s="998"/>
      <c r="I100" s="998"/>
      <c r="J100" s="2097"/>
      <c r="K100" s="2108">
        <f>IF(ISERROR('A1-Sum'!I12/'SA24'!I5),0,('A1-Sum'!I12/'SA24'!I5))</f>
        <v>287044.46575342468</v>
      </c>
      <c r="L100" s="998"/>
      <c r="M100" s="1682"/>
    </row>
    <row r="101" spans="1:13">
      <c r="A101" s="202" t="s">
        <v>2041</v>
      </c>
      <c r="B101" s="1667"/>
      <c r="D101" s="2091">
        <f>'A9-Asset'!C84</f>
        <v>4.9000000000000002E-2</v>
      </c>
      <c r="E101" s="2091">
        <f>'A9-Asset'!D84</f>
        <v>4.9000000000000002E-2</v>
      </c>
      <c r="F101" s="2104">
        <f>'A9-Asset'!E84</f>
        <v>0.02</v>
      </c>
      <c r="G101" s="2106">
        <f>'A9-Asset'!F84</f>
        <v>0.01</v>
      </c>
      <c r="H101" s="2091">
        <f>'A9-Asset'!G84</f>
        <v>1.0999999999999999E-2</v>
      </c>
      <c r="I101" s="2091">
        <f>'A9-Asset'!H84</f>
        <v>1.0999999999999999E-2</v>
      </c>
      <c r="J101" s="2104"/>
      <c r="K101" s="2106">
        <f>'A9-Asset'!I84</f>
        <v>1.4999999999999999E-2</v>
      </c>
      <c r="L101" s="2091">
        <f>'A9-Asset'!J84</f>
        <v>1.7000000000000001E-2</v>
      </c>
      <c r="M101" s="2092">
        <f>'A9-Asset'!K84</f>
        <v>1.7999999999999999E-2</v>
      </c>
    </row>
    <row r="102" spans="1:13">
      <c r="A102" s="202" t="s">
        <v>2042</v>
      </c>
      <c r="B102" s="1667"/>
      <c r="D102" s="2091">
        <f>'A9-Asset'!C85</f>
        <v>0.37</v>
      </c>
      <c r="E102" s="2091">
        <f>'A9-Asset'!D85</f>
        <v>0.17</v>
      </c>
      <c r="F102" s="2104">
        <f>'A9-Asset'!E85</f>
        <v>0.03</v>
      </c>
      <c r="G102" s="2106">
        <f>'A9-Asset'!F85</f>
        <v>0.01</v>
      </c>
      <c r="H102" s="2091">
        <f>'A9-Asset'!G85</f>
        <v>0.02</v>
      </c>
      <c r="I102" s="2091">
        <f>'A9-Asset'!H85</f>
        <v>0.02</v>
      </c>
      <c r="J102" s="2104"/>
      <c r="K102" s="2106">
        <f>'A9-Asset'!I85</f>
        <v>0.04</v>
      </c>
      <c r="L102" s="2091">
        <f>'A9-Asset'!J85</f>
        <v>0.04</v>
      </c>
      <c r="M102" s="2092">
        <f>'A9-Asset'!K85</f>
        <v>0.04</v>
      </c>
    </row>
    <row r="103" spans="1:13">
      <c r="A103" s="337" t="s">
        <v>2043</v>
      </c>
      <c r="B103" s="1678"/>
      <c r="C103" s="338"/>
      <c r="D103" s="1683">
        <f>'SA10'!D11</f>
        <v>1.6442539006657896E-2</v>
      </c>
      <c r="E103" s="1683">
        <f>'SA10'!E11</f>
        <v>7.6793200953609369E-3</v>
      </c>
      <c r="F103" s="2096">
        <f>'SA10'!F11</f>
        <v>0.1551062700015991</v>
      </c>
      <c r="G103" s="2101">
        <f>'SA10'!G11</f>
        <v>0.11265314033513864</v>
      </c>
      <c r="H103" s="1683">
        <f>'SA10'!H11</f>
        <v>4.9108786782001722E-2</v>
      </c>
      <c r="I103" s="1683">
        <f>'SA10'!I11</f>
        <v>4.9108786832244906E-2</v>
      </c>
      <c r="J103" s="1683">
        <f>'SA10'!J11</f>
        <v>4.9108786882488091E-2</v>
      </c>
      <c r="K103" s="2101">
        <f>'SA10'!K11</f>
        <v>7.2982970861763904E-2</v>
      </c>
      <c r="L103" s="1683">
        <f>'SA10'!L11</f>
        <v>7.2886774656697642E-2</v>
      </c>
      <c r="M103" s="1690">
        <f>'SA10'!M11</f>
        <v>7.2756978722568533E-2</v>
      </c>
    </row>
    <row r="104" spans="1:13">
      <c r="A104" s="1664" t="s">
        <v>2044</v>
      </c>
      <c r="B104" s="1666"/>
      <c r="D104" s="294"/>
      <c r="E104" s="294"/>
      <c r="F104" s="2097"/>
      <c r="G104" s="1478"/>
      <c r="H104" s="998"/>
      <c r="I104" s="998"/>
      <c r="J104" s="2097"/>
      <c r="K104" s="1478"/>
      <c r="L104" s="998"/>
      <c r="M104" s="1682"/>
    </row>
    <row r="105" spans="1:13">
      <c r="A105" s="202" t="s">
        <v>2045</v>
      </c>
      <c r="B105" s="599"/>
      <c r="D105" s="2095">
        <f>'A1-Sum'!B29+'A1-Sum'!B31</f>
        <v>0</v>
      </c>
      <c r="E105" s="325">
        <f>'A1-Sum'!C29+'A1-Sum'!C31</f>
        <v>0</v>
      </c>
      <c r="F105" s="2098">
        <f>'A1-Sum'!D29+'A1-Sum'!D31</f>
        <v>0</v>
      </c>
      <c r="G105" s="2095">
        <f>'A1-Sum'!E29+'A1-Sum'!E31</f>
        <v>0</v>
      </c>
      <c r="H105" s="325">
        <f>'A1-Sum'!F29+'A1-Sum'!F31</f>
        <v>0</v>
      </c>
      <c r="I105" s="325">
        <f>'A1-Sum'!G29+'A1-Sum'!G31</f>
        <v>0</v>
      </c>
      <c r="J105" s="2098">
        <f>'A1-Sum'!H29+'A1-Sum'!H31</f>
        <v>0</v>
      </c>
      <c r="K105" s="2095">
        <f>'A1-Sum'!I29+'A1-Sum'!I31</f>
        <v>0</v>
      </c>
      <c r="L105" s="325">
        <f>'A1-Sum'!J29+'A1-Sum'!J31</f>
        <v>0</v>
      </c>
      <c r="M105" s="1688">
        <f>'A1-Sum'!K29+'A1-Sum'!K31</f>
        <v>0</v>
      </c>
    </row>
    <row r="106" spans="1:13">
      <c r="A106" s="202" t="s">
        <v>2046</v>
      </c>
      <c r="B106" s="599"/>
      <c r="D106" s="2095">
        <f>'A1-Sum'!B30</f>
        <v>98295000</v>
      </c>
      <c r="E106" s="325">
        <f>'A1-Sum'!C30</f>
        <v>150000000</v>
      </c>
      <c r="F106" s="2098">
        <f>'A1-Sum'!D30</f>
        <v>97626257</v>
      </c>
      <c r="G106" s="2095">
        <f>'A1-Sum'!E30</f>
        <v>159424000</v>
      </c>
      <c r="H106" s="325">
        <f>'A1-Sum'!F30</f>
        <v>268034741</v>
      </c>
      <c r="I106" s="325">
        <f>'A1-Sum'!G30</f>
        <v>268034741</v>
      </c>
      <c r="J106" s="2098">
        <f>'A1-Sum'!H30</f>
        <v>268034741</v>
      </c>
      <c r="K106" s="2095">
        <f>'A1-Sum'!I30</f>
        <v>108191000</v>
      </c>
      <c r="L106" s="325">
        <f>'A1-Sum'!J30</f>
        <v>48561000</v>
      </c>
      <c r="M106" s="1688">
        <f>'A1-Sum'!K30</f>
        <v>0</v>
      </c>
    </row>
    <row r="107" spans="1:13">
      <c r="A107" s="202" t="s">
        <v>2047</v>
      </c>
      <c r="B107" s="599"/>
      <c r="D107" s="2095">
        <f>'A1-Sum'!B28</f>
        <v>98779133</v>
      </c>
      <c r="E107" s="325">
        <f>'A1-Sum'!C28</f>
        <v>86817000</v>
      </c>
      <c r="F107" s="2098">
        <f>'A1-Sum'!D28</f>
        <v>78407237</v>
      </c>
      <c r="G107" s="2095">
        <f>'A1-Sum'!E28</f>
        <v>136513266</v>
      </c>
      <c r="H107" s="325">
        <f>'A1-Sum'!F28</f>
        <v>126513266</v>
      </c>
      <c r="I107" s="325">
        <f>'A1-Sum'!G28</f>
        <v>126513266</v>
      </c>
      <c r="J107" s="2098">
        <f>'A1-Sum'!H28</f>
        <v>126513266</v>
      </c>
      <c r="K107" s="2095">
        <f>'A1-Sum'!I28</f>
        <v>303122000</v>
      </c>
      <c r="L107" s="325">
        <f>'A1-Sum'!J28</f>
        <v>262258000</v>
      </c>
      <c r="M107" s="1688">
        <f>'A1-Sum'!K28</f>
        <v>214215000</v>
      </c>
    </row>
    <row r="108" spans="1:13">
      <c r="A108" s="202" t="s">
        <v>2048</v>
      </c>
      <c r="B108" s="1668"/>
      <c r="D108" s="1684">
        <f>IF(ISERROR(('A1-Sum'!B29+'A1-Sum'!B31)/('A1-Sum'!B32-'A1-Sum'!B28)),0,(('A1-Sum'!B29+'A1-Sum'!B31)/('A1-Sum'!B32-'A1-Sum'!B28)))</f>
        <v>0</v>
      </c>
      <c r="E108" s="1684">
        <f>IF(ISERROR(('A1-Sum'!C29+'A1-Sum'!C31)/('A1-Sum'!C32-'A1-Sum'!C28)),0,(('A1-Sum'!C29+'A1-Sum'!C31)/('A1-Sum'!C32-'A1-Sum'!C28)))</f>
        <v>0</v>
      </c>
      <c r="F108" s="2099">
        <f>IF(ISERROR(('A1-Sum'!D29+'A1-Sum'!D31)/('A1-Sum'!D32-'A1-Sum'!D28)),0,(('A1-Sum'!D29+'A1-Sum'!D31)/('A1-Sum'!D32-'A1-Sum'!D28)))</f>
        <v>0</v>
      </c>
      <c r="G108" s="2102">
        <f>IF(ISERROR(('A1-Sum'!E29+'A1-Sum'!E31)/('A1-Sum'!E32-'A1-Sum'!E28)),0,(('A1-Sum'!E29+'A1-Sum'!E31)/('A1-Sum'!E32-'A1-Sum'!E28)))</f>
        <v>0</v>
      </c>
      <c r="H108" s="1684">
        <f>IF(ISERROR(('A1-Sum'!F29+'A1-Sum'!F31)/('A1-Sum'!F32-'A1-Sum'!F28)),0,(('A1-Sum'!F29+'A1-Sum'!F31)/('A1-Sum'!F32-'A1-Sum'!F28)))</f>
        <v>0</v>
      </c>
      <c r="I108" s="1684">
        <f>IF(ISERROR(('A1-Sum'!G29+'A1-Sum'!G31)/('A1-Sum'!G32-'A1-Sum'!G28)),0,(('A1-Sum'!G29+'A1-Sum'!G31)/('A1-Sum'!G32-'A1-Sum'!G28)))</f>
        <v>0</v>
      </c>
      <c r="J108" s="2099">
        <f>IF(ISERROR(('A1-Sum'!H29+'A1-Sum'!H31)/('A1-Sum'!H32-'A1-Sum'!H28)),0,(('A1-Sum'!H29+'A1-Sum'!H31)/('A1-Sum'!H32-'A1-Sum'!H28)))</f>
        <v>0</v>
      </c>
      <c r="K108" s="2102">
        <f>IF(ISERROR(('A1-Sum'!I29+'A1-Sum'!I31)/('A1-Sum'!I32-'A1-Sum'!I28)),0,(('A1-Sum'!I29+'A1-Sum'!I31)/('A1-Sum'!I32-'A1-Sum'!I28)))</f>
        <v>0</v>
      </c>
      <c r="L108" s="1684">
        <f>IF(ISERROR(('A1-Sum'!J29+'A1-Sum'!J31)/('A1-Sum'!J32-'A1-Sum'!J28)),0,(('A1-Sum'!J29+'A1-Sum'!J31)/('A1-Sum'!J32-'A1-Sum'!J28)))</f>
        <v>0</v>
      </c>
      <c r="M108" s="1691">
        <f>IF(ISERROR(('A1-Sum'!K29+'A1-Sum'!K31)/('A1-Sum'!K32-'A1-Sum'!K28)),0,(('A1-Sum'!K29+'A1-Sum'!K31)/('A1-Sum'!K32-'A1-Sum'!K28)))</f>
        <v>0</v>
      </c>
    </row>
    <row r="109" spans="1:13">
      <c r="A109" s="202" t="s">
        <v>2049</v>
      </c>
      <c r="B109" s="1668"/>
      <c r="D109" s="1684">
        <f>IF(ISERROR('A1-Sum'!B30/('A1-Sum'!B32-'A1-Sum'!B28)),0,('A1-Sum'!B30/('A1-Sum'!B32-'A1-Sum'!B28)))</f>
        <v>1</v>
      </c>
      <c r="E109" s="1684">
        <f>IF(ISERROR('A1-Sum'!C30/('A1-Sum'!C32-'A1-Sum'!C28)),0,('A1-Sum'!C30/('A1-Sum'!C32-'A1-Sum'!C28)))</f>
        <v>1</v>
      </c>
      <c r="F109" s="2099">
        <f>IF(ISERROR('A1-Sum'!D30/('A1-Sum'!D32-'A1-Sum'!D28)),0,('A1-Sum'!D30/('A1-Sum'!D32-'A1-Sum'!D28)))</f>
        <v>1</v>
      </c>
      <c r="G109" s="2102">
        <f>IF(ISERROR('A1-Sum'!E30/('A1-Sum'!E32-'A1-Sum'!E28)),0,('A1-Sum'!E30/('A1-Sum'!E32-'A1-Sum'!E28)))</f>
        <v>1</v>
      </c>
      <c r="H109" s="1684">
        <f>IF(ISERROR('A1-Sum'!F30/('A1-Sum'!F32-'A1-Sum'!F28)),0,('A1-Sum'!F30/('A1-Sum'!F32-'A1-Sum'!F28)))</f>
        <v>1</v>
      </c>
      <c r="I109" s="1684">
        <f>IF(ISERROR('A1-Sum'!G30/('A1-Sum'!G32-'A1-Sum'!G28)),0,('A1-Sum'!G30/('A1-Sum'!G32-'A1-Sum'!G28)))</f>
        <v>1</v>
      </c>
      <c r="J109" s="2099">
        <f>IF(ISERROR('A1-Sum'!H30/('A1-Sum'!H32-'A1-Sum'!H28)),0,('A1-Sum'!H30/('A1-Sum'!H32-'A1-Sum'!H28)))</f>
        <v>1</v>
      </c>
      <c r="K109" s="2102">
        <f>IF(ISERROR('A1-Sum'!I30/('A1-Sum'!I32-'A1-Sum'!I28)),0,('A1-Sum'!I30/('A1-Sum'!I32-'A1-Sum'!I28)))</f>
        <v>1</v>
      </c>
      <c r="L109" s="1684">
        <f>IF(ISERROR('A1-Sum'!J30/('A1-Sum'!J32-'A1-Sum'!J28)),0,('A1-Sum'!J30/('A1-Sum'!J32-'A1-Sum'!J28)))</f>
        <v>1</v>
      </c>
      <c r="M109" s="1691">
        <f>IF(ISERROR('A1-Sum'!K30/('A1-Sum'!K32-'A1-Sum'!K28)),0,('A1-Sum'!K30/('A1-Sum'!K32-'A1-Sum'!K28)))</f>
        <v>0</v>
      </c>
    </row>
    <row r="110" spans="1:13">
      <c r="A110" s="1676" t="s">
        <v>2050</v>
      </c>
      <c r="B110" s="1678"/>
      <c r="C110" s="338"/>
      <c r="D110" s="2093">
        <f>IF(ISERROR('A1-Sum'!B28/'A1-Sum'!B32),0,('A1-Sum'!B28/'A1-Sum'!B32))</f>
        <v>0.50122830173760047</v>
      </c>
      <c r="E110" s="2093">
        <f>IF(ISERROR('A1-Sum'!C28/'A1-Sum'!C32),0,('A1-Sum'!C28/'A1-Sum'!C32))</f>
        <v>0.36659952621644559</v>
      </c>
      <c r="F110" s="2100">
        <f>IF(ISERROR('A1-Sum'!D28/'A1-Sum'!D32),0,('A1-Sum'!D28/'A1-Sum'!D32))</f>
        <v>0.44541090004155687</v>
      </c>
      <c r="G110" s="2103">
        <f>IF(ISERROR('A1-Sum'!E28/'A1-Sum'!E32),0,('A1-Sum'!E28/'A1-Sum'!E32))</f>
        <v>0.46129123190588645</v>
      </c>
      <c r="H110" s="2093">
        <f>IF(ISERROR('A1-Sum'!F28/'A1-Sum'!F32),0,('A1-Sum'!F28/'A1-Sum'!F32))</f>
        <v>0.32065366889560792</v>
      </c>
      <c r="I110" s="2093">
        <f>IF(ISERROR('A1-Sum'!G28/'A1-Sum'!G32),0,('A1-Sum'!G28/'A1-Sum'!G32))</f>
        <v>0.32065366889560792</v>
      </c>
      <c r="J110" s="2100">
        <f>IF(ISERROR('A1-Sum'!H28/'A1-Sum'!H32),0,('A1-Sum'!H28/'A1-Sum'!H32))</f>
        <v>0.32065366889560792</v>
      </c>
      <c r="K110" s="2103">
        <f>IF(ISERROR('A1-Sum'!I28/'A1-Sum'!I32),0,('A1-Sum'!I28/'A1-Sum'!I32))</f>
        <v>0.73696187574912542</v>
      </c>
      <c r="L110" s="2093">
        <f>IF(ISERROR('A1-Sum'!J28/'A1-Sum'!J32),0,('A1-Sum'!J28/'A1-Sum'!J32))</f>
        <v>0.84376437733857967</v>
      </c>
      <c r="M110" s="2094">
        <f>IF(ISERROR('A1-Sum'!K28/'A1-Sum'!K32),0,('A1-Sum'!K28/'A1-Sum'!K32))</f>
        <v>1</v>
      </c>
    </row>
    <row r="111" spans="1:13">
      <c r="A111" s="1664" t="s">
        <v>2051</v>
      </c>
      <c r="B111" s="1666"/>
      <c r="D111" s="294"/>
      <c r="E111" s="294"/>
      <c r="F111" s="2097"/>
      <c r="G111" s="1478"/>
      <c r="H111" s="998"/>
      <c r="I111" s="998"/>
      <c r="J111" s="2097"/>
      <c r="K111" s="1478"/>
      <c r="L111" s="998"/>
      <c r="M111" s="1682"/>
    </row>
    <row r="112" spans="1:13">
      <c r="A112" s="247" t="s">
        <v>2052</v>
      </c>
      <c r="B112" s="599"/>
      <c r="D112" s="2095">
        <f>'A1-Sum'!B27</f>
        <v>197074000</v>
      </c>
      <c r="E112" s="325">
        <f>'A1-Sum'!C27</f>
        <v>236817000</v>
      </c>
      <c r="F112" s="2098">
        <f>'A1-Sum'!D27</f>
        <v>176033493</v>
      </c>
      <c r="G112" s="2095">
        <f>'A1-Sum'!E27</f>
        <v>295937266</v>
      </c>
      <c r="H112" s="325">
        <f>'A1-Sum'!F27</f>
        <v>394548007</v>
      </c>
      <c r="I112" s="325">
        <f>'A1-Sum'!G27</f>
        <v>394548007</v>
      </c>
      <c r="J112" s="2098">
        <f>'A1-Sum'!H27</f>
        <v>394548007</v>
      </c>
      <c r="K112" s="2095">
        <f>'A1-Sum'!I27</f>
        <v>411313300</v>
      </c>
      <c r="L112" s="325">
        <f>'A1-Sum'!J27</f>
        <v>310819300</v>
      </c>
      <c r="M112" s="1688">
        <f>'A1-Sum'!K27</f>
        <v>214215000</v>
      </c>
    </row>
    <row r="113" spans="1:13">
      <c r="A113" s="247" t="s">
        <v>2053</v>
      </c>
      <c r="B113" s="599"/>
      <c r="D113" s="2095">
        <f>'A1-Sum'!B55</f>
        <v>13213941</v>
      </c>
      <c r="E113" s="325">
        <f>'A1-Sum'!C55</f>
        <v>76982173</v>
      </c>
      <c r="F113" s="2098">
        <f>'A1-Sum'!D55</f>
        <v>95810000</v>
      </c>
      <c r="G113" s="2095">
        <f>'A1-Sum'!E55</f>
        <v>28087000</v>
      </c>
      <c r="H113" s="325">
        <f>'A1-Sum'!F55</f>
        <v>34040673</v>
      </c>
      <c r="I113" s="325">
        <f>'A1-Sum'!G55</f>
        <v>34040673</v>
      </c>
      <c r="J113" s="2098">
        <f>'A1-Sum'!H55</f>
        <v>152603300</v>
      </c>
      <c r="K113" s="2095">
        <f>'A1-Sum'!I55</f>
        <v>152603300</v>
      </c>
      <c r="L113" s="325">
        <f>'A1-Sum'!J55</f>
        <v>146319300</v>
      </c>
      <c r="M113" s="1688">
        <f>'A1-Sum'!K55</f>
        <v>182215000</v>
      </c>
    </row>
    <row r="114" spans="1:13">
      <c r="A114" s="1676" t="s">
        <v>2054</v>
      </c>
      <c r="B114" s="1678"/>
      <c r="C114" s="338"/>
      <c r="D114" s="1683">
        <f>IF(ISERROR('A1-Sum'!B95/'A1-Sum'!B94),0,('A1-Sum'!B95/'A1-Sum'!B94))</f>
        <v>0</v>
      </c>
      <c r="E114" s="1683">
        <f>IF(ISERROR('A1-Sum'!C95/'A1-Sum'!C94),0,('A1-Sum'!C95/'A1-Sum'!C94))</f>
        <v>0</v>
      </c>
      <c r="F114" s="2096">
        <f>IF(ISERROR('A1-Sum'!D95/'A1-Sum'!D94),0,('A1-Sum'!D95/'A1-Sum'!D94))</f>
        <v>0</v>
      </c>
      <c r="G114" s="2101">
        <f>IF(ISERROR('A1-Sum'!E95/'A1-Sum'!E94),0,('A1-Sum'!E95/'A1-Sum'!E94))</f>
        <v>0</v>
      </c>
      <c r="H114" s="1683">
        <f>IF(ISERROR('A1-Sum'!F95/'A1-Sum'!F94),0,('A1-Sum'!F95/'A1-Sum'!F94))</f>
        <v>0</v>
      </c>
      <c r="I114" s="1683">
        <f>IF(ISERROR('A1-Sum'!G95/'A1-Sum'!G94),0,('A1-Sum'!G95/'A1-Sum'!G94))</f>
        <v>0</v>
      </c>
      <c r="J114" s="2096">
        <f>IF(ISERROR('A1-Sum'!H95/'A1-Sum'!H94),0,('A1-Sum'!H95/'A1-Sum'!H94))</f>
        <v>0</v>
      </c>
      <c r="K114" s="2101">
        <f>IF(ISERROR('A1-Sum'!I95/'A1-Sum'!I94),0,('A1-Sum'!I95/'A1-Sum'!I94))</f>
        <v>0</v>
      </c>
      <c r="L114" s="1683">
        <f>IF(ISERROR('A1-Sum'!J95/'A1-Sum'!J94),0,('A1-Sum'!J95/'A1-Sum'!J94))</f>
        <v>0</v>
      </c>
      <c r="M114" s="1690">
        <f>IF(ISERROR('A1-Sum'!K95/'A1-Sum'!K94),0,('A1-Sum'!K95/'A1-Sum'!K94))</f>
        <v>0</v>
      </c>
    </row>
    <row r="115" spans="1:13">
      <c r="A115" s="1664" t="s">
        <v>740</v>
      </c>
      <c r="B115" s="1666"/>
      <c r="D115" s="294"/>
      <c r="E115" s="294"/>
      <c r="F115" s="2097"/>
      <c r="G115" s="1478"/>
      <c r="H115" s="998"/>
      <c r="I115" s="998"/>
      <c r="J115" s="2097"/>
      <c r="K115" s="1478"/>
      <c r="L115" s="998"/>
      <c r="M115" s="1682"/>
    </row>
    <row r="116" spans="1:13">
      <c r="A116" s="247" t="s">
        <v>2055</v>
      </c>
      <c r="B116" s="1668"/>
      <c r="D116" s="1684">
        <f>'SA10'!D10</f>
        <v>0.73246706412043328</v>
      </c>
      <c r="E116" s="1684">
        <f>'SA10'!E10</f>
        <v>1.2906338039933059</v>
      </c>
      <c r="F116" s="2099">
        <f>'SA10'!F10</f>
        <v>0.73258526992345085</v>
      </c>
      <c r="G116" s="2102">
        <f>'SA10'!G10</f>
        <v>0.70812749716966639</v>
      </c>
      <c r="H116" s="1684">
        <f>'SA10'!H10</f>
        <v>0.62333775712809492</v>
      </c>
      <c r="I116" s="1684">
        <f>'SA10'!I10</f>
        <v>0.62333775751173515</v>
      </c>
      <c r="J116" s="2099">
        <f>'SA10'!J10</f>
        <v>0.62333775789537538</v>
      </c>
      <c r="K116" s="2102">
        <f>'SA10'!K10</f>
        <v>0.63346705637084</v>
      </c>
      <c r="L116" s="1684">
        <f>'SA10'!L10</f>
        <v>0.74406803332457083</v>
      </c>
      <c r="M116" s="1691">
        <f>'SA10'!M10</f>
        <v>0.75716828374791023</v>
      </c>
    </row>
    <row r="117" spans="1:13">
      <c r="A117" s="1676" t="s">
        <v>2056</v>
      </c>
      <c r="B117" s="1679"/>
      <c r="C117" s="338"/>
      <c r="D117" s="1686">
        <f>'SA10'!D7</f>
        <v>0.46042051176510157</v>
      </c>
      <c r="E117" s="1686">
        <f>'SA10'!E7</f>
        <v>3.5582807781414436</v>
      </c>
      <c r="F117" s="2105">
        <f>'SA10'!F7</f>
        <v>3.0693014562697654</v>
      </c>
      <c r="G117" s="2107">
        <f>'SA10'!G7</f>
        <v>0.62588701310137074</v>
      </c>
      <c r="H117" s="1686">
        <f>'SA10'!H7</f>
        <v>1.8647410321134146</v>
      </c>
      <c r="I117" s="1686">
        <f>'SA10'!I7</f>
        <v>1.8647410321134146</v>
      </c>
      <c r="J117" s="2105">
        <f>'SA10'!J7</f>
        <v>1.8647410321134146</v>
      </c>
      <c r="K117" s="2107">
        <f>'SA10'!K7</f>
        <v>1.324579385830347</v>
      </c>
      <c r="L117" s="1686">
        <f>'SA10'!L7</f>
        <v>2.3100578535677507</v>
      </c>
      <c r="M117" s="1692">
        <f>'SA10'!M7</f>
        <v>3.3786115908340437</v>
      </c>
    </row>
    <row r="118" spans="1:13">
      <c r="A118" s="1664" t="s">
        <v>1392</v>
      </c>
      <c r="B118" s="1666"/>
      <c r="D118" s="294"/>
      <c r="E118" s="294"/>
      <c r="F118" s="2097"/>
      <c r="G118" s="1478"/>
      <c r="H118" s="998"/>
      <c r="I118" s="998"/>
      <c r="J118" s="2097"/>
      <c r="K118" s="1478"/>
      <c r="L118" s="998"/>
      <c r="M118" s="1682"/>
    </row>
    <row r="119" spans="1:13">
      <c r="A119" s="1665" t="s">
        <v>621</v>
      </c>
      <c r="B119" s="1668"/>
      <c r="D119" s="2091">
        <f>'SA8'!C5</f>
        <v>0.18414601395853064</v>
      </c>
      <c r="E119" s="2091">
        <f>'SA8'!D5</f>
        <v>0.13493273442892531</v>
      </c>
      <c r="F119" s="2104">
        <f>'SA8'!E5</f>
        <v>7.9019981106117562E-2</v>
      </c>
      <c r="G119" s="2106">
        <f>'SA8'!F5</f>
        <v>8.1674026294006954E-2</v>
      </c>
      <c r="H119" s="2091">
        <f>'SA8'!G5</f>
        <v>6.4312480756190199E-2</v>
      </c>
      <c r="I119" s="2091">
        <f>'SA8'!H5</f>
        <v>6.4312480756190199E-2</v>
      </c>
      <c r="J119" s="2104">
        <f>'SA8'!I5</f>
        <v>6.4312480756190199E-2</v>
      </c>
      <c r="K119" s="2106">
        <f>'SA8'!J5</f>
        <v>5.8179462216663112E-2</v>
      </c>
      <c r="L119" s="2091">
        <f>'SA8'!K5</f>
        <v>5.2691811401967839E-2</v>
      </c>
      <c r="M119" s="2092">
        <f>'SA8'!L5</f>
        <v>4.8050630849626526E-2</v>
      </c>
    </row>
    <row r="120" spans="1:13">
      <c r="A120" s="1665" t="s">
        <v>2057</v>
      </c>
      <c r="B120" s="1666"/>
      <c r="D120" s="1689"/>
      <c r="E120" s="294"/>
      <c r="F120" s="2097"/>
      <c r="G120" s="1478"/>
      <c r="H120" s="998"/>
      <c r="I120" s="998"/>
      <c r="J120" s="2097"/>
      <c r="K120" s="2108">
        <f>'SA8'!F6</f>
        <v>0</v>
      </c>
      <c r="L120" s="998"/>
      <c r="M120" s="1682"/>
    </row>
    <row r="121" spans="1:13">
      <c r="A121" s="1665" t="s">
        <v>2058</v>
      </c>
      <c r="B121" s="1668"/>
      <c r="D121" s="2091">
        <f>'SA8'!C7</f>
        <v>5.6791630548214622E-2</v>
      </c>
      <c r="E121" s="2091">
        <f>'SA8'!D7</f>
        <v>7.4732275363949274E-2</v>
      </c>
      <c r="F121" s="2104">
        <f>'SA8'!E7</f>
        <v>3.9209141756937529E-2</v>
      </c>
      <c r="G121" s="2106">
        <f>'SA8'!F7</f>
        <v>4.9412289535929174E-2</v>
      </c>
      <c r="H121" s="2091">
        <f>'SA8'!G7</f>
        <v>3.8828732381903347E-2</v>
      </c>
      <c r="I121" s="2091">
        <f>'SA8'!H7</f>
        <v>3.8828732381903347E-2</v>
      </c>
      <c r="J121" s="2104">
        <f>'SA8'!I7</f>
        <v>3.8828732381903347E-2</v>
      </c>
      <c r="K121" s="2106">
        <f>'SA8'!J7</f>
        <v>2.9096562907572385E-2</v>
      </c>
      <c r="L121" s="2091">
        <f>'SA8'!K7</f>
        <v>2.8221363515075867E-2</v>
      </c>
      <c r="M121" s="2092">
        <f>'SA8'!L7</f>
        <v>2.790226741564646E-2</v>
      </c>
    </row>
    <row r="122" spans="1:13">
      <c r="A122" s="1680" t="s">
        <v>2059</v>
      </c>
      <c r="B122" s="1678"/>
      <c r="C122" s="338"/>
      <c r="D122" s="1683">
        <f>'SA10'!D13</f>
        <v>-0.91112360745259835</v>
      </c>
      <c r="E122" s="1683">
        <f>'SA10'!E13</f>
        <v>-1.3822177684094128</v>
      </c>
      <c r="F122" s="2096">
        <f>'SA10'!F13</f>
        <v>2.0632523494832409</v>
      </c>
      <c r="G122" s="2101">
        <f>'SA10'!G13</f>
        <v>0.99204009433962259</v>
      </c>
      <c r="H122" s="1683">
        <f>'SA10'!H13</f>
        <v>0.84512925136074057</v>
      </c>
      <c r="I122" s="1683">
        <f>'SA10'!I13</f>
        <v>0.84512925136074057</v>
      </c>
      <c r="J122" s="2096">
        <f>'SA10'!J13</f>
        <v>0.84512925136074057</v>
      </c>
      <c r="K122" s="2101">
        <f>'SA10'!K13</f>
        <v>1.6749886543557568</v>
      </c>
      <c r="L122" s="1683">
        <f>'SA10'!L13</f>
        <v>2.9854093691890458</v>
      </c>
      <c r="M122" s="1690">
        <f>'SA10'!M13</f>
        <v>0</v>
      </c>
    </row>
    <row r="123" spans="1:13">
      <c r="A123" s="1664" t="s">
        <v>795</v>
      </c>
      <c r="B123" s="1666"/>
      <c r="D123" s="294"/>
      <c r="E123" s="294"/>
      <c r="F123" s="2097"/>
      <c r="G123" s="1478"/>
      <c r="H123" s="998"/>
      <c r="I123" s="998"/>
      <c r="J123" s="2097"/>
      <c r="K123" s="1478"/>
      <c r="L123" s="998"/>
      <c r="M123" s="568"/>
    </row>
    <row r="124" spans="1:13">
      <c r="A124" s="1676" t="s">
        <v>1876</v>
      </c>
      <c r="B124" s="1681"/>
      <c r="C124" s="338"/>
      <c r="D124" s="1686">
        <f>'A8-ResRecon'!C19</f>
        <v>-63809216</v>
      </c>
      <c r="E124" s="1686">
        <f>'A8-ResRecon'!D19</f>
        <v>-111402343</v>
      </c>
      <c r="F124" s="2105">
        <f>'A8-ResRecon'!E19</f>
        <v>-307029552</v>
      </c>
      <c r="G124" s="2107">
        <f>'A8-ResRecon'!F19</f>
        <v>144401531</v>
      </c>
      <c r="H124" s="1686">
        <f>'A8-ResRecon'!G19</f>
        <v>250261531</v>
      </c>
      <c r="I124" s="1686">
        <f>'A8-ResRecon'!H19</f>
        <v>250261531</v>
      </c>
      <c r="J124" s="2105">
        <f>'A8-ResRecon'!I19</f>
        <v>250261531</v>
      </c>
      <c r="K124" s="2107">
        <f>'A8-ResRecon'!J19</f>
        <v>441796000</v>
      </c>
      <c r="L124" s="1686">
        <f>'A8-ResRecon'!K19</f>
        <v>583477750</v>
      </c>
      <c r="M124" s="1692">
        <f>'A8-ResRecon'!L19</f>
        <v>646817913</v>
      </c>
    </row>
    <row r="125" spans="1:13">
      <c r="A125" s="1664" t="s">
        <v>2060</v>
      </c>
      <c r="B125" s="1666"/>
      <c r="D125" s="294"/>
      <c r="E125" s="294"/>
      <c r="F125" s="2097"/>
      <c r="G125" s="1478"/>
      <c r="H125" s="998"/>
      <c r="I125" s="998"/>
      <c r="J125" s="568"/>
      <c r="K125" s="1689"/>
      <c r="L125" s="998"/>
      <c r="M125" s="1682"/>
    </row>
    <row r="126" spans="1:13">
      <c r="A126" s="247" t="s">
        <v>2061</v>
      </c>
      <c r="B126" s="1669"/>
      <c r="D126" s="2091">
        <f>IF(ISERROR('A10-SerDel'!C59/'SA18'!C8),0,('A10-SerDel'!C59/'SA18'!C8))</f>
        <v>0.4162223679515169</v>
      </c>
      <c r="E126" s="2091">
        <f>IF(ISERROR('A10-SerDel'!D59/'SA18'!D8),0,('A10-SerDel'!D59/'SA18'!D8))</f>
        <v>0.38231242607276983</v>
      </c>
      <c r="F126" s="2104">
        <f>IF(ISERROR('A10-SerDel'!E59/'SA18'!E8),0,('A10-SerDel'!E59/'SA18'!E8))</f>
        <v>0.19639922631916087</v>
      </c>
      <c r="G126" s="2106">
        <f>IF(ISERROR('A10-SerDel'!F59/'SA18'!F8),0,('A10-SerDel'!F59/'SA18'!F8))</f>
        <v>0.54282736043800595</v>
      </c>
      <c r="H126" s="2091">
        <f>IF(ISERROR('A10-SerDel'!G59/'SA18'!G8),0,('A10-SerDel'!G59/'SA18'!G8))</f>
        <v>6.5556994285414893E-2</v>
      </c>
      <c r="I126" s="2091">
        <f>IF(ISERROR('A10-SerDel'!H59/'SA18'!H8),0,('A10-SerDel'!H59/'SA18'!H8))</f>
        <v>6.5556994285414893E-2</v>
      </c>
      <c r="J126" s="2092"/>
      <c r="K126" s="2109">
        <f>IF(ISERROR('A10-SerDel'!I59/'SA18'!I8),0,('A10-SerDel'!I59/'SA18'!I8))</f>
        <v>3.6703328029917826E-2</v>
      </c>
      <c r="L126" s="2091">
        <f>IF(ISERROR('A10-SerDel'!J59/'SA18'!J8),0,('A10-SerDel'!J59/'SA18'!J8))</f>
        <v>3.4588102205283716E-2</v>
      </c>
      <c r="M126" s="2092">
        <f>IF(ISERROR('A10-SerDel'!K59/'SA18'!K8),0,('A10-SerDel'!K59/'SA18'!K8))</f>
        <v>3.4001170419109654E-2</v>
      </c>
    </row>
    <row r="127" spans="1:13" ht="25.5">
      <c r="A127" s="1670" t="s">
        <v>2062</v>
      </c>
      <c r="B127" s="1668"/>
      <c r="D127" s="2091">
        <f>IF(ISERROR('A10-SerDel'!C78/('A1-Sum'!B10-'A1-Sum'!B8)),0,('A10-SerDel'!C78/('A1-Sum'!B10-'A1-Sum'!B8)))</f>
        <v>3.4385882367608422E-2</v>
      </c>
      <c r="E127" s="2091">
        <f>IF(ISERROR('A10-SerDel'!D78/('A1-Sum'!C10-'A1-Sum'!C8)),0,('A10-SerDel'!D78/('A1-Sum'!C10-'A1-Sum'!C8)))</f>
        <v>5.1419872193810827E-2</v>
      </c>
      <c r="F127" s="2092">
        <f>IF(ISERROR('A10-SerDel'!E78/('A1-Sum'!D10-'A1-Sum'!D8)),0,('A10-SerDel'!E78/('A1-Sum'!D10-'A1-Sum'!D8)))</f>
        <v>2.849678947543673E-2</v>
      </c>
      <c r="G127" s="2109">
        <f>IF(ISERROR('A10-SerDel'!F78/('A1-Sum'!E10-'A1-Sum'!E8)),0,('A10-SerDel'!F78/('A1-Sum'!E10-'A1-Sum'!E8)))</f>
        <v>0.12784077689743537</v>
      </c>
      <c r="H127" s="2091">
        <f>IF(ISERROR('A10-SerDel'!G78/('A1-Sum'!F10-'A1-Sum'!F8)),0,('A10-SerDel'!G78/('A1-Sum'!F10-'A1-Sum'!F8)))</f>
        <v>9.8438224294937496E-2</v>
      </c>
      <c r="I127" s="2091">
        <f>IF(ISERROR('A10-SerDel'!H78/('A1-Sum'!G10-'A1-Sum'!G8)),0,('A10-SerDel'!H78/('A1-Sum'!G10-'A1-Sum'!G8)))</f>
        <v>9.8438224367503657E-2</v>
      </c>
      <c r="J127" s="2092"/>
      <c r="K127" s="2109">
        <f>IF(ISERROR('A10-SerDel'!I78/('A1-Sum'!I10-'A1-Sum'!I8)),0,('A10-SerDel'!I78/('A1-Sum'!I10-'A1-Sum'!I8)))</f>
        <v>0.1011710279680428</v>
      </c>
      <c r="L127" s="2091">
        <f>IF(ISERROR('A10-SerDel'!J78/('A1-Sum'!J10-'A1-Sum'!J8)),0,('A10-SerDel'!J78/('A1-Sum'!J10-'A1-Sum'!J8)))</f>
        <v>0.10642111128172681</v>
      </c>
      <c r="M127" s="2091">
        <f>IF(ISERROR('A10-SerDel'!K78/('A1-Sum'!K10-'A1-Sum'!K8)),0,('A10-SerDel'!K78/('A1-Sum'!K10-'A1-Sum'!K8)))</f>
        <v>0.1091025582926837</v>
      </c>
    </row>
    <row r="128" spans="1:13" ht="5.25" customHeight="1">
      <c r="A128" s="1670"/>
      <c r="B128" s="1668"/>
      <c r="D128" s="2109"/>
      <c r="E128" s="2091"/>
      <c r="F128" s="1690"/>
      <c r="G128" s="2109"/>
      <c r="H128" s="2091"/>
      <c r="I128" s="2091"/>
      <c r="J128" s="2092"/>
      <c r="K128" s="2109"/>
      <c r="L128" s="2091"/>
      <c r="M128" s="2092"/>
    </row>
    <row r="129" spans="1:13" ht="18" customHeight="1">
      <c r="A129" s="2110" t="s">
        <v>2110</v>
      </c>
      <c r="B129" s="2113"/>
      <c r="C129" s="2114"/>
      <c r="D129" s="2115"/>
      <c r="E129" s="2116"/>
      <c r="F129" s="2117"/>
      <c r="G129" s="2118"/>
      <c r="H129" s="2119"/>
      <c r="I129" s="2119"/>
      <c r="J129" s="2117"/>
      <c r="K129" s="2118"/>
      <c r="L129" s="2119"/>
      <c r="M129" s="2117"/>
    </row>
    <row r="130" spans="1:13" ht="13.5">
      <c r="A130" s="2111" t="s">
        <v>2028</v>
      </c>
      <c r="B130" s="2120"/>
      <c r="C130" s="2121"/>
      <c r="D130" s="2122">
        <f>D86</f>
        <v>1899237459</v>
      </c>
      <c r="E130" s="2122">
        <f t="shared" ref="E130:M130" si="10">E86</f>
        <v>1831297823</v>
      </c>
      <c r="F130" s="2131">
        <f t="shared" si="10"/>
        <v>2778975997</v>
      </c>
      <c r="G130" s="2122">
        <f t="shared" si="10"/>
        <v>2388408730</v>
      </c>
      <c r="H130" s="2122">
        <f t="shared" si="10"/>
        <v>3035568162</v>
      </c>
      <c r="I130" s="2122">
        <f t="shared" si="10"/>
        <v>3035568160</v>
      </c>
      <c r="J130" s="2131">
        <f>J86</f>
        <v>3035568158</v>
      </c>
      <c r="K130" s="2122">
        <f t="shared" si="10"/>
        <v>3339196184</v>
      </c>
      <c r="L130" s="2122">
        <f t="shared" si="10"/>
        <v>3551207931.6289997</v>
      </c>
      <c r="M130" s="2131">
        <f t="shared" si="10"/>
        <v>3711691403.5435948</v>
      </c>
    </row>
    <row r="131" spans="1:13" ht="13.5">
      <c r="A131" s="2111" t="s">
        <v>2029</v>
      </c>
      <c r="B131" s="2120"/>
      <c r="C131" s="2121"/>
      <c r="D131" s="2122">
        <f t="shared" ref="D131:M132" si="11">D87</f>
        <v>1596216663</v>
      </c>
      <c r="E131" s="2122">
        <f t="shared" si="11"/>
        <v>1827270016</v>
      </c>
      <c r="F131" s="2131">
        <f t="shared" si="11"/>
        <v>3090274068</v>
      </c>
      <c r="G131" s="2122">
        <f t="shared" si="11"/>
        <v>2388295829</v>
      </c>
      <c r="H131" s="2122">
        <f t="shared" si="11"/>
        <v>3035454669</v>
      </c>
      <c r="I131" s="2122">
        <f t="shared" si="11"/>
        <v>3035454669</v>
      </c>
      <c r="J131" s="2131">
        <f t="shared" si="11"/>
        <v>3035454669</v>
      </c>
      <c r="K131" s="2122">
        <f t="shared" si="11"/>
        <v>3339106248</v>
      </c>
      <c r="L131" s="2122">
        <f t="shared" si="11"/>
        <v>3551108115.1859999</v>
      </c>
      <c r="M131" s="2131">
        <f t="shared" si="11"/>
        <v>3711581480.3612299</v>
      </c>
    </row>
    <row r="132" spans="1:13" ht="13.5">
      <c r="A132" s="2111" t="s">
        <v>2111</v>
      </c>
      <c r="B132" s="2120"/>
      <c r="C132" s="2121"/>
      <c r="D132" s="2122">
        <f t="shared" si="11"/>
        <v>303020796</v>
      </c>
      <c r="E132" s="2122">
        <f t="shared" si="11"/>
        <v>4027807</v>
      </c>
      <c r="F132" s="2131">
        <f t="shared" si="11"/>
        <v>-311298071</v>
      </c>
      <c r="G132" s="2122">
        <f t="shared" si="11"/>
        <v>112901</v>
      </c>
      <c r="H132" s="2122">
        <f t="shared" si="11"/>
        <v>113493</v>
      </c>
      <c r="I132" s="2122">
        <f t="shared" si="11"/>
        <v>113491</v>
      </c>
      <c r="J132" s="2131">
        <f t="shared" si="11"/>
        <v>113489</v>
      </c>
      <c r="K132" s="2122">
        <f t="shared" si="11"/>
        <v>89936</v>
      </c>
      <c r="L132" s="2122">
        <f t="shared" si="11"/>
        <v>99816.442999839783</v>
      </c>
      <c r="M132" s="2131">
        <f t="shared" si="11"/>
        <v>109923.18236494064</v>
      </c>
    </row>
    <row r="133" spans="1:13" ht="13.5">
      <c r="A133" s="2111" t="s">
        <v>2113</v>
      </c>
      <c r="B133" s="2120"/>
      <c r="C133" s="2121"/>
      <c r="D133" s="2122">
        <f>D132+'A8-ResRecon'!C19</f>
        <v>239211580</v>
      </c>
      <c r="E133" s="2122">
        <f>E132+'A8-ResRecon'!D19</f>
        <v>-107374536</v>
      </c>
      <c r="F133" s="2131">
        <f>F132+'A8-ResRecon'!E19</f>
        <v>-618327623</v>
      </c>
      <c r="G133" s="2122">
        <f>G132+'A8-ResRecon'!F19</f>
        <v>144514432</v>
      </c>
      <c r="H133" s="2122">
        <f>H132+'A8-ResRecon'!G19</f>
        <v>250375024</v>
      </c>
      <c r="I133" s="2122">
        <f>I132+'A8-ResRecon'!H19</f>
        <v>250375022</v>
      </c>
      <c r="J133" s="2131">
        <f>J132+'A8-ResRecon'!I19</f>
        <v>250375020</v>
      </c>
      <c r="K133" s="2122">
        <f>K132+'A8-ResRecon'!J19</f>
        <v>441885936</v>
      </c>
      <c r="L133" s="2122">
        <f>L132+'A8-ResRecon'!K19</f>
        <v>583577566.44299984</v>
      </c>
      <c r="M133" s="2131">
        <f>M132+'A8-ResRecon'!L19</f>
        <v>646927836.18236494</v>
      </c>
    </row>
    <row r="134" spans="1:13" ht="13.5">
      <c r="A134" s="2112" t="s">
        <v>2112</v>
      </c>
      <c r="B134" s="2120"/>
      <c r="C134" s="2121"/>
      <c r="D134" s="2132">
        <f>IF(D133&gt;=0,1,0)</f>
        <v>1</v>
      </c>
      <c r="E134" s="2132">
        <f t="shared" ref="E134:M134" si="12">IF(E133&gt;=0,1,0)</f>
        <v>0</v>
      </c>
      <c r="F134" s="2133">
        <f t="shared" si="12"/>
        <v>0</v>
      </c>
      <c r="G134" s="2132">
        <f t="shared" si="12"/>
        <v>1</v>
      </c>
      <c r="H134" s="2132">
        <f t="shared" si="12"/>
        <v>1</v>
      </c>
      <c r="I134" s="2132">
        <f t="shared" si="12"/>
        <v>1</v>
      </c>
      <c r="J134" s="2133">
        <f t="shared" si="12"/>
        <v>1</v>
      </c>
      <c r="K134" s="2132">
        <f t="shared" si="12"/>
        <v>1</v>
      </c>
      <c r="L134" s="2132">
        <f t="shared" si="12"/>
        <v>1</v>
      </c>
      <c r="M134" s="2133">
        <f t="shared" si="12"/>
        <v>1</v>
      </c>
    </row>
    <row r="135" spans="1:13" s="2167" customFormat="1" ht="13.5">
      <c r="A135" s="2162" t="s">
        <v>2120</v>
      </c>
      <c r="B135" s="2163"/>
      <c r="C135" s="2164"/>
      <c r="D135" s="2165" t="str">
        <f>IF(D134=1,"ü","û")</f>
        <v>ü</v>
      </c>
      <c r="E135" s="2165" t="str">
        <f t="shared" ref="E135:M135" si="13">IF(E134=1,"ü","û")</f>
        <v>û</v>
      </c>
      <c r="F135" s="2166" t="str">
        <f t="shared" si="13"/>
        <v>û</v>
      </c>
      <c r="G135" s="2165" t="str">
        <f t="shared" si="13"/>
        <v>ü</v>
      </c>
      <c r="H135" s="2165" t="str">
        <f t="shared" si="13"/>
        <v>ü</v>
      </c>
      <c r="I135" s="2165" t="str">
        <f t="shared" si="13"/>
        <v>ü</v>
      </c>
      <c r="J135" s="2166" t="str">
        <f t="shared" si="13"/>
        <v>ü</v>
      </c>
      <c r="K135" s="2165" t="str">
        <f t="shared" si="13"/>
        <v>ü</v>
      </c>
      <c r="L135" s="2165" t="str">
        <f t="shared" si="13"/>
        <v>ü</v>
      </c>
      <c r="M135" s="2166" t="str">
        <f t="shared" si="13"/>
        <v>ü</v>
      </c>
    </row>
    <row r="136" spans="1:13" ht="13.5">
      <c r="A136" s="2123"/>
      <c r="B136" s="2124"/>
      <c r="C136" s="2125"/>
      <c r="D136" s="2126"/>
      <c r="E136" s="2127"/>
      <c r="F136" s="2128"/>
      <c r="G136" s="2129"/>
      <c r="H136" s="2130"/>
      <c r="I136" s="2130"/>
      <c r="J136" s="2128"/>
      <c r="K136" s="2129"/>
      <c r="L136" s="2130"/>
      <c r="M136" s="2128"/>
    </row>
  </sheetData>
  <sheetProtection password="A35B" sheet="1" objects="1" scenarios="1"/>
  <mergeCells count="5">
    <mergeCell ref="A2:A3"/>
    <mergeCell ref="K2:M2"/>
    <mergeCell ref="B2:B3"/>
    <mergeCell ref="C2:C3"/>
    <mergeCell ref="G2:J2"/>
  </mergeCells>
  <phoneticPr fontId="2" type="noConversion"/>
  <dataValidations count="1">
    <dataValidation type="whole"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5"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indexed="40"/>
    <pageSetUpPr fitToPage="1"/>
  </sheetPr>
  <dimension ref="A1:J177"/>
  <sheetViews>
    <sheetView topLeftCell="E1" workbookViewId="0">
      <pane ySplit="1" topLeftCell="A2" activePane="bottomLeft" state="frozen"/>
      <selection pane="bottomLeft" activeCell="E5" sqref="E5"/>
    </sheetView>
  </sheetViews>
  <sheetFormatPr defaultRowHeight="11.25"/>
  <cols>
    <col min="1" max="1" width="23.140625" style="1433" customWidth="1"/>
    <col min="2" max="2" width="92.140625" style="1432" customWidth="1"/>
    <col min="3" max="3" width="17.5703125" style="1432" customWidth="1"/>
    <col min="4" max="4" width="10.5703125" style="1432" bestFit="1" customWidth="1"/>
    <col min="5" max="5" width="87.7109375" style="1432" customWidth="1"/>
    <col min="6" max="6" width="78.140625" style="1432" customWidth="1"/>
    <col min="7" max="10" width="9.140625" style="1433"/>
    <col min="11" max="16384" width="9.140625" style="1432"/>
  </cols>
  <sheetData>
    <row r="1" spans="1:4">
      <c r="A1" s="2379" t="s">
        <v>1057</v>
      </c>
      <c r="B1" s="2380"/>
      <c r="C1" s="2380"/>
      <c r="D1" s="2381"/>
    </row>
    <row r="2" spans="1:4">
      <c r="A2" s="1693" t="s">
        <v>796</v>
      </c>
      <c r="B2" s="1694" t="str">
        <f>HLOOKUP(MTREF,Headings,2)</f>
        <v>2009/10</v>
      </c>
      <c r="C2" s="1695" t="s">
        <v>126</v>
      </c>
      <c r="D2" s="1696"/>
    </row>
    <row r="3" spans="1:4">
      <c r="A3" s="1697" t="s">
        <v>428</v>
      </c>
      <c r="B3" s="1698" t="str">
        <f>HLOOKUP(MTREF,Headings,3)</f>
        <v>2008/9</v>
      </c>
      <c r="C3" s="1699" t="s">
        <v>127</v>
      </c>
      <c r="D3" s="1700"/>
    </row>
    <row r="4" spans="1:4">
      <c r="A4" s="1697" t="s">
        <v>867</v>
      </c>
      <c r="B4" s="1698" t="str">
        <f>HLOOKUP(MTREF,Headings,4)</f>
        <v>2007/8</v>
      </c>
      <c r="C4" s="1699" t="s">
        <v>128</v>
      </c>
      <c r="D4" s="1700"/>
    </row>
    <row r="5" spans="1:4">
      <c r="A5" s="1697" t="s">
        <v>1766</v>
      </c>
      <c r="B5" s="1699" t="str">
        <f>HLOOKUP(MTREF,Headings,5)</f>
        <v>Current Year 2010/11</v>
      </c>
      <c r="C5" s="1699" t="s">
        <v>960</v>
      </c>
      <c r="D5" s="1700"/>
    </row>
    <row r="6" spans="1:4">
      <c r="A6" s="1697" t="s">
        <v>828</v>
      </c>
      <c r="B6" s="1698" t="str">
        <f>HLOOKUP(MTREF,Headings,6)</f>
        <v>2010/11</v>
      </c>
      <c r="C6" s="1699" t="s">
        <v>960</v>
      </c>
      <c r="D6" s="1700"/>
    </row>
    <row r="7" spans="1:4">
      <c r="A7" s="1697" t="s">
        <v>1767</v>
      </c>
      <c r="B7" s="1699" t="str">
        <f>HLOOKUP(MTREF,Headings,7)</f>
        <v>2011/12 Medium Term Revenue &amp; Expenditure Framework</v>
      </c>
      <c r="C7" s="1699" t="s">
        <v>961</v>
      </c>
      <c r="D7" s="1700"/>
    </row>
    <row r="8" spans="1:4">
      <c r="A8" s="1562" t="s">
        <v>1768</v>
      </c>
      <c r="B8" s="1563" t="s">
        <v>578</v>
      </c>
      <c r="C8" s="1563" t="s">
        <v>962</v>
      </c>
      <c r="D8" s="1436"/>
    </row>
    <row r="9" spans="1:4">
      <c r="A9" s="1562" t="s">
        <v>1769</v>
      </c>
      <c r="B9" s="1563" t="s">
        <v>1146</v>
      </c>
      <c r="C9" s="1435"/>
      <c r="D9" s="1436"/>
    </row>
    <row r="10" spans="1:4">
      <c r="A10" s="1562" t="s">
        <v>329</v>
      </c>
      <c r="B10" s="1563" t="s">
        <v>330</v>
      </c>
      <c r="C10" s="1435"/>
      <c r="D10" s="1436"/>
    </row>
    <row r="11" spans="1:4">
      <c r="A11" s="1562" t="s">
        <v>708</v>
      </c>
      <c r="B11" s="1563" t="s">
        <v>709</v>
      </c>
      <c r="C11" s="1435"/>
      <c r="D11" s="1436"/>
    </row>
    <row r="12" spans="1:4">
      <c r="A12" s="1562" t="s">
        <v>1770</v>
      </c>
      <c r="B12" s="1563" t="s">
        <v>491</v>
      </c>
      <c r="C12" s="1435"/>
      <c r="D12" s="1436"/>
    </row>
    <row r="13" spans="1:4">
      <c r="A13" s="1562" t="s">
        <v>1771</v>
      </c>
      <c r="B13" s="1563" t="s">
        <v>1962</v>
      </c>
      <c r="C13" s="1435"/>
      <c r="D13" s="1436"/>
    </row>
    <row r="14" spans="1:4">
      <c r="A14" s="1562" t="s">
        <v>1772</v>
      </c>
      <c r="B14" s="1563" t="s">
        <v>1963</v>
      </c>
      <c r="C14" s="1435"/>
      <c r="D14" s="1436"/>
    </row>
    <row r="15" spans="1:4">
      <c r="A15" s="1697" t="s">
        <v>1773</v>
      </c>
      <c r="B15" s="1699" t="str">
        <f>HLOOKUP(MTREF,Headings,8)</f>
        <v>Budget Year 2011/12</v>
      </c>
      <c r="C15" s="1699" t="s">
        <v>963</v>
      </c>
      <c r="D15" s="1564" t="s">
        <v>1860</v>
      </c>
    </row>
    <row r="16" spans="1:4">
      <c r="A16" s="1697" t="s">
        <v>1774</v>
      </c>
      <c r="B16" s="1699" t="str">
        <f>HLOOKUP(MTREF,Headings,9)</f>
        <v>Budget Year +1 2012/13</v>
      </c>
      <c r="C16" s="1699" t="s">
        <v>964</v>
      </c>
      <c r="D16" s="1564" t="s">
        <v>1861</v>
      </c>
    </row>
    <row r="17" spans="1:4">
      <c r="A17" s="1697" t="s">
        <v>1779</v>
      </c>
      <c r="B17" s="1699" t="str">
        <f>HLOOKUP(MTREF,Headings,10)</f>
        <v>Budget Year +2 2013/14</v>
      </c>
      <c r="C17" s="1699" t="s">
        <v>965</v>
      </c>
      <c r="D17" s="1564" t="s">
        <v>1862</v>
      </c>
    </row>
    <row r="18" spans="1:4">
      <c r="A18" s="1697" t="s">
        <v>1781</v>
      </c>
      <c r="B18" s="1699" t="str">
        <f>HLOOKUP(MTREF,Headings,11)</f>
        <v>Forecast 2014/15</v>
      </c>
      <c r="C18" s="1699" t="s">
        <v>1193</v>
      </c>
      <c r="D18" s="1564" t="s">
        <v>1863</v>
      </c>
    </row>
    <row r="19" spans="1:4">
      <c r="A19" s="1697" t="s">
        <v>1782</v>
      </c>
      <c r="B19" s="1699" t="str">
        <f>HLOOKUP(MTREF,Headings,12)</f>
        <v>Forecast 2015/16</v>
      </c>
      <c r="C19" s="1699" t="s">
        <v>1194</v>
      </c>
      <c r="D19" s="1564" t="s">
        <v>1864</v>
      </c>
    </row>
    <row r="20" spans="1:4">
      <c r="A20" s="1697" t="s">
        <v>1783</v>
      </c>
      <c r="B20" s="1699" t="str">
        <f>HLOOKUP(MTREF,Headings,13)</f>
        <v>Forecast 2016/17</v>
      </c>
      <c r="C20" s="1699" t="s">
        <v>1194</v>
      </c>
      <c r="D20" s="1564" t="s">
        <v>1865</v>
      </c>
    </row>
    <row r="21" spans="1:4">
      <c r="A21" s="1697" t="s">
        <v>1784</v>
      </c>
      <c r="B21" s="1699" t="str">
        <f>HLOOKUP(MTREF,Headings,14)</f>
        <v>Forecast 2017/18</v>
      </c>
      <c r="C21" s="1699" t="s">
        <v>1194</v>
      </c>
      <c r="D21" s="1564" t="s">
        <v>1866</v>
      </c>
    </row>
    <row r="22" spans="1:4">
      <c r="A22" s="1697" t="s">
        <v>1785</v>
      </c>
      <c r="B22" s="1699" t="str">
        <f>HLOOKUP(MTREF,Headings,15)</f>
        <v>Forecast 2018/19</v>
      </c>
      <c r="C22" s="1699" t="s">
        <v>1194</v>
      </c>
      <c r="D22" s="1564" t="s">
        <v>1867</v>
      </c>
    </row>
    <row r="23" spans="1:4">
      <c r="A23" s="1697" t="s">
        <v>1786</v>
      </c>
      <c r="B23" s="1699" t="str">
        <f>HLOOKUP(MTREF,Headings,16)</f>
        <v>Forecast 2019/20</v>
      </c>
      <c r="C23" s="1699" t="s">
        <v>1194</v>
      </c>
      <c r="D23" s="1564" t="s">
        <v>1868</v>
      </c>
    </row>
    <row r="24" spans="1:4">
      <c r="A24" s="1697" t="s">
        <v>1787</v>
      </c>
      <c r="B24" s="1699" t="str">
        <f>HLOOKUP(MTREF,Headings,17)</f>
        <v>Forecast 2020/21</v>
      </c>
      <c r="C24" s="1699" t="s">
        <v>1194</v>
      </c>
      <c r="D24" s="1564" t="s">
        <v>691</v>
      </c>
    </row>
    <row r="25" spans="1:4">
      <c r="A25" s="1697" t="s">
        <v>1788</v>
      </c>
      <c r="B25" s="1699" t="str">
        <f>HLOOKUP(MTREF,Headings,18)</f>
        <v>Forecast 2021/22</v>
      </c>
      <c r="C25" s="1699" t="s">
        <v>1194</v>
      </c>
      <c r="D25" s="1564" t="s">
        <v>692</v>
      </c>
    </row>
    <row r="26" spans="1:4">
      <c r="A26" s="1697" t="s">
        <v>1789</v>
      </c>
      <c r="B26" s="1699" t="str">
        <f>HLOOKUP(MTREF,Headings,19)</f>
        <v>Forecast 2022/23</v>
      </c>
      <c r="C26" s="1699" t="s">
        <v>1194</v>
      </c>
      <c r="D26" s="1564" t="s">
        <v>693</v>
      </c>
    </row>
    <row r="27" spans="1:4">
      <c r="A27" s="1697" t="s">
        <v>1790</v>
      </c>
      <c r="B27" s="1699" t="str">
        <f>HLOOKUP(MTREF,Headings,20)</f>
        <v>Forecast 2023/24</v>
      </c>
      <c r="C27" s="1699" t="s">
        <v>1194</v>
      </c>
      <c r="D27" s="1564" t="s">
        <v>694</v>
      </c>
    </row>
    <row r="28" spans="1:4">
      <c r="A28" s="1697" t="s">
        <v>1791</v>
      </c>
      <c r="B28" s="1699" t="str">
        <f>HLOOKUP(MTREF,Headings,21)</f>
        <v>Forecast 2024/25</v>
      </c>
      <c r="C28" s="1699" t="s">
        <v>1194</v>
      </c>
      <c r="D28" s="1564" t="s">
        <v>695</v>
      </c>
    </row>
    <row r="29" spans="1:4">
      <c r="A29" s="1697" t="s">
        <v>1792</v>
      </c>
      <c r="B29" s="1699" t="str">
        <f>HLOOKUP(MTREF,Headings,22)</f>
        <v>Forecast 2025/26</v>
      </c>
      <c r="C29" s="1699" t="s">
        <v>1194</v>
      </c>
      <c r="D29" s="1564" t="s">
        <v>696</v>
      </c>
    </row>
    <row r="30" spans="1:4">
      <c r="A30" s="1562" t="s">
        <v>1169</v>
      </c>
      <c r="B30" s="1563" t="s">
        <v>821</v>
      </c>
      <c r="C30" s="1435"/>
      <c r="D30" s="1437"/>
    </row>
    <row r="31" spans="1:4">
      <c r="A31" s="1562" t="s">
        <v>1109</v>
      </c>
      <c r="B31" s="1435"/>
      <c r="C31" s="1435"/>
      <c r="D31" s="1437"/>
    </row>
    <row r="32" spans="1:4">
      <c r="A32" s="1562" t="s">
        <v>868</v>
      </c>
      <c r="B32" s="1563" t="s">
        <v>869</v>
      </c>
      <c r="C32" s="1435"/>
      <c r="D32" s="1437"/>
    </row>
    <row r="33" spans="1:4">
      <c r="A33" s="1562" t="s">
        <v>870</v>
      </c>
      <c r="B33" s="1563" t="s">
        <v>450</v>
      </c>
      <c r="C33" s="1435"/>
      <c r="D33" s="1437"/>
    </row>
    <row r="34" spans="1:4">
      <c r="A34" s="1562" t="s">
        <v>1065</v>
      </c>
      <c r="B34" s="1563" t="s">
        <v>1066</v>
      </c>
      <c r="C34" s="1435"/>
      <c r="D34" s="1437"/>
    </row>
    <row r="35" spans="1:4">
      <c r="A35" s="1562" t="s">
        <v>995</v>
      </c>
      <c r="B35" s="1563" t="s">
        <v>966</v>
      </c>
      <c r="C35" s="1435"/>
      <c r="D35" s="1564" t="s">
        <v>996</v>
      </c>
    </row>
    <row r="36" spans="1:4">
      <c r="A36" s="1697" t="s">
        <v>1889</v>
      </c>
      <c r="B36" s="1699" t="str">
        <f>HLOOKUP(MTREF,Headings,23)</f>
        <v>Annual target 2011/12</v>
      </c>
      <c r="C36" s="1699"/>
      <c r="D36" s="1437"/>
    </row>
    <row r="37" spans="1:4">
      <c r="A37" s="1697" t="s">
        <v>1890</v>
      </c>
      <c r="B37" s="1699" t="str">
        <f>HLOOKUP(MTREF,Headings,24)</f>
        <v>Revised target 2011/12</v>
      </c>
      <c r="C37" s="1699"/>
      <c r="D37" s="1437"/>
    </row>
    <row r="38" spans="1:4">
      <c r="A38" s="1562" t="s">
        <v>1891</v>
      </c>
      <c r="B38" s="1563" t="s">
        <v>679</v>
      </c>
      <c r="C38" s="1435"/>
      <c r="D38" s="1437"/>
    </row>
    <row r="39" spans="1:4">
      <c r="A39" s="1562" t="s">
        <v>1892</v>
      </c>
      <c r="B39" s="1563" t="s">
        <v>680</v>
      </c>
      <c r="C39" s="1435"/>
      <c r="D39" s="1437"/>
    </row>
    <row r="40" spans="1:4">
      <c r="A40" s="1562" t="s">
        <v>1893</v>
      </c>
      <c r="B40" s="1563" t="s">
        <v>681</v>
      </c>
      <c r="C40" s="1435"/>
      <c r="D40" s="1437"/>
    </row>
    <row r="41" spans="1:4">
      <c r="A41" s="1562" t="s">
        <v>1894</v>
      </c>
      <c r="B41" s="1563" t="s">
        <v>677</v>
      </c>
      <c r="C41" s="1435"/>
      <c r="D41" s="1437"/>
    </row>
    <row r="42" spans="1:4">
      <c r="A42" s="1562" t="s">
        <v>678</v>
      </c>
      <c r="B42" s="1563" t="s">
        <v>1650</v>
      </c>
      <c r="C42" s="1435"/>
      <c r="D42" s="1437"/>
    </row>
    <row r="43" spans="1:4">
      <c r="A43" s="1562" t="s">
        <v>368</v>
      </c>
      <c r="B43" s="1563" t="s">
        <v>823</v>
      </c>
      <c r="C43" s="1435"/>
      <c r="D43" s="1437"/>
    </row>
    <row r="44" spans="1:4">
      <c r="A44" s="1562" t="s">
        <v>369</v>
      </c>
      <c r="B44" s="1563" t="s">
        <v>824</v>
      </c>
      <c r="C44" s="1435"/>
      <c r="D44" s="1437"/>
    </row>
    <row r="45" spans="1:4">
      <c r="A45" s="1562" t="s">
        <v>370</v>
      </c>
      <c r="B45" s="1563" t="s">
        <v>1422</v>
      </c>
      <c r="C45" s="1435"/>
      <c r="D45" s="1437"/>
    </row>
    <row r="46" spans="1:4">
      <c r="A46" s="1562" t="s">
        <v>1421</v>
      </c>
      <c r="B46" s="1563" t="s">
        <v>1480</v>
      </c>
      <c r="C46" s="1435"/>
      <c r="D46" s="1437"/>
    </row>
    <row r="47" spans="1:4">
      <c r="A47" s="1562" t="s">
        <v>1423</v>
      </c>
      <c r="B47" s="1565" t="s">
        <v>98</v>
      </c>
      <c r="C47" s="1435"/>
      <c r="D47" s="1437"/>
    </row>
    <row r="48" spans="1:4">
      <c r="A48" s="1562" t="s">
        <v>1424</v>
      </c>
      <c r="B48" s="1565" t="s">
        <v>100</v>
      </c>
      <c r="C48" s="1435"/>
      <c r="D48" s="1437"/>
    </row>
    <row r="49" spans="1:4">
      <c r="A49" s="1562" t="s">
        <v>1425</v>
      </c>
      <c r="B49" s="1565" t="s">
        <v>1303</v>
      </c>
      <c r="C49" s="1435"/>
      <c r="D49" s="1437"/>
    </row>
    <row r="50" spans="1:4">
      <c r="A50" s="1562" t="s">
        <v>99</v>
      </c>
      <c r="B50" s="1565" t="str">
        <f>Head3&amp;" Summary"</f>
        <v>2011/12 Medium Term Revenue &amp; Expenditure Framework Summary</v>
      </c>
      <c r="C50" s="1435"/>
      <c r="D50" s="1437"/>
    </row>
    <row r="51" spans="1:4">
      <c r="A51" s="1562" t="s">
        <v>683</v>
      </c>
      <c r="B51" s="1565" t="s">
        <v>686</v>
      </c>
      <c r="C51" s="1435"/>
      <c r="D51" s="1437"/>
    </row>
    <row r="52" spans="1:4">
      <c r="A52" s="1562" t="s">
        <v>684</v>
      </c>
      <c r="B52" s="1565" t="s">
        <v>685</v>
      </c>
      <c r="C52" s="1435"/>
      <c r="D52" s="1437"/>
    </row>
    <row r="53" spans="1:4">
      <c r="A53" s="1562" t="s">
        <v>1676</v>
      </c>
      <c r="B53" s="1566" t="s">
        <v>1677</v>
      </c>
      <c r="C53" s="1439"/>
      <c r="D53" s="1437"/>
    </row>
    <row r="54" spans="1:4">
      <c r="A54" s="1562" t="s">
        <v>1060</v>
      </c>
      <c r="B54" s="1565" t="s">
        <v>1808</v>
      </c>
      <c r="C54" s="1435"/>
      <c r="D54" s="1437"/>
    </row>
    <row r="55" spans="1:4">
      <c r="A55" s="1562" t="s">
        <v>419</v>
      </c>
      <c r="B55" s="1565" t="s">
        <v>946</v>
      </c>
      <c r="C55" s="1435"/>
      <c r="D55" s="1437"/>
    </row>
    <row r="56" spans="1:4">
      <c r="A56" s="1562" t="s">
        <v>1488</v>
      </c>
      <c r="B56" s="1438"/>
      <c r="C56" s="1435"/>
      <c r="D56" s="1437"/>
    </row>
    <row r="57" spans="1:4">
      <c r="A57" s="1562" t="s">
        <v>1489</v>
      </c>
      <c r="B57" s="1565" t="s">
        <v>629</v>
      </c>
      <c r="C57" s="1435"/>
      <c r="D57" s="1437"/>
    </row>
    <row r="58" spans="1:4">
      <c r="A58" s="1562" t="s">
        <v>624</v>
      </c>
      <c r="B58" s="1565" t="s">
        <v>628</v>
      </c>
      <c r="C58" s="1435"/>
      <c r="D58" s="1437"/>
    </row>
    <row r="59" spans="1:4">
      <c r="A59" s="1562" t="s">
        <v>625</v>
      </c>
      <c r="B59" s="1565" t="s">
        <v>490</v>
      </c>
      <c r="C59" s="1435"/>
      <c r="D59" s="1437"/>
    </row>
    <row r="60" spans="1:4">
      <c r="A60" s="1562" t="s">
        <v>626</v>
      </c>
      <c r="B60" s="1565" t="s">
        <v>630</v>
      </c>
      <c r="C60" s="1435"/>
      <c r="D60" s="1437"/>
    </row>
    <row r="61" spans="1:4">
      <c r="A61" s="1562" t="s">
        <v>627</v>
      </c>
      <c r="B61" s="1565" t="s">
        <v>497</v>
      </c>
      <c r="C61" s="1435"/>
      <c r="D61" s="1437"/>
    </row>
    <row r="62" spans="1:4">
      <c r="A62" s="1562" t="s">
        <v>1634</v>
      </c>
      <c r="B62" s="1565" t="s">
        <v>489</v>
      </c>
      <c r="C62" s="1435"/>
      <c r="D62" s="1437"/>
    </row>
    <row r="63" spans="1:4">
      <c r="A63" s="1562" t="s">
        <v>1828</v>
      </c>
      <c r="B63" s="1565" t="s">
        <v>1829</v>
      </c>
      <c r="C63" s="1435"/>
      <c r="D63" s="1437"/>
    </row>
    <row r="64" spans="1:4">
      <c r="A64" s="1562" t="s">
        <v>512</v>
      </c>
      <c r="B64" s="1565" t="s">
        <v>510</v>
      </c>
      <c r="C64" s="1435"/>
      <c r="D64" s="1437"/>
    </row>
    <row r="65" spans="1:4">
      <c r="A65" s="1562" t="s">
        <v>513</v>
      </c>
      <c r="B65" s="1565" t="s">
        <v>511</v>
      </c>
      <c r="C65" s="1435"/>
      <c r="D65" s="1437"/>
    </row>
    <row r="66" spans="1:4">
      <c r="A66" s="1562" t="s">
        <v>514</v>
      </c>
      <c r="B66" s="1565" t="s">
        <v>516</v>
      </c>
      <c r="C66" s="1435"/>
      <c r="D66" s="1437"/>
    </row>
    <row r="67" spans="1:4">
      <c r="A67" s="1562" t="s">
        <v>515</v>
      </c>
      <c r="B67" s="1565" t="s">
        <v>863</v>
      </c>
      <c r="C67" s="1435"/>
      <c r="D67" s="1437"/>
    </row>
    <row r="68" spans="1:4">
      <c r="A68" s="1562" t="s">
        <v>864</v>
      </c>
      <c r="B68" s="1565" t="s">
        <v>1005</v>
      </c>
      <c r="C68" s="1435"/>
      <c r="D68" s="1437"/>
    </row>
    <row r="69" spans="1:4">
      <c r="A69" s="1562" t="s">
        <v>865</v>
      </c>
      <c r="B69" s="1565" t="s">
        <v>1368</v>
      </c>
      <c r="C69" s="1435"/>
      <c r="D69" s="1437"/>
    </row>
    <row r="70" spans="1:4">
      <c r="A70" s="1562" t="s">
        <v>1609</v>
      </c>
      <c r="B70" s="1565" t="s">
        <v>1608</v>
      </c>
      <c r="C70" s="1435"/>
      <c r="D70" s="1437"/>
    </row>
    <row r="71" spans="1:4">
      <c r="A71" s="1562" t="s">
        <v>1610</v>
      </c>
      <c r="B71" s="1565" t="s">
        <v>1354</v>
      </c>
      <c r="C71" s="1435"/>
      <c r="D71" s="1564" t="s">
        <v>1898</v>
      </c>
    </row>
    <row r="72" spans="1:4">
      <c r="A72" s="1562" t="s">
        <v>1611</v>
      </c>
      <c r="B72" s="1565" t="s">
        <v>1355</v>
      </c>
      <c r="C72" s="1435"/>
      <c r="D72" s="1564" t="s">
        <v>1899</v>
      </c>
    </row>
    <row r="73" spans="1:4">
      <c r="A73" s="1562" t="s">
        <v>1612</v>
      </c>
      <c r="B73" s="1565" t="s">
        <v>1356</v>
      </c>
      <c r="C73" s="1435"/>
      <c r="D73" s="1564" t="s">
        <v>1900</v>
      </c>
    </row>
    <row r="74" spans="1:4">
      <c r="A74" s="1562" t="s">
        <v>1613</v>
      </c>
      <c r="B74" s="1565" t="s">
        <v>1357</v>
      </c>
      <c r="C74" s="1435"/>
      <c r="D74" s="1564" t="s">
        <v>1901</v>
      </c>
    </row>
    <row r="75" spans="1:4">
      <c r="A75" s="1562" t="s">
        <v>1614</v>
      </c>
      <c r="B75" s="1565" t="s">
        <v>1358</v>
      </c>
      <c r="C75" s="1435"/>
      <c r="D75" s="1564" t="s">
        <v>1902</v>
      </c>
    </row>
    <row r="76" spans="1:4">
      <c r="A76" s="1562" t="s">
        <v>1431</v>
      </c>
      <c r="B76" s="1565" t="s">
        <v>1359</v>
      </c>
      <c r="C76" s="1435"/>
      <c r="D76" s="1564" t="s">
        <v>1903</v>
      </c>
    </row>
    <row r="77" spans="1:4">
      <c r="A77" s="1562" t="s">
        <v>1432</v>
      </c>
      <c r="B77" s="1565" t="s">
        <v>1360</v>
      </c>
      <c r="C77" s="1435"/>
      <c r="D77" s="1564" t="s">
        <v>1904</v>
      </c>
    </row>
    <row r="78" spans="1:4">
      <c r="A78" s="1562" t="s">
        <v>1433</v>
      </c>
      <c r="B78" s="1565" t="s">
        <v>1361</v>
      </c>
      <c r="C78" s="1435"/>
      <c r="D78" s="1564" t="s">
        <v>1905</v>
      </c>
    </row>
    <row r="79" spans="1:4">
      <c r="A79" s="1562" t="s">
        <v>1434</v>
      </c>
      <c r="B79" s="1565" t="s">
        <v>1362</v>
      </c>
      <c r="C79" s="1435"/>
      <c r="D79" s="1564" t="s">
        <v>1906</v>
      </c>
    </row>
    <row r="80" spans="1:4">
      <c r="A80" s="1562" t="s">
        <v>1435</v>
      </c>
      <c r="B80" s="1565" t="s">
        <v>1137</v>
      </c>
      <c r="C80" s="1435"/>
      <c r="D80" s="1564" t="s">
        <v>1443</v>
      </c>
    </row>
    <row r="81" spans="1:4">
      <c r="A81" s="1562" t="s">
        <v>1436</v>
      </c>
      <c r="B81" s="1565" t="s">
        <v>1138</v>
      </c>
      <c r="C81" s="1435"/>
      <c r="D81" s="1564" t="s">
        <v>1444</v>
      </c>
    </row>
    <row r="82" spans="1:4">
      <c r="A82" s="1562" t="s">
        <v>1437</v>
      </c>
      <c r="B82" s="1565" t="s">
        <v>1139</v>
      </c>
      <c r="C82" s="1435"/>
      <c r="D82" s="1564" t="s">
        <v>1445</v>
      </c>
    </row>
    <row r="83" spans="1:4">
      <c r="A83" s="1562" t="s">
        <v>1438</v>
      </c>
      <c r="B83" s="1565" t="s">
        <v>1140</v>
      </c>
      <c r="C83" s="1435"/>
      <c r="D83" s="1564" t="s">
        <v>1446</v>
      </c>
    </row>
    <row r="84" spans="1:4">
      <c r="A84" s="1562" t="s">
        <v>1897</v>
      </c>
      <c r="B84" s="1565" t="s">
        <v>1978</v>
      </c>
      <c r="C84" s="1435"/>
      <c r="D84" s="1564" t="s">
        <v>1447</v>
      </c>
    </row>
    <row r="85" spans="1:4">
      <c r="A85" s="1440"/>
      <c r="B85" s="1441"/>
      <c r="C85" s="1442"/>
      <c r="D85" s="1443"/>
    </row>
    <row r="86" spans="1:4">
      <c r="A86" s="1444"/>
      <c r="B86" s="1442"/>
      <c r="C86" s="1435"/>
      <c r="D86" s="1445"/>
    </row>
    <row r="87" spans="1:4">
      <c r="A87" s="2382" t="s">
        <v>1186</v>
      </c>
      <c r="B87" s="2383"/>
      <c r="C87" s="1446"/>
    </row>
    <row r="88" spans="1:4">
      <c r="A88" s="1567" t="s">
        <v>524</v>
      </c>
      <c r="B88" s="1568" t="s">
        <v>525</v>
      </c>
      <c r="C88" s="1435"/>
    </row>
    <row r="89" spans="1:4">
      <c r="A89" s="1448"/>
      <c r="B89" s="1569" t="s">
        <v>759</v>
      </c>
      <c r="C89" s="1435"/>
    </row>
    <row r="90" spans="1:4">
      <c r="A90" s="1444"/>
      <c r="B90" s="1570" t="s">
        <v>760</v>
      </c>
      <c r="C90" s="1435"/>
    </row>
    <row r="92" spans="1:4">
      <c r="A92" s="2382" t="s">
        <v>455</v>
      </c>
      <c r="B92" s="2388"/>
      <c r="C92" s="2388"/>
      <c r="D92" s="2383"/>
    </row>
    <row r="93" spans="1:4">
      <c r="A93" s="1701" t="s">
        <v>866</v>
      </c>
      <c r="B93" s="1702" t="str">
        <f>'Lookup and lists'!B28</f>
        <v>KZN225 Msunduzi</v>
      </c>
      <c r="C93" s="1703"/>
      <c r="D93" s="1433"/>
    </row>
    <row r="94" spans="1:4">
      <c r="A94" s="1701" t="s">
        <v>954</v>
      </c>
      <c r="B94" s="1704">
        <v>2</v>
      </c>
      <c r="C94" s="1703" t="s">
        <v>955</v>
      </c>
      <c r="D94" s="1571">
        <v>1</v>
      </c>
    </row>
    <row r="95" spans="1:4">
      <c r="A95" s="1572" t="str">
        <f>IF((MuniEntities=1)*(MuniType=2),"YES","NO")</f>
        <v>NO</v>
      </c>
      <c r="B95" s="1221" t="s">
        <v>1112</v>
      </c>
      <c r="D95" s="1433"/>
    </row>
    <row r="96" spans="1:4">
      <c r="A96" s="1571" t="s">
        <v>1827</v>
      </c>
      <c r="B96" s="1221" t="s">
        <v>1605</v>
      </c>
      <c r="D96" s="1571" t="s">
        <v>1665</v>
      </c>
    </row>
    <row r="97" spans="1:6">
      <c r="A97" s="1571" t="s">
        <v>1369</v>
      </c>
      <c r="B97" s="1221" t="s">
        <v>1606</v>
      </c>
      <c r="D97" s="1571" t="s">
        <v>1371</v>
      </c>
    </row>
    <row r="98" spans="1:6">
      <c r="A98" s="1571" t="s">
        <v>1370</v>
      </c>
      <c r="B98" s="1221" t="s">
        <v>1607</v>
      </c>
      <c r="D98" s="1571" t="s">
        <v>1372</v>
      </c>
    </row>
    <row r="99" spans="1:6">
      <c r="A99" s="2386" t="s">
        <v>1187</v>
      </c>
      <c r="B99" s="2387"/>
      <c r="C99" s="1573" t="s">
        <v>1486</v>
      </c>
      <c r="D99" s="1574" t="s">
        <v>1485</v>
      </c>
      <c r="E99" s="1573" t="s">
        <v>1453</v>
      </c>
      <c r="F99" s="1574" t="s">
        <v>1453</v>
      </c>
    </row>
    <row r="100" spans="1:6">
      <c r="A100" s="1448"/>
      <c r="B100" s="1575" t="str">
        <f t="shared" ref="B100:B109" si="0">IF(Consolques="YES",E100,F100)</f>
        <v>Table A1 Budget Summary</v>
      </c>
      <c r="C100" s="1447"/>
      <c r="D100" s="1562" t="s">
        <v>1991</v>
      </c>
      <c r="E100" s="1221" t="str">
        <f>D100&amp;"Consolidated Budget Summary"</f>
        <v>Table A1 Consolidated Budget Summary</v>
      </c>
      <c r="F100" s="1221" t="str">
        <f>D100&amp;"Budget Summary"</f>
        <v>Table A1 Budget Summary</v>
      </c>
    </row>
    <row r="101" spans="1:6">
      <c r="A101" s="1448"/>
      <c r="B101" s="1575" t="str">
        <f t="shared" si="0"/>
        <v>Table A2 Budgeted Financial Performance (revenue and expenditure by standard classification)</v>
      </c>
      <c r="C101" s="1569" t="s">
        <v>674</v>
      </c>
      <c r="D101" s="1562" t="s">
        <v>1992</v>
      </c>
      <c r="E101" s="1221" t="str">
        <f>D101&amp;"Consolidated Budgeted Financial Performance (revenue and expenditure by standard classification)"</f>
        <v>Table A2 Consolidated Budgeted Financial Performance (revenue and expenditure by standard classification)</v>
      </c>
      <c r="F101" s="1221" t="str">
        <f>D101&amp;"Budgeted Financial Performance (revenue and expenditure by standard classification)"</f>
        <v>Table A2 Budgeted Financial Performance (revenue and expenditure by standard classification)</v>
      </c>
    </row>
    <row r="102" spans="1:6">
      <c r="A102" s="1448"/>
      <c r="B102" s="1575" t="str">
        <f t="shared" si="0"/>
        <v>Table A3 Budgeted Financial Performance (revenue and expenditure by municipal vote)</v>
      </c>
      <c r="C102" s="1436"/>
      <c r="D102" s="1562" t="s">
        <v>1993</v>
      </c>
      <c r="E102" s="1221" t="str">
        <f>D102&amp;"Consolidated Budgeted Financial Performance (revenue and expenditure by municipal vote)"</f>
        <v>Table A3 Consolidated Budgeted Financial Performance (revenue and expenditure by municipal vote)</v>
      </c>
      <c r="F102" s="1221" t="str">
        <f>D102&amp;"Budgeted Financial Performance (revenue and expenditure by municipal vote)"</f>
        <v>Table A3 Budgeted Financial Performance (revenue and expenditure by municipal vote)</v>
      </c>
    </row>
    <row r="103" spans="1:6">
      <c r="A103" s="1448"/>
      <c r="B103" s="1575" t="str">
        <f t="shared" si="0"/>
        <v>Table A4 Budgeted Financial Performance (revenue and expenditure)</v>
      </c>
      <c r="C103" s="1569" t="s">
        <v>673</v>
      </c>
      <c r="D103" s="1562" t="s">
        <v>1994</v>
      </c>
      <c r="E103" s="1221" t="str">
        <f>D103&amp;"Consolidated Budgeted Financial Performance (revenue and expenditure)"</f>
        <v>Table A4 Consolidated Budgeted Financial Performance (revenue and expenditure)</v>
      </c>
      <c r="F103" s="1221" t="str">
        <f>D103&amp;"Budgeted Financial Performance (revenue and expenditure)"</f>
        <v>Table A4 Budgeted Financial Performance (revenue and expenditure)</v>
      </c>
    </row>
    <row r="104" spans="1:6">
      <c r="A104" s="1448"/>
      <c r="B104" s="1563" t="str">
        <f t="shared" si="0"/>
        <v>Table A5 Budgeted Capital Expenditure by vote, standard classification and funding</v>
      </c>
      <c r="C104" s="1569" t="s">
        <v>676</v>
      </c>
      <c r="D104" s="1562" t="s">
        <v>1995</v>
      </c>
      <c r="E104" s="1221" t="str">
        <f>D104&amp;"Consolidated Budgeted Capital Expenditure by vote, standard classification and funding"</f>
        <v>Table A5 Consolidated Budgeted Capital Expenditure by vote, standard classification and funding</v>
      </c>
      <c r="F104" s="1221" t="str">
        <f>D104&amp;"Budgeted Capital Expenditure by vote, standard classification and funding"</f>
        <v>Table A5 Budgeted Capital Expenditure by vote, standard classification and funding</v>
      </c>
    </row>
    <row r="105" spans="1:6">
      <c r="A105" s="1448"/>
      <c r="B105" s="1563" t="str">
        <f t="shared" si="0"/>
        <v>Table A6 Budgeted Financial Position</v>
      </c>
      <c r="C105" s="1436"/>
      <c r="D105" s="1562" t="s">
        <v>1996</v>
      </c>
      <c r="E105" s="1221" t="str">
        <f>D105&amp;"Consolidated Budgeted Financial Position"</f>
        <v>Table A6 Consolidated Budgeted Financial Position</v>
      </c>
      <c r="F105" s="1221" t="str">
        <f>D105&amp;"Budgeted Financial Position"</f>
        <v>Table A6 Budgeted Financial Position</v>
      </c>
    </row>
    <row r="106" spans="1:6">
      <c r="A106" s="1448"/>
      <c r="B106" s="1563" t="str">
        <f t="shared" si="0"/>
        <v>Table A7 Budgeted Cash Flows</v>
      </c>
      <c r="C106" s="1436"/>
      <c r="D106" s="1562" t="s">
        <v>1997</v>
      </c>
      <c r="E106" s="1221" t="str">
        <f>D106&amp;"Consolidated Budgeted Cash Flows"</f>
        <v>Table A7 Consolidated Budgeted Cash Flows</v>
      </c>
      <c r="F106" s="1221" t="str">
        <f>D106&amp;"Budgeted Cash Flows"</f>
        <v>Table A7 Budgeted Cash Flows</v>
      </c>
    </row>
    <row r="107" spans="1:6">
      <c r="A107" s="1448"/>
      <c r="B107" s="1563" t="str">
        <f t="shared" si="0"/>
        <v>Table A8 Cash backed reserves/accumulated surplus reconciliation</v>
      </c>
      <c r="C107" s="1436"/>
      <c r="D107" s="1562" t="s">
        <v>1998</v>
      </c>
      <c r="E107" s="1576" t="str">
        <f>D107&amp;"Consolidated Cash backed reserves/accumulated surplus reconciliation"</f>
        <v>Table A8 Consolidated Cash backed reserves/accumulated surplus reconciliation</v>
      </c>
      <c r="F107" s="1576" t="str">
        <f>D107&amp;"Cash backed reserves/accumulated surplus reconciliation"</f>
        <v>Table A8 Cash backed reserves/accumulated surplus reconciliation</v>
      </c>
    </row>
    <row r="108" spans="1:6">
      <c r="A108" s="1448"/>
      <c r="B108" s="1563" t="str">
        <f t="shared" si="0"/>
        <v>Table A9 Asset Management</v>
      </c>
      <c r="C108" s="1436"/>
      <c r="D108" s="1562" t="s">
        <v>1999</v>
      </c>
      <c r="E108" s="1221" t="str">
        <f>D108&amp;"Consolidated Asset Management"</f>
        <v>Table A9 Consolidated Asset Management</v>
      </c>
      <c r="F108" s="1221" t="str">
        <f>D108&amp;"Asset Management"</f>
        <v>Table A9 Asset Management</v>
      </c>
    </row>
    <row r="109" spans="1:6">
      <c r="A109" s="1448"/>
      <c r="B109" s="1577" t="str">
        <f t="shared" si="0"/>
        <v>Table A10 Basic service delivery measurement</v>
      </c>
      <c r="C109" s="1449"/>
      <c r="D109" s="1578" t="s">
        <v>2000</v>
      </c>
      <c r="E109" s="1221" t="str">
        <f>D109&amp;"Consolidated basic service delivery measurement"</f>
        <v>Table A10 Consolidated basic service delivery measurement</v>
      </c>
      <c r="F109" s="1221" t="str">
        <f>D109&amp;"Basic service delivery measurement"</f>
        <v>Table A10 Basic service delivery measurement</v>
      </c>
    </row>
    <row r="110" spans="1:6">
      <c r="A110" s="2384" t="s">
        <v>1508</v>
      </c>
      <c r="B110" s="2385"/>
      <c r="C110" s="1579" t="str">
        <f>$C$99</f>
        <v>Chart x-ref</v>
      </c>
      <c r="D110" s="1579" t="str">
        <f>$D$99</f>
        <v>Sch/Tab/Ch</v>
      </c>
    </row>
    <row r="111" spans="1:6">
      <c r="A111" s="1580" t="s">
        <v>1509</v>
      </c>
      <c r="B111" s="1581" t="str">
        <f>A111&amp;" Supportinging detail to 'Budgeted Financial Performance'"</f>
        <v>Supporting Table SA1 Supportinging detail to 'Budgeted Financial Performance'</v>
      </c>
      <c r="C111" s="1450"/>
      <c r="D111" s="1450"/>
      <c r="E111" s="1435"/>
      <c r="F111" s="1435"/>
    </row>
    <row r="112" spans="1:6">
      <c r="A112" s="1562" t="s">
        <v>1510</v>
      </c>
      <c r="B112" s="1563" t="str">
        <f>IF(Consolques="YES",E112,F112)</f>
        <v>Supporting Table SA2 Matrix Financial Performance Budget (revenue source/expenditure type and dept.)</v>
      </c>
      <c r="C112" s="1437"/>
      <c r="D112" s="1437"/>
      <c r="E112" s="1563" t="str">
        <f>A112&amp;"Consolidated Matrix Financial Performance Budget (revenue source/expenditure type &amp; dept.)"</f>
        <v>Supporting Table SA2 Consolidated Matrix Financial Performance Budget (revenue source/expenditure type &amp; dept.)</v>
      </c>
      <c r="F112" s="1563" t="str">
        <f>A112&amp;"Matrix Financial Performance Budget (revenue source/expenditure type and dept.)"</f>
        <v>Supporting Table SA2 Matrix Financial Performance Budget (revenue source/expenditure type and dept.)</v>
      </c>
    </row>
    <row r="113" spans="1:6">
      <c r="A113" s="1562" t="s">
        <v>1511</v>
      </c>
      <c r="B113" s="1563" t="str">
        <f>A113&amp;"Supportinging detail to 'Budgeted Financial Position'"</f>
        <v>Supporting Table SA3 Supportinging detail to 'Budgeted Financial Position'</v>
      </c>
      <c r="C113" s="1437"/>
      <c r="D113" s="1437"/>
      <c r="E113" s="1435"/>
      <c r="F113" s="1435"/>
    </row>
    <row r="114" spans="1:6">
      <c r="A114" s="1562" t="s">
        <v>1512</v>
      </c>
      <c r="B114" s="1563" t="str">
        <f>A114&amp;"Reconciliation of IDP strategic objectives and budget (revenue)"</f>
        <v>Supporting Table SA4 Reconciliation of IDP strategic objectives and budget (revenue)</v>
      </c>
      <c r="C114" s="1564" t="s">
        <v>1468</v>
      </c>
      <c r="D114" s="1437"/>
      <c r="E114" s="1435"/>
      <c r="F114" s="1435"/>
    </row>
    <row r="115" spans="1:6">
      <c r="A115" s="1562" t="s">
        <v>41</v>
      </c>
      <c r="B115" s="1563" t="str">
        <f>A115&amp;"Reconciliation of IDP strategic objectives and budget (operating expenditure)"</f>
        <v>Supporting Table SA5 Reconciliation of IDP strategic objectives and budget (operating expenditure)</v>
      </c>
      <c r="C115" s="1564" t="s">
        <v>1469</v>
      </c>
      <c r="D115" s="1437"/>
      <c r="E115" s="1435"/>
      <c r="F115" s="1435"/>
    </row>
    <row r="116" spans="1:6">
      <c r="A116" s="1562" t="s">
        <v>42</v>
      </c>
      <c r="B116" s="1563" t="str">
        <f>A116&amp;"Reconciliation of IDP strategic objectives and budget (capital expenditure)"</f>
        <v>Supporting Table SA6 Reconciliation of IDP strategic objectives and budget (capital expenditure)</v>
      </c>
      <c r="C116" s="1564" t="s">
        <v>1470</v>
      </c>
      <c r="D116" s="1437"/>
      <c r="E116" s="1435"/>
      <c r="F116" s="1435"/>
    </row>
    <row r="117" spans="1:6">
      <c r="A117" s="1562" t="s">
        <v>43</v>
      </c>
      <c r="B117" s="1563" t="str">
        <f>A117&amp;" Measureable performance objectives"</f>
        <v>Supporting Table SA7 Measureable performance objectives</v>
      </c>
      <c r="C117" s="1437"/>
      <c r="D117" s="1437"/>
      <c r="E117" s="1435"/>
      <c r="F117" s="1435"/>
    </row>
    <row r="118" spans="1:6">
      <c r="A118" s="1562" t="s">
        <v>44</v>
      </c>
      <c r="B118" s="1563" t="str">
        <f>A118&amp;" Performance indicators and benchmarks"</f>
        <v>Supporting Table SA8 Performance indicators and benchmarks</v>
      </c>
      <c r="C118" s="1564" t="s">
        <v>675</v>
      </c>
      <c r="D118" s="1437"/>
      <c r="E118" s="1435"/>
      <c r="F118" s="1435"/>
    </row>
    <row r="119" spans="1:6">
      <c r="A119" s="1562" t="s">
        <v>45</v>
      </c>
      <c r="B119" s="1563" t="str">
        <f>A119&amp;" Social, economic and demographic statistics and assumptions"</f>
        <v>Supporting Table SA9 Social, economic and demographic statistics and assumptions</v>
      </c>
      <c r="C119" s="1437"/>
      <c r="D119" s="1437"/>
      <c r="E119" s="1435"/>
      <c r="F119" s="1435"/>
    </row>
    <row r="120" spans="1:6">
      <c r="A120" s="1562" t="s">
        <v>1076</v>
      </c>
      <c r="B120" s="1563" t="str">
        <f>A120&amp;" Funding measurement"</f>
        <v>Supporting Table SA10 Funding measurement</v>
      </c>
      <c r="C120" s="1564" t="s">
        <v>1471</v>
      </c>
      <c r="D120" s="1437"/>
      <c r="E120" s="1435"/>
      <c r="F120" s="1435"/>
    </row>
    <row r="121" spans="1:6">
      <c r="A121" s="1562" t="s">
        <v>1077</v>
      </c>
      <c r="B121" s="1575" t="str">
        <f>A121&amp;" Property rates summary"</f>
        <v>Supporting Table SA11 Property rates summary</v>
      </c>
      <c r="C121" s="1437"/>
      <c r="D121" s="1437"/>
      <c r="E121" s="1435"/>
      <c r="F121" s="1435"/>
    </row>
    <row r="122" spans="1:6">
      <c r="A122" s="1562" t="s">
        <v>1078</v>
      </c>
      <c r="B122" s="1575" t="str">
        <f>A122&amp;" Property rates by category (current year)"</f>
        <v>Supporting Table SA12 Property rates by category (current year)</v>
      </c>
      <c r="C122" s="1437"/>
      <c r="D122" s="1437"/>
      <c r="E122" s="1435"/>
      <c r="F122" s="1435"/>
    </row>
    <row r="123" spans="1:6">
      <c r="A123" s="1562" t="s">
        <v>1079</v>
      </c>
      <c r="B123" s="1575" t="str">
        <f>A123&amp;" Property rates by category (budget year)"</f>
        <v>Supporting Table SA13 Property rates by category (budget year)</v>
      </c>
      <c r="C123" s="1437"/>
      <c r="D123" s="1437"/>
      <c r="E123" s="1435"/>
      <c r="F123" s="1435"/>
    </row>
    <row r="124" spans="1:6">
      <c r="A124" s="1562" t="s">
        <v>1080</v>
      </c>
      <c r="B124" s="1575" t="str">
        <f>A124&amp;" Household bills"</f>
        <v>Supporting Table SA14 Household bills</v>
      </c>
      <c r="C124" s="1437"/>
      <c r="D124" s="1437"/>
      <c r="E124" s="1435"/>
      <c r="F124" s="1435"/>
    </row>
    <row r="125" spans="1:6">
      <c r="A125" s="1562" t="s">
        <v>1081</v>
      </c>
      <c r="B125" s="1563" t="str">
        <f>A125&amp;" Investment particulars by type"</f>
        <v>Supporting Table SA15 Investment particulars by type</v>
      </c>
      <c r="C125" s="1437"/>
      <c r="D125" s="1437"/>
      <c r="E125" s="1435"/>
      <c r="F125" s="1435"/>
    </row>
    <row r="126" spans="1:6">
      <c r="A126" s="1562" t="s">
        <v>1082</v>
      </c>
      <c r="B126" s="1563" t="str">
        <f>A126&amp;" Investment particulars by maturity"</f>
        <v>Supporting Table SA16 Investment particulars by maturity</v>
      </c>
      <c r="C126" s="1437"/>
      <c r="D126" s="1437"/>
      <c r="E126" s="1435"/>
      <c r="F126" s="1435"/>
    </row>
    <row r="127" spans="1:6">
      <c r="A127" s="1562" t="s">
        <v>1083</v>
      </c>
      <c r="B127" s="1563" t="str">
        <f>A127&amp;" Borrowing"</f>
        <v>Supporting Table SA17 Borrowing</v>
      </c>
      <c r="C127" s="1437"/>
      <c r="D127" s="1451"/>
      <c r="E127" s="1435"/>
      <c r="F127" s="1435"/>
    </row>
    <row r="128" spans="1:6">
      <c r="A128" s="1562" t="s">
        <v>1084</v>
      </c>
      <c r="B128" s="1563" t="str">
        <f>A128&amp;" Transfers and grant receipts"</f>
        <v>Supporting Table SA18 Transfers and grant receipts</v>
      </c>
      <c r="C128" s="1437"/>
      <c r="D128" s="1437"/>
      <c r="E128" s="1435"/>
      <c r="F128" s="1435"/>
    </row>
    <row r="129" spans="1:6">
      <c r="A129" s="1562" t="s">
        <v>1085</v>
      </c>
      <c r="B129" s="1563" t="str">
        <f>A129&amp;" Expenditure on transfers and grant programme"</f>
        <v>Supporting Table SA19 Expenditure on transfers and grant programme</v>
      </c>
      <c r="C129" s="1437"/>
      <c r="D129" s="1437"/>
      <c r="E129" s="1435"/>
      <c r="F129" s="1435"/>
    </row>
    <row r="130" spans="1:6">
      <c r="A130" s="1562" t="s">
        <v>1086</v>
      </c>
      <c r="B130" s="1563" t="str">
        <f>A130&amp;" Reconciliation of transfers, grant receipts and unspent funds"</f>
        <v>Supporting Table SA20 Reconciliation of transfers, grant receipts and unspent funds</v>
      </c>
      <c r="C130" s="1437"/>
      <c r="D130" s="1437"/>
      <c r="E130" s="1435"/>
      <c r="F130" s="1435"/>
    </row>
    <row r="131" spans="1:6">
      <c r="A131" s="1562" t="s">
        <v>1087</v>
      </c>
      <c r="B131" s="1563" t="str">
        <f>A131&amp;" Transfers and grants made by the municipality"</f>
        <v>Supporting Table SA21 Transfers and grants made by the municipality</v>
      </c>
      <c r="C131" s="1437"/>
      <c r="D131" s="1437"/>
      <c r="E131" s="1435"/>
      <c r="F131" s="1435"/>
    </row>
    <row r="132" spans="1:6">
      <c r="A132" s="1562" t="s">
        <v>1088</v>
      </c>
      <c r="B132" s="1563" t="str">
        <f>A132&amp;" Summary councillor and staff benefits"</f>
        <v>Supporting Table SA22 Summary councillor and staff benefits</v>
      </c>
      <c r="C132" s="1437"/>
      <c r="D132" s="1451"/>
      <c r="E132" s="1435"/>
      <c r="F132" s="1435"/>
    </row>
    <row r="133" spans="1:6">
      <c r="A133" s="1562" t="s">
        <v>1089</v>
      </c>
      <c r="B133" s="1563" t="str">
        <f>A133&amp;" Salaries, allowances &amp; benefits (political office bearers/councillors/senior managers)"</f>
        <v>Supporting Table SA23 Salaries, allowances &amp; benefits (political office bearers/councillors/senior managers)</v>
      </c>
      <c r="C133" s="1437"/>
      <c r="D133" s="1451"/>
      <c r="E133" s="1435"/>
      <c r="F133" s="1435"/>
    </row>
    <row r="134" spans="1:6">
      <c r="A134" s="1562" t="s">
        <v>1090</v>
      </c>
      <c r="B134" s="1563" t="str">
        <f>A134&amp;" Summary of personnel numbers"</f>
        <v>Supporting Table SA24 Summary of personnel numbers</v>
      </c>
      <c r="C134" s="1437"/>
      <c r="D134" s="1437"/>
      <c r="E134" s="1435"/>
      <c r="F134" s="1435"/>
    </row>
    <row r="135" spans="1:6">
      <c r="A135" s="1562" t="s">
        <v>1091</v>
      </c>
      <c r="B135" s="1575" t="str">
        <f t="shared" ref="B135:B141" si="1">IF(Consolques="YES",E135,F135)</f>
        <v>Supporting Table SA25 Budgeted monthly revenue and expenditure</v>
      </c>
      <c r="C135" s="1437"/>
      <c r="D135" s="1437"/>
      <c r="E135" s="1563" t="str">
        <f>A135&amp;" Consolidated budgeted monthly revenue and expenditure"</f>
        <v>Supporting Table SA25 Consolidated budgeted monthly revenue and expenditure</v>
      </c>
      <c r="F135" s="1563" t="str">
        <f>A135&amp;" Budgeted monthly revenue and expenditure"</f>
        <v>Supporting Table SA25 Budgeted monthly revenue and expenditure</v>
      </c>
    </row>
    <row r="136" spans="1:6">
      <c r="A136" s="1562" t="s">
        <v>1092</v>
      </c>
      <c r="B136" s="1575" t="str">
        <f t="shared" si="1"/>
        <v>Supporting Table SA26 Budgeted monthly revenue and expenditure (municipal vote)</v>
      </c>
      <c r="C136" s="1437"/>
      <c r="D136" s="1437"/>
      <c r="E136" s="1563" t="str">
        <f>A136&amp;" Consolidated budgeted monthly revenue and expenditure (municipal vote)"</f>
        <v>Supporting Table SA26 Consolidated budgeted monthly revenue and expenditure (municipal vote)</v>
      </c>
      <c r="F136" s="1563" t="str">
        <f>A136&amp;" Budgeted monthly revenue and expenditure (municipal vote)"</f>
        <v>Supporting Table SA26 Budgeted monthly revenue and expenditure (municipal vote)</v>
      </c>
    </row>
    <row r="137" spans="1:6">
      <c r="A137" s="1562" t="s">
        <v>1093</v>
      </c>
      <c r="B137" s="1575" t="str">
        <f t="shared" si="1"/>
        <v>Supporting Table SA27 Budgeted monthly revenue and expenditure (standard classification)</v>
      </c>
      <c r="C137" s="1437"/>
      <c r="D137" s="1437"/>
      <c r="E137" s="1563" t="str">
        <f>A137&amp;" Consolidated budgeted monthly revenue and expenditure (standard classification)"</f>
        <v>Supporting Table SA27 Consolidated budgeted monthly revenue and expenditure (standard classification)</v>
      </c>
      <c r="F137" s="1563" t="str">
        <f>A137&amp;" Budgeted monthly revenue and expenditure (standard classification)"</f>
        <v>Supporting Table SA27 Budgeted monthly revenue and expenditure (standard classification)</v>
      </c>
    </row>
    <row r="138" spans="1:6">
      <c r="A138" s="1562" t="s">
        <v>1094</v>
      </c>
      <c r="B138" s="1575" t="str">
        <f t="shared" si="1"/>
        <v>Supporting Table SA28 Budgeted monthly capital expenditure (municipal vote)</v>
      </c>
      <c r="C138" s="1437"/>
      <c r="D138" s="1437"/>
      <c r="E138" s="1563" t="str">
        <f>A138&amp;" Consolidated budgeted monthly capital expenditure (municipal vote)"</f>
        <v>Supporting Table SA28 Consolidated budgeted monthly capital expenditure (municipal vote)</v>
      </c>
      <c r="F138" s="1563" t="str">
        <f>A138&amp;" Budgeted monthly capital expenditure (municipal vote)"</f>
        <v>Supporting Table SA28 Budgeted monthly capital expenditure (municipal vote)</v>
      </c>
    </row>
    <row r="139" spans="1:6">
      <c r="A139" s="1562" t="s">
        <v>1095</v>
      </c>
      <c r="B139" s="1575" t="str">
        <f t="shared" si="1"/>
        <v>Supporting Table SA29 Budgeted monthly capital expenditure (standard classification)</v>
      </c>
      <c r="C139" s="1437"/>
      <c r="D139" s="1437"/>
      <c r="E139" s="1563" t="str">
        <f>A139&amp;" Consolidated budgeted monthly capital expenditure (standard classification)"</f>
        <v>Supporting Table SA29 Consolidated budgeted monthly capital expenditure (standard classification)</v>
      </c>
      <c r="F139" s="1563" t="str">
        <f>A139&amp;" Budgeted monthly capital expenditure (standard classification)"</f>
        <v>Supporting Table SA29 Budgeted monthly capital expenditure (standard classification)</v>
      </c>
    </row>
    <row r="140" spans="1:6">
      <c r="A140" s="1562" t="s">
        <v>1096</v>
      </c>
      <c r="B140" s="1575" t="str">
        <f t="shared" si="1"/>
        <v>Supporting Table SA30 Budgeted monthly cash flow</v>
      </c>
      <c r="C140" s="1437"/>
      <c r="D140" s="1437"/>
      <c r="E140" s="1563" t="str">
        <f>A140&amp;" Consolidated budgeted monthly cash flow"</f>
        <v>Supporting Table SA30 Consolidated budgeted monthly cash flow</v>
      </c>
      <c r="F140" s="1563" t="str">
        <f>A140&amp;" Budgeted monthly cash flow"</f>
        <v>Supporting Table SA30 Budgeted monthly cash flow</v>
      </c>
    </row>
    <row r="141" spans="1:6">
      <c r="A141" s="1562" t="s">
        <v>1097</v>
      </c>
      <c r="B141" s="1563" t="str">
        <f t="shared" si="1"/>
        <v>NOT REQUIRED - municipality does not have entities</v>
      </c>
      <c r="C141" s="1437"/>
      <c r="D141" s="1437"/>
      <c r="E141" s="1563" t="str">
        <f>A141&amp;" Aggregated entity budget"</f>
        <v>Supporting Table SA31 Aggregated entity budget</v>
      </c>
      <c r="F141" s="1563" t="s">
        <v>1113</v>
      </c>
    </row>
    <row r="142" spans="1:6">
      <c r="A142" s="1562" t="s">
        <v>1098</v>
      </c>
      <c r="B142" s="1563" t="str">
        <f>A142&amp;" List of external mechanisms"</f>
        <v>Supporting Table SA32 List of external mechanisms</v>
      </c>
      <c r="C142" s="1437"/>
      <c r="D142" s="1437"/>
      <c r="E142" s="1435"/>
      <c r="F142" s="1435"/>
    </row>
    <row r="143" spans="1:6">
      <c r="A143" s="1562" t="s">
        <v>1099</v>
      </c>
      <c r="B143" s="1563" t="str">
        <f>A143&amp;" Contracts having future budgetary implications"</f>
        <v>Supporting Table SA33 Contracts having future budgetary implications</v>
      </c>
      <c r="C143" s="1437"/>
      <c r="D143" s="1437"/>
      <c r="E143" s="1435"/>
      <c r="F143" s="1435"/>
    </row>
    <row r="144" spans="1:6">
      <c r="A144" s="1562" t="s">
        <v>1820</v>
      </c>
      <c r="B144" s="1563" t="str">
        <f t="shared" ref="B144:B149" si="2">IF(Consolques="YES",E144,F144)</f>
        <v>Supporting Table SA34a Capital expenditure on new assets by asset class</v>
      </c>
      <c r="C144" s="1437"/>
      <c r="D144" s="1437"/>
      <c r="E144" s="1563" t="str">
        <f>A144&amp;" Consolidated capital expenditure on new assets by asset class"</f>
        <v>Supporting Table SA34a Consolidated capital expenditure on new assets by asset class</v>
      </c>
      <c r="F144" s="1563" t="str">
        <f>A144&amp;" Capital expenditure on new assets by asset class"</f>
        <v>Supporting Table SA34a Capital expenditure on new assets by asset class</v>
      </c>
    </row>
    <row r="145" spans="1:6">
      <c r="A145" s="1562" t="s">
        <v>1821</v>
      </c>
      <c r="B145" s="1563" t="str">
        <f t="shared" si="2"/>
        <v>Supporting Table SA34b Capital expenditure on the renewal of existing assets by asset class</v>
      </c>
      <c r="C145" s="1437"/>
      <c r="D145" s="1437"/>
      <c r="E145" s="1563" t="str">
        <f>A145&amp;" Consolidated capital expenditure on existing assets by asset class"</f>
        <v>Supporting Table SA34b Consolidated capital expenditure on existing assets by asset class</v>
      </c>
      <c r="F145" s="1563" t="str">
        <f>A145&amp;" Capital expenditure on the renewal of existing assets by asset class"</f>
        <v>Supporting Table SA34b Capital expenditure on the renewal of existing assets by asset class</v>
      </c>
    </row>
    <row r="146" spans="1:6">
      <c r="A146" s="1562" t="s">
        <v>1822</v>
      </c>
      <c r="B146" s="1563" t="str">
        <f t="shared" si="2"/>
        <v>Supporting Table SA34c Repairs and maintenance expenditure by asset class</v>
      </c>
      <c r="C146" s="1437"/>
      <c r="D146" s="1437"/>
      <c r="E146" s="1563" t="str">
        <f>A146&amp;" Consolidated repairs and maintenance by asset class"</f>
        <v>Supporting Table SA34c Consolidated repairs and maintenance by asset class</v>
      </c>
      <c r="F146" s="1563" t="str">
        <f>A146&amp;" Repairs and maintenance expenditure by asset class"</f>
        <v>Supporting Table SA34c Repairs and maintenance expenditure by asset class</v>
      </c>
    </row>
    <row r="147" spans="1:6">
      <c r="A147" s="1562" t="s">
        <v>1100</v>
      </c>
      <c r="B147" s="1563" t="str">
        <f t="shared" si="2"/>
        <v>Supporting Table SA35 Future financial implications of the capital budget</v>
      </c>
      <c r="C147" s="1437"/>
      <c r="D147" s="1437"/>
      <c r="E147" s="1563" t="str">
        <f>A147&amp;" Consolidated future financial implications of the capital budget"</f>
        <v>Supporting Table SA35 Consolidated future financial implications of the capital budget</v>
      </c>
      <c r="F147" s="1563" t="str">
        <f>A147&amp; " Future financial implications of the capital budget"</f>
        <v>Supporting Table SA35 Future financial implications of the capital budget</v>
      </c>
    </row>
    <row r="148" spans="1:6">
      <c r="A148" s="1562" t="s">
        <v>1101</v>
      </c>
      <c r="B148" s="1563" t="str">
        <f t="shared" si="2"/>
        <v>Supporting Table SA36 Detailed capital budget</v>
      </c>
      <c r="C148" s="1437"/>
      <c r="D148" s="1437"/>
      <c r="E148" s="1563" t="str">
        <f>A148&amp;" Consolidated detailed capital budget"</f>
        <v>Supporting Table SA36 Consolidated detailed capital budget</v>
      </c>
      <c r="F148" s="1563" t="str">
        <f>A148&amp; " Detailed capital budget"</f>
        <v>Supporting Table SA36 Detailed capital budget</v>
      </c>
    </row>
    <row r="149" spans="1:6">
      <c r="A149" s="1562" t="s">
        <v>1102</v>
      </c>
      <c r="B149" s="1577" t="str">
        <f t="shared" si="2"/>
        <v>Supporting Table SA37 Projects delayed from previous financial year/s</v>
      </c>
      <c r="C149" s="1443"/>
      <c r="D149" s="1434"/>
      <c r="E149" s="1563" t="str">
        <f>A149&amp;" Consolidated projects delayed from previous financial year/s"</f>
        <v>Supporting Table SA37 Consolidated projects delayed from previous financial year/s</v>
      </c>
      <c r="F149" s="1563" t="str">
        <f>A149&amp; " Projects delayed from previous financial year/s"</f>
        <v>Supporting Table SA37 Projects delayed from previous financial year/s</v>
      </c>
    </row>
    <row r="150" spans="1:6">
      <c r="A150" s="1582" t="s">
        <v>1158</v>
      </c>
      <c r="B150" s="1583" t="s">
        <v>1487</v>
      </c>
      <c r="C150" s="1584" t="s">
        <v>1189</v>
      </c>
      <c r="D150" s="1440"/>
    </row>
    <row r="151" spans="1:6">
      <c r="A151" s="1585" t="s">
        <v>2003</v>
      </c>
      <c r="B151" s="1586" t="str">
        <f>A151&amp;"Revenue by Municipal Vote"</f>
        <v>Chart A1 Revenue by Municipal Vote</v>
      </c>
      <c r="C151" s="1450"/>
      <c r="D151" s="1452"/>
    </row>
    <row r="152" spans="1:6">
      <c r="A152" s="1585" t="s">
        <v>2004</v>
      </c>
      <c r="B152" s="1587" t="str">
        <f>A152&amp;"Expenditure by Municipal Vote"</f>
        <v>Chart A2 Expenditure by Municipal Vote</v>
      </c>
      <c r="C152" s="1437"/>
      <c r="D152" s="1445"/>
    </row>
    <row r="153" spans="1:6">
      <c r="A153" s="1585" t="s">
        <v>2005</v>
      </c>
      <c r="B153" s="1587" t="str">
        <f>A153&amp;"Revenue by Standard Classification"</f>
        <v>Chart A3 Revenue by Standard Classification</v>
      </c>
      <c r="C153" s="1564" t="s">
        <v>1188</v>
      </c>
      <c r="D153" s="1435"/>
    </row>
    <row r="154" spans="1:6">
      <c r="A154" s="1585" t="s">
        <v>2006</v>
      </c>
      <c r="B154" s="1587" t="str">
        <f>A154&amp;"Expenditure by Standard Classification"</f>
        <v>Chart A4 Expenditure by Standard Classification</v>
      </c>
      <c r="C154" s="1564" t="s">
        <v>1188</v>
      </c>
      <c r="D154" s="1435"/>
    </row>
    <row r="155" spans="1:6">
      <c r="A155" s="1585" t="s">
        <v>2007</v>
      </c>
      <c r="B155" s="1587" t="str">
        <f>A155&amp;"Revenue by Major Source (refer 'Minor' source for 'Other Revenue' allocation"</f>
        <v>Chart A5 Revenue by Major Source (refer 'Minor' source for 'Other Revenue' allocation</v>
      </c>
      <c r="C155" s="1564" t="s">
        <v>1190</v>
      </c>
      <c r="D155" s="1435"/>
    </row>
    <row r="156" spans="1:6">
      <c r="A156" s="1585" t="s">
        <v>2008</v>
      </c>
      <c r="B156" s="1587" t="str">
        <f>A156&amp;"Revenue by Minor Source (Other)"</f>
        <v>Chart A6 Revenue by Minor Source (Other)</v>
      </c>
      <c r="C156" s="1564" t="s">
        <v>1190</v>
      </c>
      <c r="D156" s="1435"/>
    </row>
    <row r="157" spans="1:6">
      <c r="A157" s="1585" t="s">
        <v>2009</v>
      </c>
      <c r="B157" s="1587" t="str">
        <f>A157&amp;"Expenditure by Major Type"</f>
        <v>Chart A7 Expenditure by Major Type</v>
      </c>
      <c r="C157" s="1564" t="s">
        <v>1190</v>
      </c>
      <c r="D157" s="1435"/>
    </row>
    <row r="158" spans="1:6">
      <c r="A158" s="1585" t="s">
        <v>2010</v>
      </c>
      <c r="B158" s="1587" t="str">
        <f>A158&amp;"Expenditure by Minor Type (Other)"</f>
        <v>Chart A8 Expenditure by Minor Type (Other)</v>
      </c>
      <c r="C158" s="1564" t="s">
        <v>1190</v>
      </c>
      <c r="D158" s="1435"/>
    </row>
    <row r="159" spans="1:6">
      <c r="A159" s="1585" t="s">
        <v>2011</v>
      </c>
      <c r="B159" s="1587" t="str">
        <f>A159&amp;"Capital Expenditure by Municipal Vote/Appropriation (Major)"</f>
        <v>Chart A9 Capital Expenditure by Municipal Vote/Appropriation (Major)</v>
      </c>
      <c r="C159" s="1564" t="s">
        <v>1191</v>
      </c>
      <c r="D159" s="1435"/>
    </row>
    <row r="160" spans="1:6">
      <c r="A160" s="1585" t="s">
        <v>2012</v>
      </c>
      <c r="B160" s="1587" t="str">
        <f>A160&amp;"Capital Expenditure by Municipal Vote/Appropriation (Minor)"</f>
        <v>Chart A10 Capital Expenditure by Municipal Vote/Appropriation (Minor)</v>
      </c>
      <c r="C160" s="1564" t="s">
        <v>1191</v>
      </c>
      <c r="D160" s="1435"/>
    </row>
    <row r="161" spans="1:4">
      <c r="A161" s="1585" t="s">
        <v>2013</v>
      </c>
      <c r="B161" s="1587" t="str">
        <f>A160&amp;"Capital Expenditure by Standard Classification"</f>
        <v>Chart A10 Capital Expenditure by Standard Classification</v>
      </c>
      <c r="C161" s="1564" t="s">
        <v>1191</v>
      </c>
      <c r="D161" s="1435"/>
    </row>
    <row r="162" spans="1:4">
      <c r="A162" s="1585" t="s">
        <v>2014</v>
      </c>
      <c r="B162" s="1587" t="str">
        <f>A162&amp;"Capital expenditure performance trend"</f>
        <v>Chart A12 Capital expenditure performance trend</v>
      </c>
      <c r="C162" s="1564" t="s">
        <v>1191</v>
      </c>
      <c r="D162" s="1435"/>
    </row>
    <row r="163" spans="1:4">
      <c r="A163" s="1585" t="s">
        <v>2015</v>
      </c>
      <c r="B163" s="1587" t="str">
        <f>A163&amp;"Capital funding by Source"</f>
        <v>Chart A13 Capital funding by Source</v>
      </c>
      <c r="C163" s="1564" t="s">
        <v>1191</v>
      </c>
      <c r="D163" s="1435"/>
    </row>
    <row r="164" spans="1:4">
      <c r="A164" s="1585" t="s">
        <v>2016</v>
      </c>
      <c r="B164" s="1587" t="str">
        <f>A164&amp;"Cash flow trend"</f>
        <v>Chart A14 Cash flow trend</v>
      </c>
      <c r="C164" s="1564" t="s">
        <v>1192</v>
      </c>
      <c r="D164" s="1435"/>
    </row>
    <row r="165" spans="1:4">
      <c r="A165" s="1585" t="s">
        <v>2017</v>
      </c>
      <c r="B165" s="1587" t="str">
        <f>A165&amp;"IDP Strategic Objective - Revenue"</f>
        <v>Chart A15 IDP Strategic Objective - Revenue</v>
      </c>
      <c r="C165" s="1564" t="s">
        <v>324</v>
      </c>
      <c r="D165" s="1435"/>
    </row>
    <row r="166" spans="1:4">
      <c r="A166" s="1585" t="s">
        <v>2018</v>
      </c>
      <c r="B166" s="1587" t="str">
        <f>A166&amp;"IDP Strategic Objective - Expenditure"</f>
        <v>Chart A16 IDP Strategic Objective - Expenditure</v>
      </c>
      <c r="C166" s="1564" t="s">
        <v>325</v>
      </c>
      <c r="D166" s="1435"/>
    </row>
    <row r="167" spans="1:4">
      <c r="A167" s="1585" t="s">
        <v>2019</v>
      </c>
      <c r="B167" s="1587" t="str">
        <f>A167&amp;"IDP Strategic Objective - Capital Expenditure"</f>
        <v>Chart A17 IDP Strategic Objective - Capital Expenditure</v>
      </c>
      <c r="C167" s="1564" t="s">
        <v>326</v>
      </c>
    </row>
    <row r="168" spans="1:4">
      <c r="A168" s="1585" t="s">
        <v>2020</v>
      </c>
      <c r="B168" s="1587" t="str">
        <f>A168&amp;"Debt (borrowing to Total Revenue)"</f>
        <v>Chart A18 Debt (borrowing to Total Revenue)</v>
      </c>
      <c r="C168" s="1564" t="s">
        <v>327</v>
      </c>
    </row>
    <row r="169" spans="1:4">
      <c r="A169" s="1585" t="s">
        <v>2021</v>
      </c>
      <c r="B169" s="1587" t="str">
        <f>A169&amp;"Debtors' trend analysis"</f>
        <v>Chart A19 Debtors' trend analysis</v>
      </c>
      <c r="C169" s="1564" t="s">
        <v>327</v>
      </c>
    </row>
    <row r="170" spans="1:4">
      <c r="A170" s="1585" t="s">
        <v>2022</v>
      </c>
      <c r="B170" s="1587" t="str">
        <f>A170&amp;"Distribution losses"</f>
        <v>Chart A20 Distribution losses</v>
      </c>
      <c r="C170" s="1564" t="s">
        <v>327</v>
      </c>
    </row>
    <row r="171" spans="1:4">
      <c r="A171" s="1585" t="s">
        <v>2023</v>
      </c>
      <c r="B171" s="1587" t="str">
        <f>A171&amp;"Borrowed funding of capital expenditure"</f>
        <v>Chart A21 Borrowed funding of capital expenditure</v>
      </c>
      <c r="C171" s="1564" t="s">
        <v>327</v>
      </c>
    </row>
    <row r="172" spans="1:4">
      <c r="A172" s="1585" t="s">
        <v>2024</v>
      </c>
      <c r="B172" s="1587" t="str">
        <f>A172&amp;"Expenditure analysis (% of Revenue)"</f>
        <v>Chart A22 Expenditure analysis (% of Revenue)</v>
      </c>
      <c r="C172" s="1564" t="s">
        <v>327</v>
      </c>
    </row>
    <row r="173" spans="1:4">
      <c r="A173" s="1578" t="s">
        <v>2025</v>
      </c>
      <c r="B173" s="1588" t="str">
        <f>A173&amp;"Increases in service charges"</f>
        <v>Chart A23 Increases in service charges</v>
      </c>
      <c r="C173" s="1589" t="s">
        <v>671</v>
      </c>
    </row>
    <row r="174" spans="1:4">
      <c r="A174" s="1432"/>
    </row>
    <row r="175" spans="1:4">
      <c r="A175" s="1432"/>
    </row>
    <row r="176" spans="1:4">
      <c r="A176" s="1432"/>
    </row>
    <row r="177" spans="4:5">
      <c r="D177" s="1445"/>
      <c r="E177" s="1435"/>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workbookViewId="0">
      <pane xSplit="2" ySplit="4" topLeftCell="C17" activePane="bottomRight" state="frozen"/>
      <selection activeCell="O37" sqref="A1:IV65536"/>
      <selection pane="topRight" activeCell="O37" sqref="A1:IV65536"/>
      <selection pane="bottomLeft" activeCell="O37" sqref="A1:IV65536"/>
      <selection pane="bottomRight" activeCell="K8" sqref="K8"/>
    </sheetView>
  </sheetViews>
  <sheetFormatPr defaultRowHeight="12.75"/>
  <cols>
    <col min="1" max="1" width="30.7109375" style="150" customWidth="1"/>
    <col min="2" max="2" width="3" style="248" customWidth="1"/>
    <col min="3" max="9" width="9.28515625" style="150" customWidth="1"/>
    <col min="10" max="10" width="10.7109375" style="150" customWidth="1"/>
    <col min="11"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 r="A1" s="148" t="str">
        <f>muni&amp;" - "&amp;TableA11</f>
        <v>KZN225 Msunduzi - Supporting Table SA11 Property rates summary</v>
      </c>
      <c r="B1" s="148"/>
      <c r="C1" s="148"/>
      <c r="D1" s="148"/>
      <c r="E1" s="148"/>
      <c r="F1" s="148"/>
      <c r="G1" s="148"/>
      <c r="H1" s="148"/>
      <c r="I1" s="148"/>
      <c r="J1" s="148"/>
      <c r="K1" s="148"/>
    </row>
    <row r="2" spans="1:11" ht="28.5" customHeight="1">
      <c r="A2" s="2459" t="str">
        <f>desc</f>
        <v>Description</v>
      </c>
      <c r="B2" s="2441" t="str">
        <f>head27</f>
        <v>Ref</v>
      </c>
      <c r="C2" s="146"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1" ht="25.5">
      <c r="A3" s="2460"/>
      <c r="B3" s="2442"/>
      <c r="C3" s="155" t="str">
        <f>Head5</f>
        <v>Audited Outcome</v>
      </c>
      <c r="D3" s="153" t="str">
        <f>Head5</f>
        <v>Audited Outcome</v>
      </c>
      <c r="E3" s="154" t="str">
        <f>Head5</f>
        <v>Audited Outcome</v>
      </c>
      <c r="F3" s="152" t="str">
        <f>Head6</f>
        <v>Original Budget</v>
      </c>
      <c r="G3" s="153" t="str">
        <f>Head7</f>
        <v>Adjusted Budget</v>
      </c>
      <c r="H3" s="154" t="str">
        <f>Head8</f>
        <v>Full Year Forecast</v>
      </c>
      <c r="I3" s="152" t="str">
        <f>Head9</f>
        <v>Budget Year 2011/12</v>
      </c>
      <c r="J3" s="153" t="str">
        <f>Head10</f>
        <v>Budget Year +1 2012/13</v>
      </c>
      <c r="K3" s="154" t="str">
        <f>Head11</f>
        <v>Budget Year +2 2013/14</v>
      </c>
    </row>
    <row r="4" spans="1:11" ht="4.5" customHeight="1">
      <c r="A4" s="181"/>
      <c r="B4" s="2447"/>
      <c r="C4" s="158"/>
      <c r="D4" s="138"/>
      <c r="E4" s="157"/>
      <c r="F4" s="156"/>
      <c r="G4" s="138"/>
      <c r="H4" s="157"/>
      <c r="I4" s="156"/>
      <c r="J4" s="138"/>
      <c r="K4" s="157"/>
    </row>
    <row r="5" spans="1:11" ht="11.25" customHeight="1">
      <c r="A5" s="182" t="s">
        <v>801</v>
      </c>
      <c r="B5" s="606">
        <v>1</v>
      </c>
      <c r="C5" s="607"/>
      <c r="D5" s="607"/>
      <c r="E5" s="223"/>
      <c r="F5" s="608"/>
      <c r="G5" s="2136"/>
      <c r="H5" s="2137"/>
      <c r="I5" s="2138"/>
      <c r="J5" s="2136"/>
      <c r="K5" s="2139"/>
    </row>
    <row r="6" spans="1:11" ht="11.25" customHeight="1">
      <c r="A6" s="191" t="s">
        <v>800</v>
      </c>
      <c r="B6" s="570"/>
      <c r="C6" s="1924"/>
      <c r="D6" s="1925">
        <v>39630</v>
      </c>
      <c r="E6" s="1925">
        <v>39630</v>
      </c>
      <c r="F6" s="1925">
        <v>39630</v>
      </c>
      <c r="G6" s="1925">
        <v>39630</v>
      </c>
      <c r="H6" s="1925">
        <v>39630</v>
      </c>
      <c r="I6" s="1925">
        <v>39630</v>
      </c>
      <c r="J6" s="2140">
        <v>40725</v>
      </c>
      <c r="K6" s="2140">
        <v>40726</v>
      </c>
    </row>
    <row r="7" spans="1:11" ht="11.25" customHeight="1">
      <c r="A7" s="191" t="s">
        <v>697</v>
      </c>
      <c r="B7" s="570"/>
      <c r="C7" s="2294"/>
      <c r="D7" s="2295" t="s">
        <v>2244</v>
      </c>
      <c r="E7" s="1927" t="s">
        <v>2242</v>
      </c>
      <c r="F7" s="1927" t="s">
        <v>2252</v>
      </c>
      <c r="G7" s="1927" t="s">
        <v>2252</v>
      </c>
      <c r="H7" s="1927" t="s">
        <v>2252</v>
      </c>
      <c r="I7" s="1927" t="s">
        <v>2303</v>
      </c>
      <c r="J7" s="2141" t="s">
        <v>2304</v>
      </c>
      <c r="K7" s="2142" t="s">
        <v>2305</v>
      </c>
    </row>
    <row r="8" spans="1:11" ht="11.25" customHeight="1">
      <c r="A8" s="191" t="s">
        <v>432</v>
      </c>
      <c r="B8" s="610" t="s">
        <v>827</v>
      </c>
      <c r="C8" s="2296"/>
      <c r="D8" s="2297" t="s">
        <v>449</v>
      </c>
      <c r="E8" s="1923"/>
      <c r="F8" s="1923"/>
      <c r="G8" s="1923"/>
      <c r="H8" s="1923"/>
      <c r="I8" s="1920"/>
      <c r="J8" s="2141"/>
      <c r="K8" s="2142"/>
    </row>
    <row r="9" spans="1:11" ht="11.25" customHeight="1">
      <c r="A9" s="191" t="s">
        <v>1375</v>
      </c>
      <c r="B9" s="570"/>
      <c r="C9" s="2296"/>
      <c r="D9" s="2297" t="s">
        <v>449</v>
      </c>
      <c r="E9" s="1923" t="s">
        <v>449</v>
      </c>
      <c r="F9" s="1923" t="s">
        <v>449</v>
      </c>
      <c r="G9" s="1923" t="s">
        <v>449</v>
      </c>
      <c r="H9" s="1923" t="s">
        <v>449</v>
      </c>
      <c r="I9" s="1923" t="s">
        <v>449</v>
      </c>
      <c r="J9" s="1923" t="s">
        <v>449</v>
      </c>
      <c r="K9" s="1923" t="s">
        <v>449</v>
      </c>
    </row>
    <row r="10" spans="1:11" ht="11.25" customHeight="1">
      <c r="A10" s="191" t="s">
        <v>802</v>
      </c>
      <c r="B10" s="570"/>
      <c r="C10" s="2296"/>
      <c r="D10" s="2297"/>
      <c r="E10" s="1923"/>
      <c r="F10" s="1923"/>
      <c r="G10" s="1923"/>
      <c r="H10" s="1923"/>
      <c r="I10" s="1923"/>
      <c r="J10" s="1923"/>
      <c r="K10" s="1923"/>
    </row>
    <row r="11" spans="1:11" ht="11.25" customHeight="1">
      <c r="A11" s="191" t="s">
        <v>1376</v>
      </c>
      <c r="B11" s="610">
        <v>3</v>
      </c>
      <c r="C11" s="2298"/>
      <c r="D11" s="2299">
        <v>35</v>
      </c>
      <c r="E11" s="1928">
        <v>0</v>
      </c>
      <c r="F11" s="1928">
        <v>0</v>
      </c>
      <c r="G11" s="1928">
        <v>0</v>
      </c>
      <c r="H11" s="1928">
        <v>0</v>
      </c>
      <c r="I11" s="1928">
        <v>0</v>
      </c>
      <c r="J11" s="1928">
        <v>0</v>
      </c>
      <c r="K11" s="1928">
        <v>0</v>
      </c>
    </row>
    <row r="12" spans="1:11" ht="11.25" customHeight="1">
      <c r="A12" s="326" t="s">
        <v>1377</v>
      </c>
      <c r="B12" s="578">
        <v>3</v>
      </c>
      <c r="C12" s="2300"/>
      <c r="D12" s="2299">
        <v>154</v>
      </c>
      <c r="E12" s="1929">
        <v>0</v>
      </c>
      <c r="F12" s="1929">
        <v>0</v>
      </c>
      <c r="G12" s="1929">
        <v>0</v>
      </c>
      <c r="H12" s="1929">
        <v>0</v>
      </c>
      <c r="I12" s="1929">
        <v>0</v>
      </c>
      <c r="J12" s="1929">
        <v>0</v>
      </c>
      <c r="K12" s="1929">
        <v>0</v>
      </c>
    </row>
    <row r="13" spans="1:11" ht="11.25" customHeight="1">
      <c r="A13" s="326" t="s">
        <v>1378</v>
      </c>
      <c r="B13" s="578">
        <v>3</v>
      </c>
      <c r="C13" s="2300"/>
      <c r="D13" s="2299">
        <v>1</v>
      </c>
      <c r="E13" s="1929">
        <v>4</v>
      </c>
      <c r="F13" s="1929">
        <v>4</v>
      </c>
      <c r="G13" s="1929">
        <v>4</v>
      </c>
      <c r="H13" s="1929">
        <v>4</v>
      </c>
      <c r="I13" s="1929">
        <v>4</v>
      </c>
      <c r="J13" s="1929">
        <v>4</v>
      </c>
      <c r="K13" s="1929">
        <v>4</v>
      </c>
    </row>
    <row r="14" spans="1:11" ht="11.25" customHeight="1">
      <c r="A14" s="326" t="s">
        <v>1379</v>
      </c>
      <c r="B14" s="578">
        <v>3</v>
      </c>
      <c r="C14" s="2300"/>
      <c r="D14" s="2299">
        <v>34</v>
      </c>
      <c r="E14" s="1929">
        <v>0</v>
      </c>
      <c r="F14" s="1929">
        <v>0</v>
      </c>
      <c r="G14" s="1929">
        <v>0</v>
      </c>
      <c r="H14" s="1929">
        <v>0</v>
      </c>
      <c r="I14" s="1929">
        <v>0</v>
      </c>
      <c r="J14" s="1929">
        <v>0</v>
      </c>
      <c r="K14" s="1929">
        <v>0</v>
      </c>
    </row>
    <row r="15" spans="1:11" ht="11.25" customHeight="1">
      <c r="A15" s="326" t="s">
        <v>1730</v>
      </c>
      <c r="B15" s="611">
        <v>4</v>
      </c>
      <c r="C15" s="2300"/>
      <c r="D15" s="2299">
        <v>0</v>
      </c>
      <c r="E15" s="1929">
        <v>0</v>
      </c>
      <c r="F15" s="1929">
        <v>0</v>
      </c>
      <c r="G15" s="1929">
        <v>0</v>
      </c>
      <c r="H15" s="1929">
        <v>0</v>
      </c>
      <c r="I15" s="1929">
        <v>0</v>
      </c>
      <c r="J15" s="1929">
        <v>0</v>
      </c>
      <c r="K15" s="1929">
        <v>0</v>
      </c>
    </row>
    <row r="16" spans="1:11" ht="11.25" customHeight="1">
      <c r="A16" s="191" t="s">
        <v>698</v>
      </c>
      <c r="B16" s="570"/>
      <c r="C16" s="2296"/>
      <c r="D16" s="2297" t="s">
        <v>889</v>
      </c>
      <c r="E16" s="1923" t="s">
        <v>449</v>
      </c>
      <c r="F16" s="1923" t="s">
        <v>449</v>
      </c>
      <c r="G16" s="1923" t="s">
        <v>449</v>
      </c>
      <c r="H16" s="1923" t="s">
        <v>449</v>
      </c>
      <c r="I16" s="1923" t="s">
        <v>449</v>
      </c>
      <c r="J16" s="1923" t="s">
        <v>449</v>
      </c>
      <c r="K16" s="1923" t="s">
        <v>449</v>
      </c>
    </row>
    <row r="17" spans="1:11" ht="11.25" customHeight="1">
      <c r="A17" s="191" t="s">
        <v>430</v>
      </c>
      <c r="B17" s="570"/>
      <c r="C17" s="2300"/>
      <c r="D17" s="2299">
        <v>12</v>
      </c>
      <c r="E17" s="1929"/>
      <c r="F17" s="1929"/>
      <c r="G17" s="1929"/>
      <c r="H17" s="1929"/>
      <c r="I17" s="1929"/>
      <c r="J17" s="1929"/>
      <c r="K17" s="1929"/>
    </row>
    <row r="18" spans="1:11" ht="11.25" customHeight="1">
      <c r="A18" s="191" t="s">
        <v>433</v>
      </c>
      <c r="B18" s="610">
        <v>5</v>
      </c>
      <c r="C18" s="2300"/>
      <c r="D18" s="2299">
        <v>89000</v>
      </c>
      <c r="E18" s="1929"/>
      <c r="F18" s="1929"/>
      <c r="G18" s="1929"/>
      <c r="H18" s="1929"/>
      <c r="I18" s="1929"/>
      <c r="J18" s="1929"/>
      <c r="K18" s="1929"/>
    </row>
    <row r="19" spans="1:11" ht="11.25" customHeight="1">
      <c r="A19" s="191" t="s">
        <v>434</v>
      </c>
      <c r="B19" s="610">
        <v>5</v>
      </c>
      <c r="C19" s="2300"/>
      <c r="D19" s="2299">
        <v>2000</v>
      </c>
      <c r="E19" s="1929"/>
      <c r="F19" s="1929"/>
      <c r="G19" s="1929"/>
      <c r="H19" s="1929"/>
      <c r="I19" s="1929"/>
      <c r="J19" s="1929"/>
      <c r="K19" s="1929"/>
    </row>
    <row r="20" spans="1:11" ht="11.25" customHeight="1">
      <c r="A20" s="191" t="s">
        <v>435</v>
      </c>
      <c r="B20" s="610"/>
      <c r="C20" s="2300"/>
      <c r="D20" s="2299" t="s">
        <v>2245</v>
      </c>
      <c r="E20" s="1929">
        <v>0</v>
      </c>
      <c r="F20" s="1929">
        <v>0</v>
      </c>
      <c r="G20" s="1929">
        <v>0</v>
      </c>
      <c r="H20" s="1929">
        <v>0</v>
      </c>
      <c r="I20" s="1929">
        <v>0</v>
      </c>
      <c r="J20" s="1929">
        <v>0</v>
      </c>
      <c r="K20" s="1929">
        <v>0</v>
      </c>
    </row>
    <row r="21" spans="1:11" ht="11.25" customHeight="1">
      <c r="A21" s="191" t="s">
        <v>792</v>
      </c>
      <c r="B21" s="570"/>
      <c r="C21" s="2300"/>
      <c r="D21" s="2299">
        <v>1</v>
      </c>
      <c r="E21" s="1929" t="s">
        <v>2243</v>
      </c>
      <c r="F21" s="1929" t="s">
        <v>2243</v>
      </c>
      <c r="G21" s="1929" t="s">
        <v>2243</v>
      </c>
      <c r="H21" s="1929" t="s">
        <v>2243</v>
      </c>
      <c r="I21" s="1929" t="s">
        <v>2243</v>
      </c>
      <c r="J21" s="1929" t="s">
        <v>2243</v>
      </c>
      <c r="K21" s="1929" t="s">
        <v>2243</v>
      </c>
    </row>
    <row r="22" spans="1:11" ht="11.25" customHeight="1">
      <c r="A22" s="191" t="s">
        <v>793</v>
      </c>
      <c r="B22" s="570"/>
      <c r="C22" s="2300"/>
      <c r="D22" s="2299">
        <v>14177</v>
      </c>
      <c r="E22" s="1929">
        <v>843</v>
      </c>
      <c r="F22" s="1929">
        <v>843</v>
      </c>
      <c r="G22" s="1929">
        <v>843</v>
      </c>
      <c r="H22" s="1929">
        <v>843</v>
      </c>
      <c r="I22" s="1929">
        <v>843</v>
      </c>
      <c r="J22" s="1929">
        <v>843</v>
      </c>
      <c r="K22" s="1929">
        <v>843</v>
      </c>
    </row>
    <row r="23" spans="1:11" ht="11.25" customHeight="1">
      <c r="A23" s="191" t="s">
        <v>388</v>
      </c>
      <c r="B23" s="570"/>
      <c r="C23" s="2300"/>
      <c r="D23" s="2299">
        <v>8832</v>
      </c>
      <c r="E23" s="1929">
        <v>10</v>
      </c>
      <c r="F23" s="1929">
        <v>10</v>
      </c>
      <c r="G23" s="1929">
        <v>10</v>
      </c>
      <c r="H23" s="1929">
        <v>10</v>
      </c>
      <c r="I23" s="1929">
        <v>10</v>
      </c>
      <c r="J23" s="1929">
        <v>10</v>
      </c>
      <c r="K23" s="1929">
        <v>10</v>
      </c>
    </row>
    <row r="24" spans="1:11" ht="11.25" customHeight="1">
      <c r="A24" s="191" t="s">
        <v>389</v>
      </c>
      <c r="B24" s="570"/>
      <c r="C24" s="2300"/>
      <c r="D24" s="2299"/>
      <c r="E24" s="1929">
        <v>248</v>
      </c>
      <c r="F24" s="1929">
        <v>248</v>
      </c>
      <c r="G24" s="1929">
        <v>248</v>
      </c>
      <c r="H24" s="1929">
        <v>248</v>
      </c>
      <c r="I24" s="1929">
        <v>248</v>
      </c>
      <c r="J24" s="1929">
        <v>248</v>
      </c>
      <c r="K24" s="1929">
        <v>248</v>
      </c>
    </row>
    <row r="25" spans="1:11" ht="11.25" customHeight="1">
      <c r="A25" s="191" t="s">
        <v>803</v>
      </c>
      <c r="B25" s="570">
        <v>8</v>
      </c>
      <c r="C25" s="2300"/>
      <c r="D25" s="2299"/>
      <c r="E25" s="1929"/>
      <c r="F25" s="1929"/>
      <c r="G25" s="1929"/>
      <c r="H25" s="1929"/>
      <c r="I25" s="1929"/>
      <c r="J25" s="1929"/>
      <c r="K25" s="1929"/>
    </row>
    <row r="26" spans="1:11" ht="11.25" customHeight="1">
      <c r="A26" s="191" t="s">
        <v>791</v>
      </c>
      <c r="B26" s="570">
        <v>8</v>
      </c>
      <c r="C26" s="2300"/>
      <c r="D26" s="2299"/>
      <c r="E26" s="1929"/>
      <c r="F26" s="1929"/>
      <c r="G26" s="1929"/>
      <c r="H26" s="1929"/>
      <c r="I26" s="1929"/>
      <c r="J26" s="1929"/>
      <c r="K26" s="1929"/>
    </row>
    <row r="27" spans="1:11" ht="11.25" customHeight="1">
      <c r="A27" s="191" t="s">
        <v>1683</v>
      </c>
      <c r="B27" s="570"/>
      <c r="C27" s="2300"/>
      <c r="D27" s="2299" t="s">
        <v>2246</v>
      </c>
      <c r="E27" s="1929"/>
      <c r="F27" s="1929"/>
      <c r="G27" s="1929"/>
      <c r="H27" s="1929"/>
      <c r="I27" s="1929"/>
      <c r="J27" s="1929"/>
      <c r="K27" s="1929"/>
    </row>
    <row r="28" spans="1:11" ht="11.25" customHeight="1">
      <c r="A28" s="191" t="s">
        <v>553</v>
      </c>
      <c r="B28" s="610">
        <v>5</v>
      </c>
      <c r="C28" s="2301"/>
      <c r="D28" s="2302">
        <v>297327000</v>
      </c>
      <c r="E28" s="2302">
        <v>297327000</v>
      </c>
      <c r="F28" s="2302">
        <v>297327000</v>
      </c>
      <c r="G28" s="2302">
        <v>297327000</v>
      </c>
      <c r="H28" s="2302">
        <v>297327000</v>
      </c>
      <c r="I28" s="2302">
        <v>297327000</v>
      </c>
      <c r="J28" s="2302">
        <v>297327000</v>
      </c>
      <c r="K28" s="2302">
        <v>297327000</v>
      </c>
    </row>
    <row r="29" spans="1:11" ht="11.25" customHeight="1">
      <c r="A29" s="191" t="s">
        <v>1535</v>
      </c>
      <c r="B29" s="610"/>
      <c r="C29" s="2301"/>
      <c r="D29" s="2302">
        <v>2197991213</v>
      </c>
      <c r="E29" s="2302">
        <v>2197991213</v>
      </c>
      <c r="F29" s="2302">
        <v>2197991213</v>
      </c>
      <c r="G29" s="2302">
        <v>2197991213</v>
      </c>
      <c r="H29" s="2302">
        <v>2197991213</v>
      </c>
      <c r="I29" s="2302">
        <v>2197991213</v>
      </c>
      <c r="J29" s="2302">
        <v>2197991213</v>
      </c>
      <c r="K29" s="2302">
        <v>2197991213</v>
      </c>
    </row>
    <row r="30" spans="1:11" ht="11.25" customHeight="1">
      <c r="A30" s="182" t="s">
        <v>1684</v>
      </c>
      <c r="B30" s="610"/>
      <c r="C30" s="612"/>
      <c r="D30" s="612"/>
      <c r="E30" s="613"/>
      <c r="F30" s="614"/>
      <c r="G30" s="612"/>
      <c r="H30" s="615"/>
      <c r="I30" s="616"/>
      <c r="J30" s="521"/>
      <c r="K30" s="209"/>
    </row>
    <row r="31" spans="1:11" ht="11.25" customHeight="1">
      <c r="A31" s="191" t="s">
        <v>554</v>
      </c>
      <c r="B31" s="610"/>
      <c r="C31" s="1930"/>
      <c r="D31" s="1930"/>
      <c r="E31" s="1931"/>
      <c r="F31" s="1932"/>
      <c r="G31" s="1930"/>
      <c r="H31" s="1933"/>
      <c r="I31" s="1934"/>
      <c r="J31" s="1935"/>
      <c r="K31" s="1936"/>
    </row>
    <row r="32" spans="1:11" ht="11.25" customHeight="1">
      <c r="A32" s="191" t="s">
        <v>555</v>
      </c>
      <c r="B32" s="610"/>
      <c r="C32" s="1930"/>
      <c r="D32" s="1930"/>
      <c r="E32" s="1931"/>
      <c r="F32" s="1932"/>
      <c r="G32" s="1930"/>
      <c r="H32" s="1933"/>
      <c r="I32" s="1934"/>
      <c r="J32" s="1935"/>
      <c r="K32" s="1936"/>
    </row>
    <row r="33" spans="1:11" ht="11.25" customHeight="1">
      <c r="A33" s="191" t="s">
        <v>556</v>
      </c>
      <c r="B33" s="610"/>
      <c r="C33" s="1930"/>
      <c r="D33" s="1930"/>
      <c r="E33" s="1931"/>
      <c r="F33" s="1932"/>
      <c r="G33" s="1930"/>
      <c r="H33" s="1933"/>
      <c r="I33" s="1934"/>
      <c r="J33" s="1935"/>
      <c r="K33" s="1936"/>
    </row>
    <row r="34" spans="1:11" ht="11.25" customHeight="1">
      <c r="A34" s="191" t="s">
        <v>557</v>
      </c>
      <c r="B34" s="610"/>
      <c r="C34" s="1930"/>
      <c r="D34" s="1930"/>
      <c r="E34" s="1931"/>
      <c r="F34" s="1932"/>
      <c r="G34" s="1930"/>
      <c r="H34" s="1933"/>
      <c r="I34" s="1934"/>
      <c r="J34" s="1935"/>
      <c r="K34" s="1936"/>
    </row>
    <row r="35" spans="1:11" ht="11.25" customHeight="1">
      <c r="A35" s="191" t="s">
        <v>558</v>
      </c>
      <c r="B35" s="610"/>
      <c r="C35" s="1930"/>
      <c r="D35" s="1930"/>
      <c r="E35" s="1931"/>
      <c r="F35" s="1932"/>
      <c r="G35" s="1930"/>
      <c r="H35" s="1933"/>
      <c r="I35" s="1934"/>
      <c r="J35" s="1935"/>
      <c r="K35" s="1936"/>
    </row>
    <row r="36" spans="1:11" ht="11.25" customHeight="1">
      <c r="A36" s="191" t="s">
        <v>559</v>
      </c>
      <c r="B36" s="610"/>
      <c r="C36" s="1930"/>
      <c r="D36" s="1930"/>
      <c r="E36" s="1931"/>
      <c r="F36" s="1932"/>
      <c r="G36" s="1930"/>
      <c r="H36" s="1933"/>
      <c r="I36" s="1934"/>
      <c r="J36" s="1935"/>
      <c r="K36" s="1936"/>
    </row>
    <row r="37" spans="1:11" ht="11.25" customHeight="1">
      <c r="A37" s="327" t="s">
        <v>1685</v>
      </c>
      <c r="B37" s="610"/>
      <c r="C37" s="617">
        <f>SUM(C31:C36)</f>
        <v>0</v>
      </c>
      <c r="D37" s="617">
        <f t="shared" ref="D37:K37" si="0">SUM(D31:D36)</f>
        <v>0</v>
      </c>
      <c r="E37" s="618">
        <f t="shared" si="0"/>
        <v>0</v>
      </c>
      <c r="F37" s="619">
        <f t="shared" si="0"/>
        <v>0</v>
      </c>
      <c r="G37" s="617">
        <f t="shared" si="0"/>
        <v>0</v>
      </c>
      <c r="H37" s="620">
        <f t="shared" si="0"/>
        <v>0</v>
      </c>
      <c r="I37" s="621">
        <f t="shared" si="0"/>
        <v>0</v>
      </c>
      <c r="J37" s="622">
        <f t="shared" si="0"/>
        <v>0</v>
      </c>
      <c r="K37" s="623">
        <f t="shared" si="0"/>
        <v>0</v>
      </c>
    </row>
    <row r="38" spans="1:11" ht="15.75" customHeight="1">
      <c r="A38" s="191" t="s">
        <v>1588</v>
      </c>
      <c r="B38" s="610">
        <v>5</v>
      </c>
      <c r="C38" s="1935"/>
      <c r="D38" s="1935"/>
      <c r="E38" s="1936"/>
      <c r="F38" s="1937"/>
      <c r="G38" s="1935"/>
      <c r="H38" s="1938"/>
      <c r="I38" s="1939"/>
      <c r="J38" s="1935"/>
      <c r="K38" s="1936"/>
    </row>
    <row r="39" spans="1:11" ht="11.25" customHeight="1">
      <c r="A39" s="191" t="s">
        <v>1589</v>
      </c>
      <c r="B39" s="610">
        <v>5</v>
      </c>
      <c r="C39" s="1935"/>
      <c r="D39" s="1935"/>
      <c r="E39" s="1936"/>
      <c r="F39" s="1937"/>
      <c r="G39" s="1935"/>
      <c r="H39" s="1938"/>
      <c r="I39" s="1939"/>
      <c r="J39" s="1940"/>
      <c r="K39" s="1941"/>
    </row>
    <row r="40" spans="1:11" ht="11.25" customHeight="1">
      <c r="A40" s="326" t="s">
        <v>1590</v>
      </c>
      <c r="B40" s="610">
        <v>5</v>
      </c>
      <c r="C40" s="1935"/>
      <c r="D40" s="1935"/>
      <c r="E40" s="1936"/>
      <c r="F40" s="1937"/>
      <c r="G40" s="1935"/>
      <c r="H40" s="1938"/>
      <c r="I40" s="1939"/>
      <c r="J40" s="1935"/>
      <c r="K40" s="1936"/>
    </row>
    <row r="41" spans="1:11" ht="11.25" customHeight="1">
      <c r="A41" s="326" t="s">
        <v>1591</v>
      </c>
      <c r="B41" s="610">
        <v>5</v>
      </c>
      <c r="C41" s="1935"/>
      <c r="D41" s="1930"/>
      <c r="E41" s="1931"/>
      <c r="F41" s="1932"/>
      <c r="G41" s="1930"/>
      <c r="H41" s="1933"/>
      <c r="I41" s="1934"/>
      <c r="J41" s="1935"/>
      <c r="K41" s="1936"/>
    </row>
    <row r="42" spans="1:11" ht="5.0999999999999996" customHeight="1">
      <c r="A42" s="408"/>
      <c r="B42" s="610"/>
      <c r="C42" s="1767"/>
      <c r="D42" s="1942"/>
      <c r="E42" s="1943"/>
      <c r="F42" s="1944"/>
      <c r="G42" s="1942"/>
      <c r="H42" s="1945"/>
      <c r="I42" s="1946"/>
      <c r="J42" s="1767"/>
      <c r="K42" s="1768"/>
    </row>
    <row r="43" spans="1:11" ht="11.25" customHeight="1">
      <c r="A43" s="627" t="s">
        <v>1686</v>
      </c>
      <c r="B43" s="628"/>
      <c r="C43" s="629"/>
      <c r="D43" s="629"/>
      <c r="E43" s="630"/>
      <c r="F43" s="631"/>
      <c r="G43" s="629"/>
      <c r="H43" s="632"/>
      <c r="I43" s="633"/>
      <c r="J43" s="629"/>
      <c r="K43" s="630"/>
    </row>
    <row r="44" spans="1:11" ht="26.25" customHeight="1">
      <c r="A44" s="481" t="s">
        <v>1587</v>
      </c>
      <c r="B44" s="570"/>
      <c r="C44" s="2303" t="s">
        <v>889</v>
      </c>
      <c r="D44" s="2304" t="s">
        <v>889</v>
      </c>
      <c r="E44" s="2304" t="s">
        <v>889</v>
      </c>
      <c r="F44" s="2304" t="s">
        <v>889</v>
      </c>
      <c r="G44" s="2304" t="s">
        <v>889</v>
      </c>
      <c r="H44" s="2304" t="s">
        <v>889</v>
      </c>
      <c r="I44" s="2304" t="s">
        <v>889</v>
      </c>
      <c r="J44" s="2304" t="s">
        <v>889</v>
      </c>
      <c r="K44" s="2304" t="s">
        <v>889</v>
      </c>
    </row>
    <row r="45" spans="1:11" ht="11.25" customHeight="1">
      <c r="A45" s="191" t="s">
        <v>797</v>
      </c>
      <c r="B45" s="570">
        <v>5</v>
      </c>
      <c r="C45" s="2296" t="s">
        <v>449</v>
      </c>
      <c r="D45" s="2297" t="s">
        <v>449</v>
      </c>
      <c r="E45" s="2297" t="s">
        <v>449</v>
      </c>
      <c r="F45" s="2297" t="s">
        <v>449</v>
      </c>
      <c r="G45" s="2297" t="s">
        <v>449</v>
      </c>
      <c r="H45" s="2297" t="s">
        <v>449</v>
      </c>
      <c r="I45" s="2297" t="s">
        <v>449</v>
      </c>
      <c r="J45" s="2297" t="s">
        <v>449</v>
      </c>
      <c r="K45" s="2297" t="s">
        <v>449</v>
      </c>
    </row>
    <row r="46" spans="1:11" ht="11.25" customHeight="1">
      <c r="A46" s="191" t="s">
        <v>798</v>
      </c>
      <c r="B46" s="570"/>
      <c r="C46" s="2296" t="s">
        <v>889</v>
      </c>
      <c r="D46" s="2297" t="s">
        <v>889</v>
      </c>
      <c r="E46" s="2297" t="s">
        <v>889</v>
      </c>
      <c r="F46" s="2297" t="s">
        <v>889</v>
      </c>
      <c r="G46" s="2297" t="s">
        <v>889</v>
      </c>
      <c r="H46" s="2297" t="s">
        <v>889</v>
      </c>
      <c r="I46" s="2297" t="s">
        <v>889</v>
      </c>
      <c r="J46" s="2297" t="s">
        <v>889</v>
      </c>
      <c r="K46" s="2297" t="s">
        <v>889</v>
      </c>
    </row>
    <row r="47" spans="1:11" ht="11.25" customHeight="1">
      <c r="A47" s="191" t="s">
        <v>799</v>
      </c>
      <c r="B47" s="570"/>
      <c r="C47" s="2296" t="s">
        <v>889</v>
      </c>
      <c r="D47" s="2297" t="s">
        <v>889</v>
      </c>
      <c r="E47" s="2297" t="s">
        <v>889</v>
      </c>
      <c r="F47" s="2297" t="s">
        <v>889</v>
      </c>
      <c r="G47" s="2297" t="s">
        <v>889</v>
      </c>
      <c r="H47" s="2297" t="s">
        <v>889</v>
      </c>
      <c r="I47" s="2297" t="s">
        <v>889</v>
      </c>
      <c r="J47" s="2297" t="s">
        <v>889</v>
      </c>
      <c r="K47" s="2297" t="s">
        <v>889</v>
      </c>
    </row>
    <row r="48" spans="1:11" ht="11.25" customHeight="1">
      <c r="A48" s="191" t="s">
        <v>168</v>
      </c>
      <c r="B48" s="570"/>
      <c r="C48" s="2296" t="s">
        <v>889</v>
      </c>
      <c r="D48" s="2297" t="s">
        <v>889</v>
      </c>
      <c r="E48" s="2297" t="s">
        <v>889</v>
      </c>
      <c r="F48" s="2297" t="s">
        <v>889</v>
      </c>
      <c r="G48" s="2297" t="s">
        <v>889</v>
      </c>
      <c r="H48" s="2297" t="s">
        <v>889</v>
      </c>
      <c r="I48" s="2297" t="s">
        <v>889</v>
      </c>
      <c r="J48" s="2297" t="s">
        <v>889</v>
      </c>
      <c r="K48" s="2297" t="s">
        <v>889</v>
      </c>
    </row>
    <row r="49" spans="1:12" ht="11.25" customHeight="1">
      <c r="A49" s="191" t="s">
        <v>431</v>
      </c>
      <c r="B49" s="570"/>
      <c r="C49" s="2296" t="s">
        <v>889</v>
      </c>
      <c r="D49" s="2297" t="s">
        <v>889</v>
      </c>
      <c r="E49" s="2297" t="s">
        <v>889</v>
      </c>
      <c r="F49" s="2297" t="s">
        <v>889</v>
      </c>
      <c r="G49" s="2297" t="s">
        <v>889</v>
      </c>
      <c r="H49" s="2297" t="s">
        <v>889</v>
      </c>
      <c r="I49" s="2297" t="s">
        <v>889</v>
      </c>
      <c r="J49" s="2297" t="s">
        <v>889</v>
      </c>
      <c r="K49" s="2297" t="s">
        <v>889</v>
      </c>
    </row>
    <row r="50" spans="1:12" ht="11.25" customHeight="1">
      <c r="A50" s="191" t="s">
        <v>439</v>
      </c>
      <c r="B50" s="570"/>
      <c r="C50" s="1081">
        <v>30000</v>
      </c>
      <c r="D50" s="1082">
        <v>60000</v>
      </c>
      <c r="E50" s="1082">
        <v>60000</v>
      </c>
      <c r="F50" s="1082">
        <v>60000</v>
      </c>
      <c r="G50" s="1082">
        <v>60000</v>
      </c>
      <c r="H50" s="1082">
        <v>60000</v>
      </c>
      <c r="I50" s="1082">
        <v>60000</v>
      </c>
      <c r="J50" s="1082">
        <v>60000</v>
      </c>
      <c r="K50" s="1082">
        <v>60000</v>
      </c>
    </row>
    <row r="51" spans="1:12" ht="11.25" customHeight="1">
      <c r="A51" s="191" t="s">
        <v>560</v>
      </c>
      <c r="B51" s="570"/>
      <c r="C51" s="1948" t="s">
        <v>889</v>
      </c>
      <c r="D51" s="1949" t="s">
        <v>889</v>
      </c>
      <c r="E51" s="1949" t="s">
        <v>889</v>
      </c>
      <c r="F51" s="1949" t="s">
        <v>889</v>
      </c>
      <c r="G51" s="1949" t="s">
        <v>889</v>
      </c>
      <c r="H51" s="1949" t="s">
        <v>889</v>
      </c>
      <c r="I51" s="1949" t="s">
        <v>889</v>
      </c>
      <c r="J51" s="1949" t="s">
        <v>889</v>
      </c>
      <c r="K51" s="1949" t="s">
        <v>889</v>
      </c>
    </row>
    <row r="52" spans="1:12" ht="5.0999999999999996" customHeight="1">
      <c r="A52" s="202"/>
      <c r="B52" s="570"/>
      <c r="C52" s="521"/>
      <c r="D52" s="521"/>
      <c r="E52" s="209"/>
      <c r="F52" s="520"/>
      <c r="G52" s="2143"/>
      <c r="H52" s="2144"/>
      <c r="I52" s="1769"/>
      <c r="J52" s="2143"/>
      <c r="K52" s="2145"/>
    </row>
    <row r="53" spans="1:12" ht="11.25" customHeight="1">
      <c r="A53" s="182" t="s">
        <v>701</v>
      </c>
      <c r="B53" s="570"/>
      <c r="C53" s="521"/>
      <c r="D53" s="521"/>
      <c r="E53" s="209"/>
      <c r="F53" s="520"/>
      <c r="G53" s="2143"/>
      <c r="H53" s="2144"/>
      <c r="I53" s="366"/>
      <c r="J53" s="2143"/>
      <c r="K53" s="2145"/>
    </row>
    <row r="54" spans="1:12" ht="11.25" customHeight="1">
      <c r="A54" s="326" t="s">
        <v>1592</v>
      </c>
      <c r="B54" s="610">
        <v>6</v>
      </c>
      <c r="C54" s="1081">
        <v>338346402</v>
      </c>
      <c r="D54" s="1082">
        <v>338346402</v>
      </c>
      <c r="E54" s="1730"/>
      <c r="F54" s="1731">
        <v>1811808000</v>
      </c>
      <c r="G54" s="1708">
        <v>1461660000</v>
      </c>
      <c r="H54" s="1711">
        <v>1461660000</v>
      </c>
      <c r="I54" s="1732">
        <v>1719649000</v>
      </c>
      <c r="J54" s="1708">
        <v>1818092000</v>
      </c>
      <c r="K54" s="1730">
        <v>1922462481</v>
      </c>
      <c r="L54" s="373"/>
    </row>
    <row r="55" spans="1:12" ht="11.25" customHeight="1">
      <c r="A55" s="326" t="s">
        <v>1593</v>
      </c>
      <c r="B55" s="610">
        <v>6</v>
      </c>
      <c r="C55" s="1081">
        <v>307838524</v>
      </c>
      <c r="D55" s="1082">
        <v>307838524</v>
      </c>
      <c r="E55" s="1730"/>
      <c r="F55" s="1731">
        <v>1621568160</v>
      </c>
      <c r="G55" s="1708">
        <v>1308185700</v>
      </c>
      <c r="H55" s="1708">
        <v>1308185700</v>
      </c>
      <c r="I55" s="1732">
        <v>1539085855</v>
      </c>
      <c r="J55" s="2354">
        <v>1627192340</v>
      </c>
      <c r="K55" s="1730">
        <v>1720603490</v>
      </c>
      <c r="L55" s="373"/>
    </row>
    <row r="56" spans="1:12" ht="11.25" customHeight="1">
      <c r="A56" s="191" t="s">
        <v>1726</v>
      </c>
      <c r="B56" s="610"/>
      <c r="C56" s="1951">
        <v>0.90980000000000005</v>
      </c>
      <c r="D56" s="1952">
        <v>0.90980000000000005</v>
      </c>
      <c r="E56" s="1951"/>
      <c r="F56" s="1952"/>
      <c r="G56" s="1950">
        <v>0.89500000000000002</v>
      </c>
      <c r="H56" s="1953">
        <v>0.89500000000000002</v>
      </c>
      <c r="I56" s="1953">
        <v>0.89500000000000002</v>
      </c>
      <c r="J56" s="1953">
        <v>0.89500000000000002</v>
      </c>
      <c r="K56" s="1953">
        <v>0.89500000000000002</v>
      </c>
    </row>
    <row r="57" spans="1:12" ht="11.25" customHeight="1">
      <c r="A57" s="191" t="s">
        <v>1636</v>
      </c>
      <c r="B57" s="610">
        <v>7</v>
      </c>
      <c r="C57" s="1955"/>
      <c r="D57" s="1956"/>
      <c r="E57" s="1955"/>
      <c r="F57" s="1956"/>
      <c r="G57" s="1954"/>
      <c r="H57" s="1957"/>
      <c r="I57" s="1958"/>
      <c r="J57" s="1708"/>
      <c r="K57" s="1730"/>
    </row>
    <row r="58" spans="1:12" ht="15.75" customHeight="1">
      <c r="A58" s="191" t="s">
        <v>440</v>
      </c>
      <c r="B58" s="610"/>
      <c r="C58" s="1960">
        <v>13467502.210000001</v>
      </c>
      <c r="D58" s="1961">
        <v>13840419</v>
      </c>
      <c r="E58" s="1960"/>
      <c r="F58" s="1961"/>
      <c r="G58" s="1959"/>
      <c r="H58" s="1962"/>
      <c r="I58" s="1963"/>
      <c r="J58" s="1713"/>
      <c r="K58" s="1964"/>
    </row>
    <row r="59" spans="1:12" ht="11.25" customHeight="1">
      <c r="A59" s="191" t="s">
        <v>550</v>
      </c>
      <c r="B59" s="610"/>
      <c r="C59" s="1955">
        <v>292061.53000000003</v>
      </c>
      <c r="D59" s="1956">
        <v>258855</v>
      </c>
      <c r="E59" s="1955"/>
      <c r="F59" s="1956"/>
      <c r="G59" s="1954"/>
      <c r="H59" s="1957"/>
      <c r="I59" s="1958"/>
      <c r="J59" s="1708"/>
      <c r="K59" s="1730"/>
    </row>
    <row r="60" spans="1:12" ht="11.25" customHeight="1">
      <c r="A60" s="191" t="s">
        <v>551</v>
      </c>
      <c r="B60" s="610"/>
      <c r="C60" s="1955">
        <v>28810.880000000001</v>
      </c>
      <c r="D60" s="1956">
        <v>22945.26</v>
      </c>
      <c r="E60" s="1955"/>
      <c r="F60" s="1956"/>
      <c r="G60" s="1954"/>
      <c r="H60" s="1957"/>
      <c r="I60" s="1958"/>
      <c r="J60" s="1708"/>
      <c r="K60" s="1730"/>
    </row>
    <row r="61" spans="1:12" ht="11.25" customHeight="1">
      <c r="A61" s="191" t="s">
        <v>552</v>
      </c>
      <c r="B61" s="610"/>
      <c r="C61" s="1955">
        <v>89786085.780000001</v>
      </c>
      <c r="D61" s="1956">
        <v>86835006.739999995</v>
      </c>
      <c r="E61" s="1955"/>
      <c r="F61" s="1956"/>
      <c r="G61" s="1954"/>
      <c r="H61" s="1957"/>
      <c r="I61" s="1958"/>
      <c r="J61" s="1708"/>
      <c r="K61" s="1730"/>
    </row>
    <row r="62" spans="1:12" ht="11.25" customHeight="1">
      <c r="A62" s="191" t="s">
        <v>1635</v>
      </c>
      <c r="B62" s="610"/>
      <c r="C62" s="1966"/>
      <c r="D62" s="1967"/>
      <c r="E62" s="1966"/>
      <c r="F62" s="1967"/>
      <c r="G62" s="1965"/>
      <c r="H62" s="1968"/>
      <c r="I62" s="1969"/>
      <c r="J62" s="1754"/>
      <c r="K62" s="1755"/>
    </row>
    <row r="63" spans="1:12" ht="11.25" customHeight="1">
      <c r="A63" s="327" t="s">
        <v>699</v>
      </c>
      <c r="B63" s="610"/>
      <c r="C63" s="397">
        <f>SUM(C58:C62)</f>
        <v>103574460.40000001</v>
      </c>
      <c r="D63" s="397">
        <f t="shared" ref="D63:K63" si="1">SUM(D58:D62)</f>
        <v>100957226</v>
      </c>
      <c r="E63" s="346">
        <f t="shared" si="1"/>
        <v>0</v>
      </c>
      <c r="F63" s="398">
        <f t="shared" si="1"/>
        <v>0</v>
      </c>
      <c r="G63" s="397">
        <f t="shared" si="1"/>
        <v>0</v>
      </c>
      <c r="H63" s="637">
        <f t="shared" si="1"/>
        <v>0</v>
      </c>
      <c r="I63" s="399">
        <f t="shared" si="1"/>
        <v>0</v>
      </c>
      <c r="J63" s="397">
        <f t="shared" si="1"/>
        <v>0</v>
      </c>
      <c r="K63" s="346">
        <f t="shared" si="1"/>
        <v>0</v>
      </c>
    </row>
    <row r="64" spans="1:12" ht="5.0999999999999996" customHeight="1">
      <c r="A64" s="337"/>
      <c r="B64" s="638"/>
      <c r="C64" s="639"/>
      <c r="D64" s="639"/>
      <c r="E64" s="640"/>
      <c r="F64" s="641"/>
      <c r="G64" s="642"/>
      <c r="H64" s="643"/>
      <c r="I64" s="644"/>
      <c r="J64" s="639"/>
      <c r="K64" s="640"/>
    </row>
    <row r="65" spans="1:11" s="722" customFormat="1">
      <c r="A65" s="1276" t="str">
        <f>head27a</f>
        <v>References</v>
      </c>
      <c r="B65" s="1065"/>
      <c r="C65" s="1069"/>
      <c r="D65" s="1069"/>
      <c r="E65" s="1069"/>
      <c r="F65" s="1069"/>
      <c r="G65" s="1069"/>
      <c r="H65" s="1069"/>
      <c r="I65" s="1069"/>
      <c r="J65" s="1069"/>
      <c r="K65" s="1069"/>
    </row>
    <row r="66" spans="1:11" s="722" customFormat="1">
      <c r="A66" s="1241" t="s">
        <v>1725</v>
      </c>
      <c r="B66" s="1089"/>
      <c r="C66" s="1089"/>
      <c r="D66" s="1089"/>
      <c r="E66" s="1089"/>
      <c r="F66" s="1089"/>
      <c r="G66" s="1089"/>
      <c r="H66" s="1089"/>
      <c r="I66" s="1089"/>
      <c r="J66" s="1089"/>
      <c r="K66" s="1089"/>
    </row>
    <row r="67" spans="1:11" s="722" customFormat="1">
      <c r="A67" s="1238" t="s">
        <v>1727</v>
      </c>
      <c r="B67" s="1089"/>
      <c r="C67" s="1089"/>
      <c r="D67" s="1089"/>
      <c r="E67" s="1089"/>
      <c r="F67" s="1089"/>
      <c r="G67" s="1089"/>
      <c r="H67" s="1089"/>
      <c r="I67" s="1089"/>
      <c r="J67" s="1089"/>
      <c r="K67" s="1089"/>
    </row>
    <row r="68" spans="1:11" s="722" customFormat="1">
      <c r="A68" s="1238" t="s">
        <v>1728</v>
      </c>
      <c r="B68" s="1089"/>
      <c r="C68" s="1089"/>
      <c r="D68" s="1089"/>
      <c r="E68" s="1090"/>
      <c r="F68" s="1090"/>
      <c r="G68" s="1089"/>
      <c r="H68" s="1089"/>
      <c r="I68" s="1089"/>
      <c r="J68" s="1089"/>
      <c r="K68" s="1089"/>
    </row>
    <row r="69" spans="1:11" s="722" customFormat="1">
      <c r="A69" s="1238" t="s">
        <v>1729</v>
      </c>
      <c r="B69" s="1089"/>
      <c r="C69" s="1089"/>
      <c r="D69" s="1089"/>
      <c r="E69" s="1090"/>
      <c r="F69" s="1090"/>
      <c r="G69" s="1089"/>
      <c r="H69" s="1089"/>
      <c r="I69" s="1089"/>
      <c r="J69" s="1089"/>
      <c r="K69" s="1089"/>
    </row>
    <row r="70" spans="1:11" s="722" customFormat="1">
      <c r="A70" s="1241" t="s">
        <v>1752</v>
      </c>
      <c r="B70" s="1089"/>
      <c r="C70" s="1089"/>
      <c r="D70" s="1089"/>
      <c r="E70" s="1090"/>
      <c r="F70" s="1090"/>
      <c r="G70" s="1089"/>
      <c r="H70" s="1089"/>
      <c r="I70" s="1089"/>
      <c r="J70" s="1089"/>
      <c r="K70" s="1089"/>
    </row>
    <row r="71" spans="1:11" s="722" customFormat="1">
      <c r="A71" s="1241" t="str">
        <f>"6. Current and budget year must reconcile to "&amp;'Template names'!F103</f>
        <v>6. Current and budget year must reconcile to Table A4 Budgeted Financial Performance (revenue and expenditure)</v>
      </c>
      <c r="B71" s="1089"/>
      <c r="C71" s="1089"/>
      <c r="D71" s="1089"/>
      <c r="E71" s="1090"/>
      <c r="F71" s="1090"/>
      <c r="G71" s="1089"/>
      <c r="H71" s="1089"/>
      <c r="I71" s="1089"/>
      <c r="J71" s="1089"/>
      <c r="K71" s="1089"/>
    </row>
    <row r="72" spans="1:11" s="722" customFormat="1">
      <c r="A72" s="1241" t="s">
        <v>700</v>
      </c>
      <c r="B72" s="1089"/>
      <c r="C72" s="1089"/>
      <c r="D72" s="1089"/>
      <c r="E72" s="1090"/>
      <c r="F72" s="1090"/>
      <c r="G72" s="1089"/>
      <c r="H72" s="1089"/>
      <c r="I72" s="1089"/>
      <c r="J72" s="1089"/>
      <c r="K72" s="1089"/>
    </row>
    <row r="73" spans="1:11">
      <c r="A73" s="1241" t="s">
        <v>1750</v>
      </c>
      <c r="B73" s="247"/>
      <c r="C73" s="247"/>
      <c r="D73" s="247"/>
      <c r="E73" s="362"/>
      <c r="F73" s="362"/>
      <c r="G73" s="247"/>
      <c r="H73" s="247"/>
      <c r="I73" s="247"/>
      <c r="J73" s="247"/>
      <c r="K73" s="247"/>
    </row>
    <row r="74" spans="1:11">
      <c r="A74" s="247"/>
      <c r="B74" s="247"/>
      <c r="C74" s="247"/>
      <c r="D74" s="247"/>
      <c r="E74" s="362"/>
      <c r="F74" s="362"/>
      <c r="G74" s="247"/>
      <c r="H74" s="247"/>
      <c r="I74" s="247"/>
      <c r="J74" s="247"/>
      <c r="K74" s="247"/>
    </row>
    <row r="75" spans="1:11">
      <c r="A75" s="247"/>
      <c r="B75" s="237"/>
      <c r="C75" s="241"/>
      <c r="D75" s="241"/>
      <c r="E75" s="242"/>
      <c r="F75" s="242"/>
      <c r="G75" s="242"/>
      <c r="H75" s="242"/>
      <c r="I75" s="242"/>
      <c r="J75" s="242"/>
      <c r="K75" s="242"/>
    </row>
    <row r="76" spans="1:11">
      <c r="A76" s="247"/>
      <c r="B76" s="237"/>
      <c r="C76" s="241"/>
      <c r="D76" s="241"/>
      <c r="E76" s="242"/>
      <c r="F76" s="242"/>
      <c r="G76" s="242"/>
      <c r="H76" s="242"/>
      <c r="I76" s="242"/>
      <c r="J76" s="242"/>
      <c r="K76" s="242"/>
    </row>
    <row r="77" spans="1:11">
      <c r="A77" s="247"/>
      <c r="B77" s="237"/>
      <c r="C77" s="241"/>
      <c r="D77" s="241"/>
      <c r="E77" s="242"/>
      <c r="F77" s="242"/>
      <c r="G77" s="242"/>
      <c r="H77" s="242"/>
      <c r="I77" s="242"/>
      <c r="J77" s="242"/>
      <c r="K77" s="242"/>
    </row>
    <row r="78" spans="1:11">
      <c r="A78" s="247"/>
      <c r="B78" s="237"/>
      <c r="C78" s="241"/>
      <c r="D78" s="241"/>
      <c r="E78" s="242"/>
      <c r="F78" s="242"/>
      <c r="G78" s="242"/>
      <c r="H78" s="242"/>
      <c r="I78" s="242"/>
      <c r="J78" s="242"/>
      <c r="K78" s="242"/>
    </row>
    <row r="79" spans="1:11" ht="11.25" customHeight="1">
      <c r="A79" s="247"/>
      <c r="B79" s="237"/>
      <c r="C79" s="247"/>
      <c r="D79" s="247"/>
      <c r="E79" s="247"/>
      <c r="F79" s="247"/>
      <c r="G79" s="247"/>
    </row>
    <row r="80" spans="1:11" ht="11.25" customHeight="1">
      <c r="A80" s="247"/>
      <c r="B80" s="247"/>
      <c r="C80" s="247"/>
      <c r="D80" s="247"/>
      <c r="E80" s="247"/>
      <c r="F80" s="247"/>
      <c r="G80" s="247"/>
    </row>
    <row r="81" spans="1:7" ht="11.25" customHeight="1">
      <c r="A81" s="247"/>
      <c r="B81" s="247"/>
      <c r="C81" s="247"/>
      <c r="D81" s="247"/>
      <c r="E81" s="247"/>
      <c r="F81" s="247"/>
      <c r="G81" s="247"/>
    </row>
    <row r="82" spans="1:7" ht="11.25" customHeight="1">
      <c r="A82" s="247"/>
      <c r="B82" s="247"/>
      <c r="C82" s="247"/>
      <c r="D82" s="247"/>
      <c r="E82" s="247"/>
      <c r="F82" s="247"/>
      <c r="G82" s="247"/>
    </row>
    <row r="83" spans="1:7" ht="11.25" customHeight="1">
      <c r="A83" s="247"/>
      <c r="B83" s="237"/>
      <c r="C83" s="247"/>
      <c r="D83" s="247"/>
      <c r="E83" s="247"/>
      <c r="F83" s="247"/>
      <c r="G83" s="247"/>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49:K49 C44:K47 C8:I9 C16:K16 J9:K9">
      <formula1>List1</formula1>
    </dataValidation>
  </dataValidations>
  <pageMargins left="0.37" right="0.2" top="0.6" bottom="0.5" header="0.5" footer="0.5"/>
  <pageSetup paperSize="9" scale="83"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workbookViewId="0">
      <pane xSplit="2" ySplit="2" topLeftCell="H24" activePane="bottomRight" state="frozen"/>
      <selection activeCell="O37" sqref="A1:IV65536"/>
      <selection pane="topRight" activeCell="O37" sqref="A1:IV65536"/>
      <selection pane="bottomLeft" activeCell="O37" sqref="A1:IV65536"/>
      <selection pane="bottomRight" activeCell="C94" sqref="C94:H103"/>
    </sheetView>
  </sheetViews>
  <sheetFormatPr defaultRowHeight="12.75"/>
  <cols>
    <col min="1" max="1" width="30.7109375" style="150" customWidth="1"/>
    <col min="2" max="2" width="3" style="667" customWidth="1"/>
    <col min="3" max="18" width="8.140625" style="150" customWidth="1"/>
    <col min="19" max="19" width="9.85546875" style="150" customWidth="1"/>
    <col min="20" max="20" width="9.5703125" style="150" customWidth="1"/>
    <col min="21" max="21" width="9.85546875" style="150" customWidth="1"/>
    <col min="22" max="24" width="9.5703125" style="150" customWidth="1"/>
    <col min="25" max="25" width="9.85546875" style="150" customWidth="1"/>
    <col min="26" max="28" width="9.5703125" style="150" customWidth="1"/>
    <col min="29" max="30" width="9.85546875" style="150" customWidth="1"/>
    <col min="31" max="16384" width="9.140625" style="150"/>
  </cols>
  <sheetData>
    <row r="1" spans="1:18" ht="13.5">
      <c r="A1" s="148" t="str">
        <f>muni&amp;" - "&amp;TableA13</f>
        <v>KZN225 Msunduzi - Supporting Table SA13 Property rates by category (budget year)</v>
      </c>
      <c r="B1" s="646"/>
      <c r="C1" s="148"/>
      <c r="D1" s="148"/>
      <c r="E1" s="148"/>
      <c r="F1" s="148"/>
      <c r="G1" s="148"/>
      <c r="H1" s="148"/>
      <c r="I1" s="148"/>
      <c r="J1" s="148"/>
      <c r="K1" s="148"/>
      <c r="L1" s="148"/>
      <c r="M1" s="148"/>
      <c r="N1" s="148"/>
      <c r="O1" s="148"/>
      <c r="P1" s="148"/>
      <c r="Q1" s="148"/>
      <c r="R1" s="148"/>
    </row>
    <row r="2" spans="1:18" ht="38.25">
      <c r="A2" s="647" t="str">
        <f>desc</f>
        <v>Description</v>
      </c>
      <c r="B2" s="648" t="str">
        <f>head27</f>
        <v>Ref</v>
      </c>
      <c r="C2" s="527" t="s">
        <v>1159</v>
      </c>
      <c r="D2" s="527" t="s">
        <v>1160</v>
      </c>
      <c r="E2" s="527" t="s">
        <v>1161</v>
      </c>
      <c r="F2" s="527" t="s">
        <v>1162</v>
      </c>
      <c r="G2" s="527" t="s">
        <v>1594</v>
      </c>
      <c r="H2" s="527" t="s">
        <v>1687</v>
      </c>
      <c r="I2" s="527" t="s">
        <v>1595</v>
      </c>
      <c r="J2" s="527" t="s">
        <v>1163</v>
      </c>
      <c r="K2" s="527" t="s">
        <v>436</v>
      </c>
      <c r="L2" s="527" t="s">
        <v>1164</v>
      </c>
      <c r="M2" s="527" t="s">
        <v>437</v>
      </c>
      <c r="N2" s="527" t="s">
        <v>1688</v>
      </c>
      <c r="O2" s="527" t="s">
        <v>1165</v>
      </c>
      <c r="P2" s="527" t="s">
        <v>438</v>
      </c>
      <c r="Q2" s="527" t="s">
        <v>1689</v>
      </c>
      <c r="R2" s="649" t="s">
        <v>1690</v>
      </c>
    </row>
    <row r="3" spans="1:18" ht="11.25" customHeight="1">
      <c r="A3" s="250" t="str">
        <f>Head9</f>
        <v>Budget Year 2011/12</v>
      </c>
      <c r="B3" s="183"/>
      <c r="C3" s="650"/>
      <c r="D3" s="650"/>
      <c r="E3" s="650"/>
      <c r="F3" s="650"/>
      <c r="G3" s="650"/>
      <c r="H3" s="650"/>
      <c r="I3" s="650"/>
      <c r="J3" s="650"/>
      <c r="K3" s="650"/>
      <c r="L3" s="650"/>
      <c r="M3" s="650"/>
      <c r="N3" s="650"/>
      <c r="O3" s="650"/>
      <c r="P3" s="650"/>
      <c r="Q3" s="650"/>
      <c r="R3" s="651"/>
    </row>
    <row r="4" spans="1:18" ht="11.25" customHeight="1">
      <c r="A4" s="250" t="s">
        <v>801</v>
      </c>
      <c r="B4" s="183"/>
      <c r="C4" s="650"/>
      <c r="D4" s="650"/>
      <c r="E4" s="650"/>
      <c r="F4" s="650"/>
      <c r="G4" s="650"/>
      <c r="H4" s="650"/>
      <c r="I4" s="650"/>
      <c r="J4" s="650"/>
      <c r="K4" s="650"/>
      <c r="L4" s="650"/>
      <c r="M4" s="650"/>
      <c r="N4" s="650"/>
      <c r="O4" s="650"/>
      <c r="P4" s="650"/>
      <c r="Q4" s="650"/>
      <c r="R4" s="651"/>
    </row>
    <row r="5" spans="1:18" ht="11.25" customHeight="1">
      <c r="A5" s="251" t="s">
        <v>433</v>
      </c>
      <c r="B5" s="183"/>
      <c r="C5" s="2305">
        <v>59862</v>
      </c>
      <c r="D5" s="2305">
        <v>600</v>
      </c>
      <c r="E5" s="2305">
        <v>2345</v>
      </c>
      <c r="F5" s="2305">
        <v>471</v>
      </c>
      <c r="G5" s="2305">
        <v>11935</v>
      </c>
      <c r="H5" s="2305">
        <v>6300</v>
      </c>
      <c r="I5" s="2305">
        <v>1934</v>
      </c>
      <c r="J5" s="2305"/>
      <c r="K5" s="2305"/>
      <c r="L5" s="2305"/>
      <c r="M5" s="2305">
        <v>1</v>
      </c>
      <c r="N5" s="2305"/>
      <c r="O5" s="2305"/>
      <c r="P5" s="2305"/>
      <c r="Q5" s="2305"/>
      <c r="R5" s="2306">
        <v>3</v>
      </c>
    </row>
    <row r="6" spans="1:18" ht="11.25" customHeight="1">
      <c r="A6" s="251" t="s">
        <v>1532</v>
      </c>
      <c r="B6" s="183"/>
      <c r="C6" s="2305">
        <v>8299</v>
      </c>
      <c r="D6" s="2305"/>
      <c r="E6" s="2305">
        <v>923</v>
      </c>
      <c r="F6" s="2305"/>
      <c r="G6" s="2305"/>
      <c r="H6" s="2305"/>
      <c r="I6" s="2305"/>
      <c r="J6" s="2305"/>
      <c r="K6" s="2305"/>
      <c r="L6" s="2305"/>
      <c r="M6" s="2305"/>
      <c r="N6" s="2305"/>
      <c r="O6" s="2305"/>
      <c r="P6" s="2305"/>
      <c r="Q6" s="2305"/>
      <c r="R6" s="2306"/>
    </row>
    <row r="7" spans="1:18" ht="11.25" customHeight="1">
      <c r="A7" s="251" t="s">
        <v>435</v>
      </c>
      <c r="B7" s="183"/>
      <c r="C7" s="2305" t="s">
        <v>2245</v>
      </c>
      <c r="D7" s="2305" t="s">
        <v>2245</v>
      </c>
      <c r="E7" s="2305" t="s">
        <v>2245</v>
      </c>
      <c r="F7" s="2305" t="s">
        <v>2245</v>
      </c>
      <c r="G7" s="2305" t="s">
        <v>2245</v>
      </c>
      <c r="H7" s="2305" t="s">
        <v>2245</v>
      </c>
      <c r="I7" s="2305" t="s">
        <v>2245</v>
      </c>
      <c r="J7" s="2305" t="s">
        <v>2245</v>
      </c>
      <c r="K7" s="2305" t="s">
        <v>2245</v>
      </c>
      <c r="L7" s="2305" t="s">
        <v>2245</v>
      </c>
      <c r="M7" s="2305" t="s">
        <v>2245</v>
      </c>
      <c r="N7" s="2305" t="s">
        <v>2245</v>
      </c>
      <c r="O7" s="2305" t="s">
        <v>2245</v>
      </c>
      <c r="P7" s="2305" t="s">
        <v>2245</v>
      </c>
      <c r="Q7" s="2305" t="s">
        <v>2245</v>
      </c>
      <c r="R7" s="2306" t="s">
        <v>2245</v>
      </c>
    </row>
    <row r="8" spans="1:18" ht="11.25" customHeight="1">
      <c r="A8" s="251" t="s">
        <v>792</v>
      </c>
      <c r="B8" s="183"/>
      <c r="C8" s="2305" t="s">
        <v>2247</v>
      </c>
      <c r="D8" s="2305" t="s">
        <v>2247</v>
      </c>
      <c r="E8" s="2305" t="s">
        <v>2247</v>
      </c>
      <c r="F8" s="2305" t="s">
        <v>2247</v>
      </c>
      <c r="G8" s="2305" t="s">
        <v>2247</v>
      </c>
      <c r="H8" s="2305" t="s">
        <v>2247</v>
      </c>
      <c r="I8" s="2305" t="s">
        <v>2247</v>
      </c>
      <c r="J8" s="2305" t="s">
        <v>2247</v>
      </c>
      <c r="K8" s="2305" t="s">
        <v>2247</v>
      </c>
      <c r="L8" s="2305" t="s">
        <v>2247</v>
      </c>
      <c r="M8" s="2305" t="s">
        <v>2248</v>
      </c>
      <c r="N8" s="2305" t="s">
        <v>2247</v>
      </c>
      <c r="O8" s="2305" t="s">
        <v>2247</v>
      </c>
      <c r="P8" s="2305" t="s">
        <v>2247</v>
      </c>
      <c r="Q8" s="2305" t="s">
        <v>2247</v>
      </c>
      <c r="R8" s="2306" t="s">
        <v>2247</v>
      </c>
    </row>
    <row r="9" spans="1:18" ht="11.25" customHeight="1">
      <c r="A9" s="251" t="s">
        <v>1533</v>
      </c>
      <c r="B9" s="183"/>
      <c r="C9" s="2305" t="s">
        <v>2247</v>
      </c>
      <c r="D9" s="2305" t="s">
        <v>2247</v>
      </c>
      <c r="E9" s="2305" t="s">
        <v>2247</v>
      </c>
      <c r="F9" s="2305" t="s">
        <v>2247</v>
      </c>
      <c r="G9" s="2305" t="s">
        <v>2247</v>
      </c>
      <c r="H9" s="2305" t="s">
        <v>2247</v>
      </c>
      <c r="I9" s="2305" t="s">
        <v>2247</v>
      </c>
      <c r="J9" s="2305" t="s">
        <v>2247</v>
      </c>
      <c r="K9" s="2305" t="s">
        <v>2247</v>
      </c>
      <c r="L9" s="2305" t="s">
        <v>2247</v>
      </c>
      <c r="M9" s="2305" t="s">
        <v>2248</v>
      </c>
      <c r="N9" s="2305" t="s">
        <v>2247</v>
      </c>
      <c r="O9" s="2305" t="s">
        <v>2247</v>
      </c>
      <c r="P9" s="2305" t="s">
        <v>2247</v>
      </c>
      <c r="Q9" s="2305" t="s">
        <v>2247</v>
      </c>
      <c r="R9" s="2306" t="s">
        <v>2247</v>
      </c>
    </row>
    <row r="10" spans="1:18" ht="11.25" customHeight="1">
      <c r="A10" s="251" t="s">
        <v>793</v>
      </c>
      <c r="B10" s="183"/>
      <c r="C10" s="2305" t="s">
        <v>2247</v>
      </c>
      <c r="D10" s="2305" t="s">
        <v>2247</v>
      </c>
      <c r="E10" s="2305" t="s">
        <v>2247</v>
      </c>
      <c r="F10" s="2305" t="s">
        <v>2247</v>
      </c>
      <c r="G10" s="2305" t="s">
        <v>2247</v>
      </c>
      <c r="H10" s="2305" t="s">
        <v>2247</v>
      </c>
      <c r="I10" s="2305" t="s">
        <v>2247</v>
      </c>
      <c r="J10" s="2305" t="s">
        <v>2247</v>
      </c>
      <c r="K10" s="2305" t="s">
        <v>2247</v>
      </c>
      <c r="L10" s="2305" t="s">
        <v>2247</v>
      </c>
      <c r="M10" s="2305" t="s">
        <v>2248</v>
      </c>
      <c r="N10" s="2305" t="s">
        <v>2247</v>
      </c>
      <c r="O10" s="2305" t="s">
        <v>2247</v>
      </c>
      <c r="P10" s="2305" t="s">
        <v>2247</v>
      </c>
      <c r="Q10" s="2305" t="s">
        <v>2247</v>
      </c>
      <c r="R10" s="2305" t="s">
        <v>2247</v>
      </c>
    </row>
    <row r="11" spans="1:18" ht="11.25" customHeight="1">
      <c r="A11" s="251" t="s">
        <v>385</v>
      </c>
      <c r="B11" s="183"/>
      <c r="C11" s="2305" t="s">
        <v>2247</v>
      </c>
      <c r="D11" s="2305" t="s">
        <v>2247</v>
      </c>
      <c r="E11" s="2305" t="s">
        <v>2247</v>
      </c>
      <c r="F11" s="2305" t="s">
        <v>2247</v>
      </c>
      <c r="G11" s="2305" t="s">
        <v>2247</v>
      </c>
      <c r="H11" s="2305" t="s">
        <v>2247</v>
      </c>
      <c r="I11" s="2305" t="s">
        <v>2247</v>
      </c>
      <c r="J11" s="2305" t="s">
        <v>2247</v>
      </c>
      <c r="K11" s="2305" t="s">
        <v>2247</v>
      </c>
      <c r="L11" s="2305" t="s">
        <v>2247</v>
      </c>
      <c r="M11" s="2305" t="s">
        <v>2248</v>
      </c>
      <c r="N11" s="2305" t="s">
        <v>2247</v>
      </c>
      <c r="O11" s="2305" t="s">
        <v>2247</v>
      </c>
      <c r="P11" s="2305" t="s">
        <v>2247</v>
      </c>
      <c r="Q11" s="2305" t="s">
        <v>2247</v>
      </c>
      <c r="R11" s="2306" t="s">
        <v>2247</v>
      </c>
    </row>
    <row r="12" spans="1:18" ht="11.25" customHeight="1">
      <c r="A12" s="251" t="s">
        <v>386</v>
      </c>
      <c r="B12" s="183"/>
      <c r="C12" s="2305" t="s">
        <v>2247</v>
      </c>
      <c r="D12" s="2305" t="s">
        <v>2247</v>
      </c>
      <c r="E12" s="2305" t="s">
        <v>2247</v>
      </c>
      <c r="F12" s="2305" t="s">
        <v>2247</v>
      </c>
      <c r="G12" s="2305" t="s">
        <v>2247</v>
      </c>
      <c r="H12" s="2305" t="s">
        <v>2247</v>
      </c>
      <c r="I12" s="2305" t="s">
        <v>2247</v>
      </c>
      <c r="J12" s="2305" t="s">
        <v>2247</v>
      </c>
      <c r="K12" s="2305" t="s">
        <v>2247</v>
      </c>
      <c r="L12" s="2305" t="s">
        <v>2247</v>
      </c>
      <c r="M12" s="2305" t="s">
        <v>2248</v>
      </c>
      <c r="N12" s="2305" t="s">
        <v>2247</v>
      </c>
      <c r="O12" s="2305" t="s">
        <v>2247</v>
      </c>
      <c r="P12" s="2305" t="s">
        <v>2247</v>
      </c>
      <c r="Q12" s="2305" t="s">
        <v>2247</v>
      </c>
      <c r="R12" s="2305" t="s">
        <v>2247</v>
      </c>
    </row>
    <row r="13" spans="1:18" ht="11.25" customHeight="1">
      <c r="A13" s="251" t="s">
        <v>387</v>
      </c>
      <c r="B13" s="183"/>
      <c r="C13" s="2305" t="s">
        <v>2247</v>
      </c>
      <c r="D13" s="2305" t="s">
        <v>2247</v>
      </c>
      <c r="E13" s="2305" t="s">
        <v>2247</v>
      </c>
      <c r="F13" s="2305" t="s">
        <v>2247</v>
      </c>
      <c r="G13" s="2305" t="s">
        <v>2247</v>
      </c>
      <c r="H13" s="2305" t="s">
        <v>2247</v>
      </c>
      <c r="I13" s="2305" t="s">
        <v>2247</v>
      </c>
      <c r="J13" s="2305" t="s">
        <v>2247</v>
      </c>
      <c r="K13" s="2305" t="s">
        <v>2247</v>
      </c>
      <c r="L13" s="2305" t="s">
        <v>2247</v>
      </c>
      <c r="M13" s="2305" t="s">
        <v>2248</v>
      </c>
      <c r="N13" s="2305" t="s">
        <v>2247</v>
      </c>
      <c r="O13" s="2305" t="s">
        <v>2247</v>
      </c>
      <c r="P13" s="2305" t="s">
        <v>2247</v>
      </c>
      <c r="Q13" s="2305" t="s">
        <v>2247</v>
      </c>
      <c r="R13" s="2305" t="s">
        <v>2247</v>
      </c>
    </row>
    <row r="14" spans="1:18" ht="11.25" customHeight="1">
      <c r="A14" s="251" t="s">
        <v>803</v>
      </c>
      <c r="B14" s="183">
        <v>5</v>
      </c>
      <c r="C14" s="2305" t="s">
        <v>2247</v>
      </c>
      <c r="D14" s="2305" t="s">
        <v>2247</v>
      </c>
      <c r="E14" s="2305" t="s">
        <v>2247</v>
      </c>
      <c r="F14" s="2305" t="s">
        <v>2247</v>
      </c>
      <c r="G14" s="2305" t="s">
        <v>2247</v>
      </c>
      <c r="H14" s="2305" t="s">
        <v>2247</v>
      </c>
      <c r="I14" s="2305" t="s">
        <v>2247</v>
      </c>
      <c r="J14" s="2305" t="s">
        <v>2247</v>
      </c>
      <c r="K14" s="2305" t="s">
        <v>2247</v>
      </c>
      <c r="L14" s="2305" t="s">
        <v>2247</v>
      </c>
      <c r="M14" s="2305" t="s">
        <v>2248</v>
      </c>
      <c r="N14" s="2305" t="s">
        <v>2247</v>
      </c>
      <c r="O14" s="2305" t="s">
        <v>2247</v>
      </c>
      <c r="P14" s="2305" t="s">
        <v>2247</v>
      </c>
      <c r="Q14" s="2305" t="s">
        <v>2247</v>
      </c>
      <c r="R14" s="2306" t="s">
        <v>2247</v>
      </c>
    </row>
    <row r="15" spans="1:18" ht="11.25" customHeight="1">
      <c r="A15" s="251" t="s">
        <v>791</v>
      </c>
      <c r="B15" s="183">
        <v>5</v>
      </c>
      <c r="C15" s="2305" t="s">
        <v>2247</v>
      </c>
      <c r="D15" s="2305" t="s">
        <v>2247</v>
      </c>
      <c r="E15" s="2305" t="s">
        <v>2247</v>
      </c>
      <c r="F15" s="2305" t="s">
        <v>2247</v>
      </c>
      <c r="G15" s="2305" t="s">
        <v>2247</v>
      </c>
      <c r="H15" s="2305" t="s">
        <v>2247</v>
      </c>
      <c r="I15" s="2305" t="s">
        <v>2247</v>
      </c>
      <c r="J15" s="2305" t="s">
        <v>2247</v>
      </c>
      <c r="K15" s="2305" t="s">
        <v>2247</v>
      </c>
      <c r="L15" s="2305" t="s">
        <v>2247</v>
      </c>
      <c r="M15" s="2305" t="s">
        <v>2248</v>
      </c>
      <c r="N15" s="2305" t="s">
        <v>2247</v>
      </c>
      <c r="O15" s="2305" t="s">
        <v>2247</v>
      </c>
      <c r="P15" s="2305" t="s">
        <v>2247</v>
      </c>
      <c r="Q15" s="2305" t="s">
        <v>2247</v>
      </c>
      <c r="R15" s="2305" t="s">
        <v>2247</v>
      </c>
    </row>
    <row r="16" spans="1:18" ht="11.25" customHeight="1">
      <c r="A16" s="255" t="s">
        <v>1534</v>
      </c>
      <c r="B16" s="351"/>
      <c r="C16" s="1760" t="s">
        <v>2247</v>
      </c>
      <c r="D16" s="1760" t="s">
        <v>2247</v>
      </c>
      <c r="E16" s="1760" t="s">
        <v>2247</v>
      </c>
      <c r="F16" s="1760" t="s">
        <v>2247</v>
      </c>
      <c r="G16" s="1760" t="s">
        <v>2247</v>
      </c>
      <c r="H16" s="1760" t="s">
        <v>2247</v>
      </c>
      <c r="I16" s="1767" t="s">
        <v>2247</v>
      </c>
      <c r="J16" s="1760" t="s">
        <v>2247</v>
      </c>
      <c r="K16" s="1760" t="s">
        <v>2247</v>
      </c>
      <c r="L16" s="1760" t="s">
        <v>2247</v>
      </c>
      <c r="M16" s="1760" t="s">
        <v>2248</v>
      </c>
      <c r="N16" s="1760" t="s">
        <v>2247</v>
      </c>
      <c r="O16" s="1760" t="s">
        <v>2247</v>
      </c>
      <c r="P16" s="1760" t="s">
        <v>2247</v>
      </c>
      <c r="Q16" s="1760" t="s">
        <v>2247</v>
      </c>
      <c r="R16" s="1971" t="s">
        <v>2247</v>
      </c>
    </row>
    <row r="17" spans="1:18" ht="11.25" customHeight="1">
      <c r="A17" s="251" t="s">
        <v>1839</v>
      </c>
      <c r="B17" s="183"/>
      <c r="C17" s="1921">
        <v>2</v>
      </c>
      <c r="D17" s="1921">
        <v>2</v>
      </c>
      <c r="E17" s="1921">
        <v>2</v>
      </c>
      <c r="F17" s="1921">
        <v>2</v>
      </c>
      <c r="G17" s="1921">
        <v>2</v>
      </c>
      <c r="H17" s="1921">
        <v>2</v>
      </c>
      <c r="I17" s="1921">
        <v>2</v>
      </c>
      <c r="J17" s="1921">
        <v>2</v>
      </c>
      <c r="K17" s="1921">
        <v>2</v>
      </c>
      <c r="L17" s="1921">
        <v>2</v>
      </c>
      <c r="M17" s="1921">
        <v>2</v>
      </c>
      <c r="N17" s="1921">
        <v>2</v>
      </c>
      <c r="O17" s="1921">
        <v>2</v>
      </c>
      <c r="P17" s="1921">
        <v>2</v>
      </c>
      <c r="Q17" s="1921">
        <v>2</v>
      </c>
      <c r="R17" s="1921">
        <v>2</v>
      </c>
    </row>
    <row r="18" spans="1:18" ht="11.25" customHeight="1">
      <c r="A18" s="251" t="s">
        <v>1840</v>
      </c>
      <c r="B18" s="183"/>
      <c r="C18" s="1921">
        <v>4</v>
      </c>
      <c r="D18" s="1921">
        <v>4</v>
      </c>
      <c r="E18" s="1921">
        <v>4</v>
      </c>
      <c r="F18" s="1921">
        <v>4</v>
      </c>
      <c r="G18" s="1921">
        <v>4</v>
      </c>
      <c r="H18" s="1921">
        <v>4</v>
      </c>
      <c r="I18" s="1921">
        <v>4</v>
      </c>
      <c r="J18" s="1921">
        <v>4</v>
      </c>
      <c r="K18" s="1921">
        <v>4</v>
      </c>
      <c r="L18" s="1921">
        <v>4</v>
      </c>
      <c r="M18" s="1921">
        <v>4</v>
      </c>
      <c r="N18" s="1921">
        <v>4</v>
      </c>
      <c r="O18" s="1921">
        <v>4</v>
      </c>
      <c r="P18" s="1921">
        <v>4</v>
      </c>
      <c r="Q18" s="1921">
        <v>4</v>
      </c>
      <c r="R18" s="1921">
        <v>4</v>
      </c>
    </row>
    <row r="19" spans="1:18" ht="11.25" customHeight="1">
      <c r="A19" s="251" t="s">
        <v>1841</v>
      </c>
      <c r="B19" s="183"/>
      <c r="C19" s="1921" t="s">
        <v>2219</v>
      </c>
      <c r="D19" s="1921" t="s">
        <v>2219</v>
      </c>
      <c r="E19" s="1921" t="s">
        <v>2219</v>
      </c>
      <c r="F19" s="1921" t="s">
        <v>2219</v>
      </c>
      <c r="G19" s="1921" t="s">
        <v>2219</v>
      </c>
      <c r="H19" s="1921" t="s">
        <v>2219</v>
      </c>
      <c r="I19" s="1921" t="s">
        <v>2219</v>
      </c>
      <c r="J19" s="1921" t="s">
        <v>2219</v>
      </c>
      <c r="K19" s="1921" t="s">
        <v>2219</v>
      </c>
      <c r="L19" s="1921" t="s">
        <v>2219</v>
      </c>
      <c r="M19" s="1921" t="s">
        <v>2219</v>
      </c>
      <c r="N19" s="1921" t="s">
        <v>2219</v>
      </c>
      <c r="O19" s="1921" t="s">
        <v>2219</v>
      </c>
      <c r="P19" s="1921" t="s">
        <v>2219</v>
      </c>
      <c r="Q19" s="1921" t="s">
        <v>2219</v>
      </c>
      <c r="R19" s="1921" t="s">
        <v>2219</v>
      </c>
    </row>
    <row r="20" spans="1:18" ht="11.25" customHeight="1">
      <c r="A20" s="251" t="s">
        <v>1842</v>
      </c>
      <c r="B20" s="183"/>
      <c r="C20" s="2305" t="s">
        <v>169</v>
      </c>
      <c r="D20" s="2305" t="s">
        <v>169</v>
      </c>
      <c r="E20" s="2305" t="s">
        <v>169</v>
      </c>
      <c r="F20" s="2305" t="s">
        <v>169</v>
      </c>
      <c r="G20" s="2305" t="s">
        <v>169</v>
      </c>
      <c r="H20" s="2305" t="s">
        <v>169</v>
      </c>
      <c r="I20" s="2305" t="s">
        <v>167</v>
      </c>
      <c r="J20" s="2305" t="s">
        <v>169</v>
      </c>
      <c r="K20" s="2305" t="s">
        <v>169</v>
      </c>
      <c r="L20" s="2305" t="s">
        <v>169</v>
      </c>
      <c r="M20" s="2305" t="s">
        <v>167</v>
      </c>
      <c r="N20" s="2305" t="s">
        <v>169</v>
      </c>
      <c r="O20" s="2305" t="s">
        <v>169</v>
      </c>
      <c r="P20" s="2305" t="s">
        <v>169</v>
      </c>
      <c r="Q20" s="2305" t="s">
        <v>169</v>
      </c>
      <c r="R20" s="2305" t="s">
        <v>167</v>
      </c>
    </row>
    <row r="21" spans="1:18" ht="11.25" customHeight="1">
      <c r="A21" s="251" t="s">
        <v>168</v>
      </c>
      <c r="B21" s="183"/>
      <c r="C21" s="2305"/>
      <c r="D21" s="2305"/>
      <c r="E21" s="2305"/>
      <c r="F21" s="2305"/>
      <c r="G21" s="2305"/>
      <c r="H21" s="2305"/>
      <c r="I21" s="2305"/>
      <c r="J21" s="2305"/>
      <c r="K21" s="2305"/>
      <c r="L21" s="2305"/>
      <c r="M21" s="2305"/>
      <c r="N21" s="2305"/>
      <c r="O21" s="2305"/>
      <c r="P21" s="2305"/>
      <c r="Q21" s="2305"/>
      <c r="R21" s="2305"/>
    </row>
    <row r="22" spans="1:18" ht="11.25" customHeight="1">
      <c r="A22" s="251" t="s">
        <v>715</v>
      </c>
      <c r="B22" s="652"/>
      <c r="C22" s="2305" t="s">
        <v>889</v>
      </c>
      <c r="D22" s="2305" t="s">
        <v>889</v>
      </c>
      <c r="E22" s="2305" t="s">
        <v>889</v>
      </c>
      <c r="F22" s="2305" t="s">
        <v>889</v>
      </c>
      <c r="G22" s="2305" t="s">
        <v>889</v>
      </c>
      <c r="H22" s="2305" t="s">
        <v>889</v>
      </c>
      <c r="I22" s="2305" t="s">
        <v>889</v>
      </c>
      <c r="J22" s="2305" t="s">
        <v>889</v>
      </c>
      <c r="K22" s="2305" t="s">
        <v>889</v>
      </c>
      <c r="L22" s="2305" t="s">
        <v>889</v>
      </c>
      <c r="M22" s="2305" t="s">
        <v>889</v>
      </c>
      <c r="N22" s="2305" t="s">
        <v>889</v>
      </c>
      <c r="O22" s="2305" t="s">
        <v>889</v>
      </c>
      <c r="P22" s="2305" t="s">
        <v>889</v>
      </c>
      <c r="Q22" s="2305" t="s">
        <v>889</v>
      </c>
      <c r="R22" s="2305" t="s">
        <v>889</v>
      </c>
    </row>
    <row r="23" spans="1:18" ht="11.25" customHeight="1">
      <c r="A23" s="251" t="s">
        <v>716</v>
      </c>
      <c r="B23" s="652"/>
      <c r="C23" s="2305" t="s">
        <v>889</v>
      </c>
      <c r="D23" s="2305" t="s">
        <v>889</v>
      </c>
      <c r="E23" s="2305" t="s">
        <v>889</v>
      </c>
      <c r="F23" s="2305" t="s">
        <v>889</v>
      </c>
      <c r="G23" s="2305" t="s">
        <v>889</v>
      </c>
      <c r="H23" s="2305" t="s">
        <v>889</v>
      </c>
      <c r="I23" s="2305" t="s">
        <v>889</v>
      </c>
      <c r="J23" s="2305" t="s">
        <v>889</v>
      </c>
      <c r="K23" s="2305" t="s">
        <v>889</v>
      </c>
      <c r="L23" s="2305" t="s">
        <v>889</v>
      </c>
      <c r="M23" s="2305" t="s">
        <v>889</v>
      </c>
      <c r="N23" s="2305" t="s">
        <v>889</v>
      </c>
      <c r="O23" s="2305" t="s">
        <v>889</v>
      </c>
      <c r="P23" s="2305" t="s">
        <v>889</v>
      </c>
      <c r="Q23" s="2305" t="s">
        <v>889</v>
      </c>
      <c r="R23" s="2305" t="s">
        <v>889</v>
      </c>
    </row>
    <row r="24" spans="1:18" ht="11.25" customHeight="1">
      <c r="A24" s="251" t="s">
        <v>323</v>
      </c>
      <c r="B24" s="652"/>
      <c r="C24" s="2305" t="s">
        <v>1176</v>
      </c>
      <c r="D24" s="2305" t="s">
        <v>1176</v>
      </c>
      <c r="E24" s="2305" t="s">
        <v>1176</v>
      </c>
      <c r="F24" s="2305" t="s">
        <v>1176</v>
      </c>
      <c r="G24" s="2305" t="s">
        <v>1176</v>
      </c>
      <c r="H24" s="2305" t="s">
        <v>1176</v>
      </c>
      <c r="I24" s="2305" t="s">
        <v>1176</v>
      </c>
      <c r="J24" s="2305" t="s">
        <v>1176</v>
      </c>
      <c r="K24" s="2305" t="s">
        <v>1176</v>
      </c>
      <c r="L24" s="2305" t="s">
        <v>1176</v>
      </c>
      <c r="M24" s="2305" t="s">
        <v>1176</v>
      </c>
      <c r="N24" s="2305" t="s">
        <v>1176</v>
      </c>
      <c r="O24" s="2305" t="s">
        <v>1176</v>
      </c>
      <c r="P24" s="2305" t="s">
        <v>1176</v>
      </c>
      <c r="Q24" s="2305" t="s">
        <v>1176</v>
      </c>
      <c r="R24" s="2305" t="s">
        <v>1176</v>
      </c>
    </row>
    <row r="25" spans="1:18" ht="11.25" customHeight="1">
      <c r="A25" s="250" t="s">
        <v>1684</v>
      </c>
      <c r="B25" s="183"/>
      <c r="C25" s="612"/>
      <c r="D25" s="612"/>
      <c r="E25" s="612"/>
      <c r="F25" s="612"/>
      <c r="G25" s="612"/>
      <c r="H25" s="612"/>
      <c r="I25" s="612"/>
      <c r="J25" s="612"/>
      <c r="K25" s="612"/>
      <c r="L25" s="612"/>
      <c r="M25" s="612"/>
      <c r="N25" s="612"/>
      <c r="O25" s="612"/>
      <c r="P25" s="612"/>
      <c r="Q25" s="612"/>
      <c r="R25" s="615"/>
    </row>
    <row r="26" spans="1:18" ht="11.25" customHeight="1">
      <c r="A26" s="251" t="s">
        <v>554</v>
      </c>
      <c r="B26" s="183"/>
      <c r="C26" s="2305" t="s">
        <v>2247</v>
      </c>
      <c r="D26" s="2305" t="s">
        <v>2247</v>
      </c>
      <c r="E26" s="2305" t="s">
        <v>2247</v>
      </c>
      <c r="F26" s="2305" t="s">
        <v>2247</v>
      </c>
      <c r="G26" s="2305" t="s">
        <v>2247</v>
      </c>
      <c r="H26" s="2305" t="s">
        <v>2247</v>
      </c>
      <c r="I26" s="2305" t="s">
        <v>2247</v>
      </c>
      <c r="J26" s="2305" t="s">
        <v>2247</v>
      </c>
      <c r="K26" s="2305" t="s">
        <v>2247</v>
      </c>
      <c r="L26" s="2305" t="s">
        <v>2247</v>
      </c>
      <c r="M26" s="2305" t="s">
        <v>2247</v>
      </c>
      <c r="N26" s="2305" t="s">
        <v>2247</v>
      </c>
      <c r="O26" s="2305" t="s">
        <v>2247</v>
      </c>
      <c r="P26" s="2305" t="s">
        <v>2247</v>
      </c>
      <c r="Q26" s="2305" t="s">
        <v>2247</v>
      </c>
      <c r="R26" s="2305" t="s">
        <v>2247</v>
      </c>
    </row>
    <row r="27" spans="1:18" ht="11.25" customHeight="1">
      <c r="A27" s="251" t="s">
        <v>555</v>
      </c>
      <c r="B27" s="183"/>
      <c r="C27" s="2305" t="s">
        <v>2247</v>
      </c>
      <c r="D27" s="2305" t="s">
        <v>2247</v>
      </c>
      <c r="E27" s="2305" t="s">
        <v>2247</v>
      </c>
      <c r="F27" s="2305" t="s">
        <v>2247</v>
      </c>
      <c r="G27" s="2305" t="s">
        <v>2247</v>
      </c>
      <c r="H27" s="2305" t="s">
        <v>2247</v>
      </c>
      <c r="I27" s="2305" t="s">
        <v>2247</v>
      </c>
      <c r="J27" s="2305" t="s">
        <v>2247</v>
      </c>
      <c r="K27" s="2305" t="s">
        <v>2247</v>
      </c>
      <c r="L27" s="2305" t="s">
        <v>2247</v>
      </c>
      <c r="M27" s="2305" t="s">
        <v>2247</v>
      </c>
      <c r="N27" s="2305" t="s">
        <v>2247</v>
      </c>
      <c r="O27" s="2305" t="s">
        <v>2247</v>
      </c>
      <c r="P27" s="2305" t="s">
        <v>2247</v>
      </c>
      <c r="Q27" s="2305" t="s">
        <v>2247</v>
      </c>
      <c r="R27" s="2305" t="s">
        <v>2247</v>
      </c>
    </row>
    <row r="28" spans="1:18" ht="11.25" customHeight="1">
      <c r="A28" s="251" t="s">
        <v>556</v>
      </c>
      <c r="B28" s="183"/>
      <c r="C28" s="2305" t="s">
        <v>2247</v>
      </c>
      <c r="D28" s="2305" t="s">
        <v>2247</v>
      </c>
      <c r="E28" s="2305" t="s">
        <v>2247</v>
      </c>
      <c r="F28" s="2305" t="s">
        <v>2247</v>
      </c>
      <c r="G28" s="2305" t="s">
        <v>2247</v>
      </c>
      <c r="H28" s="2305" t="s">
        <v>2247</v>
      </c>
      <c r="I28" s="2305" t="s">
        <v>2247</v>
      </c>
      <c r="J28" s="2305" t="s">
        <v>2247</v>
      </c>
      <c r="K28" s="2305" t="s">
        <v>2247</v>
      </c>
      <c r="L28" s="2305" t="s">
        <v>2247</v>
      </c>
      <c r="M28" s="2305" t="s">
        <v>2247</v>
      </c>
      <c r="N28" s="2305" t="s">
        <v>2247</v>
      </c>
      <c r="O28" s="2305" t="s">
        <v>2247</v>
      </c>
      <c r="P28" s="2305" t="s">
        <v>2247</v>
      </c>
      <c r="Q28" s="2305" t="s">
        <v>2247</v>
      </c>
      <c r="R28" s="2305" t="s">
        <v>2247</v>
      </c>
    </row>
    <row r="29" spans="1:18" ht="11.25" customHeight="1">
      <c r="A29" s="251" t="s">
        <v>557</v>
      </c>
      <c r="B29" s="183"/>
      <c r="C29" s="2305" t="s">
        <v>2247</v>
      </c>
      <c r="D29" s="2305" t="s">
        <v>2247</v>
      </c>
      <c r="E29" s="2305" t="s">
        <v>2247</v>
      </c>
      <c r="F29" s="2305" t="s">
        <v>2247</v>
      </c>
      <c r="G29" s="2305" t="s">
        <v>2247</v>
      </c>
      <c r="H29" s="2305" t="s">
        <v>2247</v>
      </c>
      <c r="I29" s="2305" t="s">
        <v>2247</v>
      </c>
      <c r="J29" s="2305" t="s">
        <v>2247</v>
      </c>
      <c r="K29" s="2305" t="s">
        <v>2247</v>
      </c>
      <c r="L29" s="2305" t="s">
        <v>2247</v>
      </c>
      <c r="M29" s="2305" t="s">
        <v>2247</v>
      </c>
      <c r="N29" s="2305" t="s">
        <v>2247</v>
      </c>
      <c r="O29" s="2305" t="s">
        <v>2247</v>
      </c>
      <c r="P29" s="2305" t="s">
        <v>2247</v>
      </c>
      <c r="Q29" s="2305" t="s">
        <v>2247</v>
      </c>
      <c r="R29" s="2305" t="s">
        <v>2247</v>
      </c>
    </row>
    <row r="30" spans="1:18" ht="11.25" customHeight="1">
      <c r="A30" s="251" t="s">
        <v>558</v>
      </c>
      <c r="B30" s="183"/>
      <c r="C30" s="2305" t="s">
        <v>2247</v>
      </c>
      <c r="D30" s="2305" t="s">
        <v>2247</v>
      </c>
      <c r="E30" s="2305" t="s">
        <v>2247</v>
      </c>
      <c r="F30" s="2305" t="s">
        <v>2247</v>
      </c>
      <c r="G30" s="2305" t="s">
        <v>2247</v>
      </c>
      <c r="H30" s="2305" t="s">
        <v>2247</v>
      </c>
      <c r="I30" s="2305" t="s">
        <v>2247</v>
      </c>
      <c r="J30" s="2305" t="s">
        <v>2247</v>
      </c>
      <c r="K30" s="2305" t="s">
        <v>2247</v>
      </c>
      <c r="L30" s="2305" t="s">
        <v>2247</v>
      </c>
      <c r="M30" s="2305" t="s">
        <v>2247</v>
      </c>
      <c r="N30" s="2305" t="s">
        <v>2247</v>
      </c>
      <c r="O30" s="2305" t="s">
        <v>2247</v>
      </c>
      <c r="P30" s="2305" t="s">
        <v>2247</v>
      </c>
      <c r="Q30" s="2305" t="s">
        <v>2247</v>
      </c>
      <c r="R30" s="2305" t="s">
        <v>2247</v>
      </c>
    </row>
    <row r="31" spans="1:18" ht="11.25" customHeight="1">
      <c r="A31" s="251" t="s">
        <v>559</v>
      </c>
      <c r="B31" s="652">
        <v>2</v>
      </c>
      <c r="C31" s="2305" t="s">
        <v>2247</v>
      </c>
      <c r="D31" s="2305" t="s">
        <v>2247</v>
      </c>
      <c r="E31" s="2305" t="s">
        <v>2247</v>
      </c>
      <c r="F31" s="2305" t="s">
        <v>2247</v>
      </c>
      <c r="G31" s="2305" t="s">
        <v>2247</v>
      </c>
      <c r="H31" s="2305" t="s">
        <v>2247</v>
      </c>
      <c r="I31" s="2305" t="s">
        <v>2247</v>
      </c>
      <c r="J31" s="2305" t="s">
        <v>2247</v>
      </c>
      <c r="K31" s="2305" t="s">
        <v>2247</v>
      </c>
      <c r="L31" s="2305" t="s">
        <v>2247</v>
      </c>
      <c r="M31" s="2305" t="s">
        <v>2247</v>
      </c>
      <c r="N31" s="2305" t="s">
        <v>2247</v>
      </c>
      <c r="O31" s="2305" t="s">
        <v>2247</v>
      </c>
      <c r="P31" s="2305" t="s">
        <v>2247</v>
      </c>
      <c r="Q31" s="2305" t="s">
        <v>2247</v>
      </c>
      <c r="R31" s="2305" t="s">
        <v>2247</v>
      </c>
    </row>
    <row r="32" spans="1:18" ht="11.25" customHeight="1">
      <c r="A32" s="266" t="s">
        <v>1685</v>
      </c>
      <c r="B32" s="183"/>
      <c r="C32" s="653"/>
      <c r="D32" s="653"/>
      <c r="E32" s="653"/>
      <c r="F32" s="653"/>
      <c r="G32" s="653"/>
      <c r="H32" s="653"/>
      <c r="I32" s="653"/>
      <c r="J32" s="653"/>
      <c r="K32" s="653"/>
      <c r="L32" s="653"/>
      <c r="M32" s="653"/>
      <c r="N32" s="653"/>
      <c r="O32" s="653"/>
      <c r="P32" s="653"/>
      <c r="Q32" s="653"/>
      <c r="R32" s="654"/>
    </row>
    <row r="33" spans="1:19" ht="15.75" customHeight="1">
      <c r="A33" s="251" t="s">
        <v>1588</v>
      </c>
      <c r="B33" s="183">
        <v>6</v>
      </c>
      <c r="C33" s="2305" t="s">
        <v>2172</v>
      </c>
      <c r="D33" s="2305" t="s">
        <v>2172</v>
      </c>
      <c r="E33" s="2305" t="s">
        <v>2172</v>
      </c>
      <c r="F33" s="2305" t="s">
        <v>2172</v>
      </c>
      <c r="G33" s="2305" t="s">
        <v>2172</v>
      </c>
      <c r="H33" s="2305" t="s">
        <v>2172</v>
      </c>
      <c r="I33" s="2305" t="s">
        <v>2172</v>
      </c>
      <c r="J33" s="2305" t="s">
        <v>2172</v>
      </c>
      <c r="K33" s="2305" t="s">
        <v>2172</v>
      </c>
      <c r="L33" s="2305" t="s">
        <v>2172</v>
      </c>
      <c r="M33" s="2305" t="s">
        <v>2172</v>
      </c>
      <c r="N33" s="2305" t="s">
        <v>2172</v>
      </c>
      <c r="O33" s="2305" t="s">
        <v>2172</v>
      </c>
      <c r="P33" s="2305" t="s">
        <v>2172</v>
      </c>
      <c r="Q33" s="2305" t="s">
        <v>2172</v>
      </c>
      <c r="R33" s="2305" t="s">
        <v>2172</v>
      </c>
    </row>
    <row r="34" spans="1:19" ht="11.25" customHeight="1">
      <c r="A34" s="251" t="s">
        <v>1589</v>
      </c>
      <c r="B34" s="183">
        <v>6</v>
      </c>
      <c r="C34" s="2305" t="s">
        <v>2172</v>
      </c>
      <c r="D34" s="2305" t="s">
        <v>2172</v>
      </c>
      <c r="E34" s="2305" t="s">
        <v>2172</v>
      </c>
      <c r="F34" s="2305" t="s">
        <v>2172</v>
      </c>
      <c r="G34" s="2305" t="s">
        <v>2172</v>
      </c>
      <c r="H34" s="2305" t="s">
        <v>2172</v>
      </c>
      <c r="I34" s="2305" t="s">
        <v>2172</v>
      </c>
      <c r="J34" s="2305" t="s">
        <v>2172</v>
      </c>
      <c r="K34" s="2305" t="s">
        <v>2172</v>
      </c>
      <c r="L34" s="2305" t="s">
        <v>2172</v>
      </c>
      <c r="M34" s="2305" t="s">
        <v>2172</v>
      </c>
      <c r="N34" s="2305" t="s">
        <v>2172</v>
      </c>
      <c r="O34" s="2305" t="s">
        <v>2172</v>
      </c>
      <c r="P34" s="2305" t="s">
        <v>2172</v>
      </c>
      <c r="Q34" s="2305" t="s">
        <v>2172</v>
      </c>
      <c r="R34" s="2305" t="s">
        <v>2172</v>
      </c>
    </row>
    <row r="35" spans="1:19" ht="11.25" customHeight="1">
      <c r="A35" s="251" t="s">
        <v>1590</v>
      </c>
      <c r="B35" s="183">
        <v>6</v>
      </c>
      <c r="C35" s="2305" t="s">
        <v>2172</v>
      </c>
      <c r="D35" s="2305" t="s">
        <v>2172</v>
      </c>
      <c r="E35" s="2305" t="s">
        <v>2172</v>
      </c>
      <c r="F35" s="2305" t="s">
        <v>2172</v>
      </c>
      <c r="G35" s="2305" t="s">
        <v>2172</v>
      </c>
      <c r="H35" s="2305" t="s">
        <v>2172</v>
      </c>
      <c r="I35" s="2305" t="s">
        <v>2172</v>
      </c>
      <c r="J35" s="2305" t="s">
        <v>2172</v>
      </c>
      <c r="K35" s="2305" t="s">
        <v>2172</v>
      </c>
      <c r="L35" s="2305" t="s">
        <v>2172</v>
      </c>
      <c r="M35" s="2305" t="s">
        <v>2172</v>
      </c>
      <c r="N35" s="2305" t="s">
        <v>2172</v>
      </c>
      <c r="O35" s="2305" t="s">
        <v>2172</v>
      </c>
      <c r="P35" s="2305" t="s">
        <v>2172</v>
      </c>
      <c r="Q35" s="2305" t="s">
        <v>2172</v>
      </c>
      <c r="R35" s="2305" t="s">
        <v>2172</v>
      </c>
    </row>
    <row r="36" spans="1:19" ht="11.25" customHeight="1">
      <c r="A36" s="251" t="s">
        <v>1591</v>
      </c>
      <c r="B36" s="1626">
        <v>6</v>
      </c>
      <c r="C36" s="2305" t="s">
        <v>2172</v>
      </c>
      <c r="D36" s="2305" t="s">
        <v>2172</v>
      </c>
      <c r="E36" s="2305" t="s">
        <v>2172</v>
      </c>
      <c r="F36" s="2305" t="s">
        <v>2172</v>
      </c>
      <c r="G36" s="2305" t="s">
        <v>2172</v>
      </c>
      <c r="H36" s="2305" t="s">
        <v>2172</v>
      </c>
      <c r="I36" s="2305" t="s">
        <v>2172</v>
      </c>
      <c r="J36" s="2305" t="s">
        <v>2172</v>
      </c>
      <c r="K36" s="2305" t="s">
        <v>2172</v>
      </c>
      <c r="L36" s="2305" t="s">
        <v>2172</v>
      </c>
      <c r="M36" s="2305" t="s">
        <v>2172</v>
      </c>
      <c r="N36" s="2305" t="s">
        <v>2172</v>
      </c>
      <c r="O36" s="2305" t="s">
        <v>2172</v>
      </c>
      <c r="P36" s="2305" t="s">
        <v>2172</v>
      </c>
      <c r="Q36" s="2305" t="s">
        <v>2172</v>
      </c>
      <c r="R36" s="2305" t="s">
        <v>2172</v>
      </c>
    </row>
    <row r="37" spans="1:19" ht="15.75" customHeight="1">
      <c r="A37" s="655" t="s">
        <v>1686</v>
      </c>
      <c r="B37" s="656"/>
      <c r="C37" s="657"/>
      <c r="D37" s="657"/>
      <c r="E37" s="657"/>
      <c r="F37" s="657"/>
      <c r="G37" s="657"/>
      <c r="H37" s="657"/>
      <c r="I37" s="657"/>
      <c r="J37" s="657"/>
      <c r="K37" s="657"/>
      <c r="L37" s="657"/>
      <c r="M37" s="657"/>
      <c r="N37" s="657"/>
      <c r="O37" s="657"/>
      <c r="P37" s="657"/>
      <c r="Q37" s="657"/>
      <c r="R37" s="658"/>
    </row>
    <row r="38" spans="1:19" ht="11.25" customHeight="1">
      <c r="A38" s="255" t="s">
        <v>322</v>
      </c>
      <c r="B38" s="659">
        <v>3</v>
      </c>
      <c r="C38" s="2305" t="s">
        <v>2172</v>
      </c>
      <c r="D38" s="2305" t="s">
        <v>2172</v>
      </c>
      <c r="E38" s="2305" t="s">
        <v>2172</v>
      </c>
      <c r="F38" s="2305" t="s">
        <v>2172</v>
      </c>
      <c r="G38" s="2305" t="s">
        <v>2172</v>
      </c>
      <c r="H38" s="2305" t="s">
        <v>2172</v>
      </c>
      <c r="I38" s="2305" t="s">
        <v>2172</v>
      </c>
      <c r="J38" s="2305" t="s">
        <v>2172</v>
      </c>
      <c r="K38" s="2305" t="s">
        <v>2172</v>
      </c>
      <c r="L38" s="2305" t="s">
        <v>2172</v>
      </c>
      <c r="M38" s="2305" t="s">
        <v>2172</v>
      </c>
      <c r="N38" s="2305" t="s">
        <v>2172</v>
      </c>
      <c r="O38" s="2305" t="s">
        <v>2172</v>
      </c>
      <c r="P38" s="2305" t="s">
        <v>2172</v>
      </c>
      <c r="Q38" s="2305" t="s">
        <v>2172</v>
      </c>
      <c r="R38" s="2305" t="s">
        <v>2172</v>
      </c>
      <c r="S38" s="373"/>
    </row>
    <row r="39" spans="1:19" ht="11.25" customHeight="1">
      <c r="A39" s="255" t="s">
        <v>1592</v>
      </c>
      <c r="B39" s="659"/>
      <c r="C39" s="2305" t="s">
        <v>2172</v>
      </c>
      <c r="D39" s="2305" t="s">
        <v>2172</v>
      </c>
      <c r="E39" s="2305" t="s">
        <v>2172</v>
      </c>
      <c r="F39" s="2305" t="s">
        <v>2172</v>
      </c>
      <c r="G39" s="2305" t="s">
        <v>2172</v>
      </c>
      <c r="H39" s="2305" t="s">
        <v>2172</v>
      </c>
      <c r="I39" s="2305" t="s">
        <v>2172</v>
      </c>
      <c r="J39" s="2305" t="s">
        <v>2172</v>
      </c>
      <c r="K39" s="2305" t="s">
        <v>2172</v>
      </c>
      <c r="L39" s="2305" t="s">
        <v>2172</v>
      </c>
      <c r="M39" s="2305" t="s">
        <v>2172</v>
      </c>
      <c r="N39" s="2305" t="s">
        <v>2172</v>
      </c>
      <c r="O39" s="2305" t="s">
        <v>2172</v>
      </c>
      <c r="P39" s="2305" t="s">
        <v>2172</v>
      </c>
      <c r="Q39" s="2305" t="s">
        <v>2172</v>
      </c>
      <c r="R39" s="2305" t="s">
        <v>2172</v>
      </c>
      <c r="S39" s="660">
        <f>SUM(C39:R39)</f>
        <v>0</v>
      </c>
    </row>
    <row r="40" spans="1:19" ht="11.25" customHeight="1">
      <c r="A40" s="255" t="s">
        <v>1593</v>
      </c>
      <c r="B40" s="659"/>
      <c r="C40" s="2305" t="s">
        <v>2172</v>
      </c>
      <c r="D40" s="2305" t="s">
        <v>2172</v>
      </c>
      <c r="E40" s="2305" t="s">
        <v>2172</v>
      </c>
      <c r="F40" s="2305" t="s">
        <v>2172</v>
      </c>
      <c r="G40" s="2305" t="s">
        <v>2172</v>
      </c>
      <c r="H40" s="2305" t="s">
        <v>2172</v>
      </c>
      <c r="I40" s="2305" t="s">
        <v>2172</v>
      </c>
      <c r="J40" s="2305" t="s">
        <v>2172</v>
      </c>
      <c r="K40" s="2305" t="s">
        <v>2172</v>
      </c>
      <c r="L40" s="2305" t="s">
        <v>2172</v>
      </c>
      <c r="M40" s="2305" t="s">
        <v>2172</v>
      </c>
      <c r="N40" s="2305" t="s">
        <v>2172</v>
      </c>
      <c r="O40" s="2305" t="s">
        <v>2172</v>
      </c>
      <c r="P40" s="2305" t="s">
        <v>2172</v>
      </c>
      <c r="Q40" s="2305" t="s">
        <v>2172</v>
      </c>
      <c r="R40" s="2305" t="s">
        <v>2172</v>
      </c>
      <c r="S40" s="660">
        <f>SUM(C40:R40)</f>
        <v>0</v>
      </c>
    </row>
    <row r="41" spans="1:19" ht="11.25" customHeight="1">
      <c r="A41" s="255" t="s">
        <v>1726</v>
      </c>
      <c r="B41" s="659">
        <v>4</v>
      </c>
      <c r="C41" s="2305" t="s">
        <v>2172</v>
      </c>
      <c r="D41" s="2305" t="s">
        <v>2172</v>
      </c>
      <c r="E41" s="2305" t="s">
        <v>2172</v>
      </c>
      <c r="F41" s="2305" t="s">
        <v>2172</v>
      </c>
      <c r="G41" s="2305" t="s">
        <v>2172</v>
      </c>
      <c r="H41" s="2305" t="s">
        <v>2172</v>
      </c>
      <c r="I41" s="2305" t="s">
        <v>2172</v>
      </c>
      <c r="J41" s="2305" t="s">
        <v>2172</v>
      </c>
      <c r="K41" s="2305" t="s">
        <v>2172</v>
      </c>
      <c r="L41" s="2305" t="s">
        <v>2172</v>
      </c>
      <c r="M41" s="2305" t="s">
        <v>2172</v>
      </c>
      <c r="N41" s="2305" t="s">
        <v>2172</v>
      </c>
      <c r="O41" s="2305" t="s">
        <v>2172</v>
      </c>
      <c r="P41" s="2305" t="s">
        <v>2172</v>
      </c>
      <c r="Q41" s="2305" t="s">
        <v>2172</v>
      </c>
      <c r="R41" s="2305" t="s">
        <v>2172</v>
      </c>
    </row>
    <row r="42" spans="1:19" ht="11.25" customHeight="1">
      <c r="A42" s="255" t="s">
        <v>1636</v>
      </c>
      <c r="B42" s="659"/>
      <c r="C42" s="2305" t="s">
        <v>2172</v>
      </c>
      <c r="D42" s="2305" t="s">
        <v>2172</v>
      </c>
      <c r="E42" s="2305" t="s">
        <v>2172</v>
      </c>
      <c r="F42" s="2305" t="s">
        <v>2172</v>
      </c>
      <c r="G42" s="2305" t="s">
        <v>2172</v>
      </c>
      <c r="H42" s="2305" t="s">
        <v>2172</v>
      </c>
      <c r="I42" s="2305" t="s">
        <v>2172</v>
      </c>
      <c r="J42" s="2305" t="s">
        <v>2172</v>
      </c>
      <c r="K42" s="2305" t="s">
        <v>2172</v>
      </c>
      <c r="L42" s="2305" t="s">
        <v>2172</v>
      </c>
      <c r="M42" s="2305" t="s">
        <v>2172</v>
      </c>
      <c r="N42" s="2305" t="s">
        <v>2172</v>
      </c>
      <c r="O42" s="2305" t="s">
        <v>2172</v>
      </c>
      <c r="P42" s="2305" t="s">
        <v>2172</v>
      </c>
      <c r="Q42" s="2305" t="s">
        <v>2172</v>
      </c>
      <c r="R42" s="2305" t="s">
        <v>2172</v>
      </c>
      <c r="S42" s="373"/>
    </row>
    <row r="43" spans="1:19" ht="15.75" customHeight="1">
      <c r="A43" s="255" t="s">
        <v>440</v>
      </c>
      <c r="B43" s="659"/>
      <c r="C43" s="2305" t="s">
        <v>2172</v>
      </c>
      <c r="D43" s="2305" t="s">
        <v>2172</v>
      </c>
      <c r="E43" s="2305" t="s">
        <v>2172</v>
      </c>
      <c r="F43" s="2305" t="s">
        <v>2172</v>
      </c>
      <c r="G43" s="2305" t="s">
        <v>2172</v>
      </c>
      <c r="H43" s="2305" t="s">
        <v>2172</v>
      </c>
      <c r="I43" s="2305" t="s">
        <v>2172</v>
      </c>
      <c r="J43" s="2305" t="s">
        <v>2172</v>
      </c>
      <c r="K43" s="2305" t="s">
        <v>2172</v>
      </c>
      <c r="L43" s="2305" t="s">
        <v>2172</v>
      </c>
      <c r="M43" s="2305" t="s">
        <v>2172</v>
      </c>
      <c r="N43" s="2305" t="s">
        <v>2172</v>
      </c>
      <c r="O43" s="2305" t="s">
        <v>2172</v>
      </c>
      <c r="P43" s="2305" t="s">
        <v>2172</v>
      </c>
      <c r="Q43" s="2305" t="s">
        <v>2172</v>
      </c>
      <c r="R43" s="2305" t="s">
        <v>2172</v>
      </c>
      <c r="S43" s="373"/>
    </row>
    <row r="44" spans="1:19" ht="11.25" customHeight="1">
      <c r="A44" s="255" t="s">
        <v>550</v>
      </c>
      <c r="B44" s="659"/>
      <c r="C44" s="2305" t="s">
        <v>2172</v>
      </c>
      <c r="D44" s="2305" t="s">
        <v>2172</v>
      </c>
      <c r="E44" s="2305" t="s">
        <v>2172</v>
      </c>
      <c r="F44" s="2305" t="s">
        <v>2172</v>
      </c>
      <c r="G44" s="2305" t="s">
        <v>2172</v>
      </c>
      <c r="H44" s="2305" t="s">
        <v>2172</v>
      </c>
      <c r="I44" s="2305" t="s">
        <v>2172</v>
      </c>
      <c r="J44" s="2305" t="s">
        <v>2172</v>
      </c>
      <c r="K44" s="2305" t="s">
        <v>2172</v>
      </c>
      <c r="L44" s="2305" t="s">
        <v>2172</v>
      </c>
      <c r="M44" s="2305" t="s">
        <v>2172</v>
      </c>
      <c r="N44" s="2305" t="s">
        <v>2172</v>
      </c>
      <c r="O44" s="2305" t="s">
        <v>2172</v>
      </c>
      <c r="P44" s="2305" t="s">
        <v>2172</v>
      </c>
      <c r="Q44" s="2305" t="s">
        <v>2172</v>
      </c>
      <c r="R44" s="2305" t="s">
        <v>2172</v>
      </c>
      <c r="S44" s="373"/>
    </row>
    <row r="45" spans="1:19" ht="11.25" customHeight="1">
      <c r="A45" s="255" t="s">
        <v>551</v>
      </c>
      <c r="B45" s="659"/>
      <c r="C45" s="2305" t="s">
        <v>2172</v>
      </c>
      <c r="D45" s="2305" t="s">
        <v>2172</v>
      </c>
      <c r="E45" s="2305" t="s">
        <v>2172</v>
      </c>
      <c r="F45" s="2305" t="s">
        <v>2172</v>
      </c>
      <c r="G45" s="2305" t="s">
        <v>2172</v>
      </c>
      <c r="H45" s="2305" t="s">
        <v>2172</v>
      </c>
      <c r="I45" s="2305" t="s">
        <v>2172</v>
      </c>
      <c r="J45" s="2305" t="s">
        <v>2172</v>
      </c>
      <c r="K45" s="2305" t="s">
        <v>2172</v>
      </c>
      <c r="L45" s="2305" t="s">
        <v>2172</v>
      </c>
      <c r="M45" s="2305" t="s">
        <v>2172</v>
      </c>
      <c r="N45" s="2305" t="s">
        <v>2172</v>
      </c>
      <c r="O45" s="2305" t="s">
        <v>2172</v>
      </c>
      <c r="P45" s="2305" t="s">
        <v>2172</v>
      </c>
      <c r="Q45" s="2305" t="s">
        <v>2172</v>
      </c>
      <c r="R45" s="2305" t="s">
        <v>2172</v>
      </c>
      <c r="S45" s="373"/>
    </row>
    <row r="46" spans="1:19" ht="11.25" customHeight="1">
      <c r="A46" s="255" t="s">
        <v>552</v>
      </c>
      <c r="B46" s="659"/>
      <c r="C46" s="2305" t="s">
        <v>2172</v>
      </c>
      <c r="D46" s="2305" t="s">
        <v>2172</v>
      </c>
      <c r="E46" s="2305" t="s">
        <v>2172</v>
      </c>
      <c r="F46" s="2305" t="s">
        <v>2172</v>
      </c>
      <c r="G46" s="2305" t="s">
        <v>2172</v>
      </c>
      <c r="H46" s="2305" t="s">
        <v>2172</v>
      </c>
      <c r="I46" s="2305" t="s">
        <v>2172</v>
      </c>
      <c r="J46" s="2305" t="s">
        <v>2172</v>
      </c>
      <c r="K46" s="2305" t="s">
        <v>2172</v>
      </c>
      <c r="L46" s="2305" t="s">
        <v>2172</v>
      </c>
      <c r="M46" s="2305" t="s">
        <v>2172</v>
      </c>
      <c r="N46" s="2305" t="s">
        <v>2172</v>
      </c>
      <c r="O46" s="2305" t="s">
        <v>2172</v>
      </c>
      <c r="P46" s="2305" t="s">
        <v>2172</v>
      </c>
      <c r="Q46" s="2305" t="s">
        <v>2172</v>
      </c>
      <c r="R46" s="2305" t="s">
        <v>2172</v>
      </c>
      <c r="S46" s="373"/>
    </row>
    <row r="47" spans="1:19" ht="11.25" customHeight="1">
      <c r="A47" s="255" t="s">
        <v>1635</v>
      </c>
      <c r="B47" s="659"/>
      <c r="C47" s="2305" t="s">
        <v>2172</v>
      </c>
      <c r="D47" s="2305" t="s">
        <v>2172</v>
      </c>
      <c r="E47" s="2305" t="s">
        <v>2172</v>
      </c>
      <c r="F47" s="2305" t="s">
        <v>2172</v>
      </c>
      <c r="G47" s="2305" t="s">
        <v>2172</v>
      </c>
      <c r="H47" s="2305" t="s">
        <v>2172</v>
      </c>
      <c r="I47" s="2305" t="s">
        <v>2172</v>
      </c>
      <c r="J47" s="2305" t="s">
        <v>2172</v>
      </c>
      <c r="K47" s="2305" t="s">
        <v>2172</v>
      </c>
      <c r="L47" s="2305" t="s">
        <v>2172</v>
      </c>
      <c r="M47" s="2305" t="s">
        <v>2172</v>
      </c>
      <c r="N47" s="2305" t="s">
        <v>2172</v>
      </c>
      <c r="O47" s="2305" t="s">
        <v>2172</v>
      </c>
      <c r="P47" s="2305" t="s">
        <v>2172</v>
      </c>
      <c r="Q47" s="2305" t="s">
        <v>2172</v>
      </c>
      <c r="R47" s="2305" t="s">
        <v>2172</v>
      </c>
      <c r="S47" s="373"/>
    </row>
    <row r="48" spans="1:19" ht="11.25" customHeight="1">
      <c r="A48" s="663" t="s">
        <v>699</v>
      </c>
      <c r="B48" s="652"/>
      <c r="C48" s="661"/>
      <c r="D48" s="661"/>
      <c r="E48" s="661"/>
      <c r="F48" s="661"/>
      <c r="G48" s="661"/>
      <c r="H48" s="661"/>
      <c r="I48" s="661"/>
      <c r="J48" s="661"/>
      <c r="K48" s="661"/>
      <c r="L48" s="661"/>
      <c r="M48" s="661"/>
      <c r="N48" s="661"/>
      <c r="O48" s="661"/>
      <c r="P48" s="661"/>
      <c r="Q48" s="661"/>
      <c r="R48" s="662"/>
      <c r="S48" s="373"/>
    </row>
    <row r="49" spans="1:18" ht="5.0999999999999996" customHeight="1">
      <c r="A49" s="664"/>
      <c r="B49" s="401"/>
      <c r="C49" s="642"/>
      <c r="D49" s="642"/>
      <c r="E49" s="642"/>
      <c r="F49" s="642"/>
      <c r="G49" s="642"/>
      <c r="H49" s="642"/>
      <c r="I49" s="642"/>
      <c r="J49" s="642"/>
      <c r="K49" s="642"/>
      <c r="L49" s="642"/>
      <c r="M49" s="642"/>
      <c r="N49" s="642"/>
      <c r="O49" s="642"/>
      <c r="P49" s="642"/>
      <c r="Q49" s="642"/>
      <c r="R49" s="643"/>
    </row>
    <row r="50" spans="1:18" s="722" customFormat="1">
      <c r="A50" s="1305" t="str">
        <f>head27a</f>
        <v>References</v>
      </c>
      <c r="B50" s="1103"/>
      <c r="C50" s="1069"/>
      <c r="D50" s="1069"/>
      <c r="E50" s="1069"/>
      <c r="F50" s="1069"/>
      <c r="G50" s="1069"/>
      <c r="H50" s="1069"/>
      <c r="I50" s="1069"/>
      <c r="J50" s="1069"/>
      <c r="K50" s="1069"/>
      <c r="L50" s="1069"/>
      <c r="M50" s="1069"/>
      <c r="N50" s="1069"/>
      <c r="O50" s="1069"/>
      <c r="P50" s="1069"/>
      <c r="Q50" s="1069"/>
      <c r="R50" s="1069"/>
    </row>
    <row r="51" spans="1:18" s="722" customFormat="1">
      <c r="A51" s="1460" t="s">
        <v>562</v>
      </c>
      <c r="B51" s="1103"/>
      <c r="C51" s="1069"/>
      <c r="D51" s="1069"/>
      <c r="E51" s="1069"/>
      <c r="F51" s="1069"/>
      <c r="G51" s="1069"/>
      <c r="H51" s="1069"/>
      <c r="I51" s="1069"/>
      <c r="J51" s="1069"/>
      <c r="K51" s="1069"/>
      <c r="L51" s="1069"/>
      <c r="M51" s="1069"/>
      <c r="N51" s="1069"/>
      <c r="O51" s="1069"/>
      <c r="P51" s="1069"/>
      <c r="Q51" s="1069"/>
      <c r="R51" s="1069"/>
    </row>
    <row r="52" spans="1:18" s="722" customFormat="1">
      <c r="A52" s="1460" t="s">
        <v>563</v>
      </c>
      <c r="B52" s="1103"/>
      <c r="C52" s="1069"/>
      <c r="D52" s="1069"/>
      <c r="E52" s="1069"/>
      <c r="F52" s="1069"/>
      <c r="G52" s="1069"/>
      <c r="H52" s="1069"/>
      <c r="I52" s="1069"/>
      <c r="J52" s="1069"/>
      <c r="K52" s="1069"/>
      <c r="L52" s="1069"/>
      <c r="M52" s="1069"/>
      <c r="N52" s="1069"/>
      <c r="O52" s="1069"/>
      <c r="P52" s="1069"/>
      <c r="Q52" s="1069"/>
      <c r="R52" s="1069"/>
    </row>
    <row r="53" spans="1:18" s="722" customFormat="1">
      <c r="A53" s="1306" t="s">
        <v>564</v>
      </c>
      <c r="B53" s="1103"/>
      <c r="C53" s="1069"/>
      <c r="D53" s="1069"/>
      <c r="E53" s="1069"/>
      <c r="F53" s="1069"/>
      <c r="G53" s="1069"/>
      <c r="H53" s="1069"/>
      <c r="I53" s="1069"/>
      <c r="J53" s="1069"/>
      <c r="K53" s="1069"/>
      <c r="L53" s="1069"/>
      <c r="M53" s="1069"/>
      <c r="N53" s="1069"/>
      <c r="O53" s="1069"/>
      <c r="P53" s="1069"/>
      <c r="Q53" s="1069"/>
      <c r="R53" s="1069"/>
    </row>
    <row r="54" spans="1:18" s="722" customFormat="1">
      <c r="A54" s="1460" t="s">
        <v>565</v>
      </c>
      <c r="B54" s="1103"/>
      <c r="C54" s="1069"/>
      <c r="D54" s="1069"/>
      <c r="E54" s="1069"/>
      <c r="F54" s="1069"/>
      <c r="G54" s="1069"/>
      <c r="H54" s="1069"/>
      <c r="I54" s="1069"/>
      <c r="J54" s="1069"/>
      <c r="K54" s="1069"/>
      <c r="L54" s="1069"/>
      <c r="M54" s="1069"/>
      <c r="N54" s="1069"/>
      <c r="O54" s="1069"/>
      <c r="P54" s="1069"/>
      <c r="Q54" s="1069"/>
      <c r="R54" s="1069"/>
    </row>
    <row r="55" spans="1:18" s="722" customFormat="1">
      <c r="A55" s="1238" t="s">
        <v>1751</v>
      </c>
      <c r="B55" s="1103"/>
      <c r="C55" s="1069"/>
      <c r="D55" s="1069"/>
      <c r="E55" s="1069"/>
      <c r="F55" s="1069"/>
      <c r="G55" s="1069"/>
      <c r="H55" s="1069"/>
      <c r="I55" s="1069"/>
      <c r="J55" s="1069"/>
      <c r="K55" s="1069"/>
      <c r="L55" s="1069"/>
      <c r="M55" s="1069"/>
      <c r="N55" s="1069"/>
      <c r="O55" s="1069"/>
      <c r="P55" s="1069"/>
      <c r="Q55" s="1069"/>
      <c r="R55" s="1069"/>
    </row>
    <row r="56" spans="1:18" s="722" customFormat="1">
      <c r="A56" s="1238" t="s">
        <v>1753</v>
      </c>
      <c r="B56" s="1103"/>
      <c r="C56" s="1069"/>
      <c r="D56" s="1069"/>
      <c r="E56" s="1069"/>
      <c r="F56" s="1069"/>
      <c r="G56" s="1069"/>
      <c r="H56" s="1069"/>
      <c r="I56" s="1069"/>
      <c r="J56" s="1069"/>
      <c r="K56" s="1069"/>
      <c r="L56" s="1069"/>
      <c r="M56" s="1069"/>
      <c r="N56" s="1069"/>
      <c r="O56" s="1069"/>
      <c r="P56" s="1069"/>
      <c r="Q56" s="1069"/>
      <c r="R56" s="1069"/>
    </row>
    <row r="57" spans="1:18" ht="15.75" customHeight="1">
      <c r="A57" s="646" t="str">
        <f>muni&amp;" - "&amp;TableA12</f>
        <v>KZN225 Msunduzi - Supporting Table SA12 Property rates by category (current year)</v>
      </c>
      <c r="B57" s="646"/>
      <c r="C57" s="148"/>
      <c r="D57" s="148"/>
      <c r="E57" s="148"/>
      <c r="F57" s="148"/>
      <c r="G57" s="148"/>
      <c r="H57" s="148"/>
      <c r="I57" s="148"/>
      <c r="J57" s="148"/>
      <c r="K57" s="148"/>
      <c r="L57" s="148"/>
      <c r="M57" s="148"/>
      <c r="N57" s="148"/>
      <c r="O57" s="148"/>
      <c r="P57" s="148"/>
      <c r="Q57" s="148"/>
      <c r="R57" s="148"/>
    </row>
    <row r="58" spans="1:18" ht="38.25" customHeight="1">
      <c r="A58" s="647" t="str">
        <f>A2</f>
        <v>Description</v>
      </c>
      <c r="B58" s="648" t="str">
        <f t="shared" ref="B58:R58" si="0">B2</f>
        <v>Ref</v>
      </c>
      <c r="C58" s="527" t="str">
        <f t="shared" si="0"/>
        <v>Resi.</v>
      </c>
      <c r="D58" s="527" t="str">
        <f t="shared" si="0"/>
        <v>Indust.</v>
      </c>
      <c r="E58" s="527" t="str">
        <f t="shared" si="0"/>
        <v>Bus. &amp; Comm.</v>
      </c>
      <c r="F58" s="527" t="str">
        <f t="shared" si="0"/>
        <v>Farm props.</v>
      </c>
      <c r="G58" s="527" t="str">
        <f t="shared" si="0"/>
        <v xml:space="preserve">State-owned </v>
      </c>
      <c r="H58" s="527" t="str">
        <f t="shared" si="0"/>
        <v>Muni props.</v>
      </c>
      <c r="I58" s="527" t="str">
        <f t="shared" si="0"/>
        <v>Public service infra.</v>
      </c>
      <c r="J58" s="527" t="str">
        <f t="shared" si="0"/>
        <v>Private owned towns</v>
      </c>
      <c r="K58" s="527" t="str">
        <f t="shared" si="0"/>
        <v>Formal &amp; Informal Settle.</v>
      </c>
      <c r="L58" s="527" t="str">
        <f t="shared" si="0"/>
        <v>Comm. Land</v>
      </c>
      <c r="M58" s="527" t="str">
        <f t="shared" si="0"/>
        <v>State trust land</v>
      </c>
      <c r="N58" s="527" t="str">
        <f t="shared" si="0"/>
        <v>Section 8(2)(n) (note 1)</v>
      </c>
      <c r="O58" s="527" t="str">
        <f t="shared" si="0"/>
        <v>Protect. Areas</v>
      </c>
      <c r="P58" s="527" t="str">
        <f t="shared" si="0"/>
        <v>National Monum/ts</v>
      </c>
      <c r="Q58" s="527" t="str">
        <f t="shared" si="0"/>
        <v>Public benefit organs.</v>
      </c>
      <c r="R58" s="649" t="str">
        <f t="shared" si="0"/>
        <v>Mining Props.</v>
      </c>
    </row>
    <row r="59" spans="1:18" ht="11.25" customHeight="1">
      <c r="A59" s="250" t="str">
        <f>Head2</f>
        <v>Current Year 2010/11</v>
      </c>
      <c r="B59" s="183"/>
      <c r="C59" s="650"/>
      <c r="D59" s="650"/>
      <c r="E59" s="650"/>
      <c r="F59" s="650"/>
      <c r="G59" s="650"/>
      <c r="H59" s="650"/>
      <c r="I59" s="650"/>
      <c r="J59" s="650"/>
      <c r="K59" s="650"/>
      <c r="L59" s="650"/>
      <c r="M59" s="650"/>
      <c r="N59" s="650"/>
      <c r="O59" s="650"/>
      <c r="P59" s="650"/>
      <c r="Q59" s="650"/>
      <c r="R59" s="651"/>
    </row>
    <row r="60" spans="1:18" ht="11.25" customHeight="1">
      <c r="A60" s="250" t="str">
        <f t="shared" ref="A60:A71" si="1">A4</f>
        <v>Valuation:</v>
      </c>
      <c r="B60" s="183"/>
      <c r="C60" s="650"/>
      <c r="D60" s="650"/>
      <c r="E60" s="650"/>
      <c r="F60" s="650"/>
      <c r="G60" s="650"/>
      <c r="H60" s="650"/>
      <c r="I60" s="650"/>
      <c r="J60" s="650"/>
      <c r="K60" s="650"/>
      <c r="L60" s="650"/>
      <c r="M60" s="650"/>
      <c r="N60" s="650"/>
      <c r="O60" s="650"/>
      <c r="P60" s="650"/>
      <c r="Q60" s="650"/>
      <c r="R60" s="651"/>
    </row>
    <row r="61" spans="1:18" ht="11.25" customHeight="1">
      <c r="A61" s="251" t="str">
        <f t="shared" si="1"/>
        <v>No. of properties</v>
      </c>
      <c r="B61" s="183"/>
      <c r="C61" s="1763">
        <v>59862</v>
      </c>
      <c r="D61" s="1763">
        <v>600</v>
      </c>
      <c r="E61" s="1763">
        <v>2345</v>
      </c>
      <c r="F61" s="1763">
        <v>471</v>
      </c>
      <c r="G61" s="1763">
        <v>11935</v>
      </c>
      <c r="H61" s="1763">
        <v>6300</v>
      </c>
      <c r="I61" s="1763">
        <v>1934</v>
      </c>
      <c r="J61" s="1763"/>
      <c r="K61" s="1763"/>
      <c r="L61" s="1763"/>
      <c r="M61" s="1763">
        <v>1</v>
      </c>
      <c r="N61" s="1763"/>
      <c r="O61" s="1763"/>
      <c r="P61" s="1763"/>
      <c r="Q61" s="1763"/>
      <c r="R61" s="1970">
        <v>3</v>
      </c>
    </row>
    <row r="62" spans="1:18" ht="11.25" customHeight="1">
      <c r="A62" s="251" t="str">
        <f t="shared" si="1"/>
        <v>No. of sectional title property values</v>
      </c>
      <c r="B62" s="183"/>
      <c r="C62" s="1763">
        <v>8299</v>
      </c>
      <c r="D62" s="1763"/>
      <c r="E62" s="1763"/>
      <c r="F62" s="1763" t="s">
        <v>2245</v>
      </c>
      <c r="G62" s="1763" t="s">
        <v>2245</v>
      </c>
      <c r="H62" s="1763" t="s">
        <v>2245</v>
      </c>
      <c r="I62" s="1763" t="s">
        <v>2245</v>
      </c>
      <c r="J62" s="1763" t="s">
        <v>2245</v>
      </c>
      <c r="K62" s="1763" t="s">
        <v>2245</v>
      </c>
      <c r="L62" s="1763" t="s">
        <v>2245</v>
      </c>
      <c r="M62" s="1763" t="s">
        <v>2245</v>
      </c>
      <c r="N62" s="1763" t="s">
        <v>2245</v>
      </c>
      <c r="O62" s="1763" t="s">
        <v>2245</v>
      </c>
      <c r="P62" s="1763" t="s">
        <v>2245</v>
      </c>
      <c r="Q62" s="1763" t="s">
        <v>2245</v>
      </c>
      <c r="R62" s="1970" t="s">
        <v>2245</v>
      </c>
    </row>
    <row r="63" spans="1:18" ht="11.25" customHeight="1">
      <c r="A63" s="251" t="str">
        <f t="shared" si="1"/>
        <v>No. of unreasonably difficult properties s7(2)</v>
      </c>
      <c r="B63" s="183"/>
      <c r="C63" s="1763" t="s">
        <v>2245</v>
      </c>
      <c r="D63" s="1763" t="s">
        <v>2245</v>
      </c>
      <c r="E63" s="1763" t="s">
        <v>2245</v>
      </c>
      <c r="F63" s="1763" t="s">
        <v>2245</v>
      </c>
      <c r="G63" s="1763" t="s">
        <v>2245</v>
      </c>
      <c r="H63" s="1763" t="s">
        <v>2245</v>
      </c>
      <c r="I63" s="1763" t="s">
        <v>2245</v>
      </c>
      <c r="J63" s="1763" t="s">
        <v>2245</v>
      </c>
      <c r="K63" s="1763" t="s">
        <v>2245</v>
      </c>
      <c r="L63" s="1763" t="s">
        <v>2245</v>
      </c>
      <c r="M63" s="1763" t="s">
        <v>2245</v>
      </c>
      <c r="N63" s="1763" t="s">
        <v>2245</v>
      </c>
      <c r="O63" s="1763" t="s">
        <v>2245</v>
      </c>
      <c r="P63" s="1763" t="s">
        <v>2245</v>
      </c>
      <c r="Q63" s="1763" t="s">
        <v>2245</v>
      </c>
      <c r="R63" s="1970" t="s">
        <v>2245</v>
      </c>
    </row>
    <row r="64" spans="1:18" ht="11.25" customHeight="1">
      <c r="A64" s="251" t="str">
        <f t="shared" si="1"/>
        <v>No. of supplementary valuations</v>
      </c>
      <c r="B64" s="183"/>
      <c r="C64" s="1763"/>
      <c r="D64" s="1763"/>
      <c r="E64" s="1763"/>
      <c r="F64" s="1763"/>
      <c r="G64" s="1763"/>
      <c r="H64" s="1763"/>
      <c r="I64" s="1763"/>
      <c r="J64" s="1763"/>
      <c r="K64" s="1763"/>
      <c r="L64" s="1763"/>
      <c r="M64" s="1763"/>
      <c r="N64" s="1763"/>
      <c r="O64" s="1763"/>
      <c r="P64" s="1763"/>
      <c r="Q64" s="1763"/>
      <c r="R64" s="1970"/>
    </row>
    <row r="65" spans="1:18" ht="11.25" customHeight="1">
      <c r="A65" s="251" t="str">
        <f t="shared" si="1"/>
        <v>Supplementary valuation (Rm)</v>
      </c>
      <c r="B65" s="183"/>
      <c r="C65" s="1763"/>
      <c r="D65" s="1763"/>
      <c r="E65" s="1763"/>
      <c r="F65" s="1763"/>
      <c r="G65" s="1763"/>
      <c r="H65" s="1763"/>
      <c r="I65" s="1763"/>
      <c r="J65" s="1763"/>
      <c r="K65" s="1763"/>
      <c r="L65" s="1763"/>
      <c r="M65" s="1763"/>
      <c r="N65" s="1763"/>
      <c r="O65" s="1763"/>
      <c r="P65" s="1763"/>
      <c r="Q65" s="1763"/>
      <c r="R65" s="1970"/>
    </row>
    <row r="66" spans="1:18" ht="11.25" customHeight="1">
      <c r="A66" s="251" t="str">
        <f t="shared" si="1"/>
        <v>No. of valuation roll amendments</v>
      </c>
      <c r="B66" s="183"/>
      <c r="C66" s="1763"/>
      <c r="D66" s="1763"/>
      <c r="E66" s="1763"/>
      <c r="F66" s="1763"/>
      <c r="G66" s="1763"/>
      <c r="H66" s="1763"/>
      <c r="I66" s="1763"/>
      <c r="J66" s="1763"/>
      <c r="K66" s="1763"/>
      <c r="L66" s="1763"/>
      <c r="M66" s="1763"/>
      <c r="N66" s="1763"/>
      <c r="O66" s="1763"/>
      <c r="P66" s="1763"/>
      <c r="Q66" s="1763"/>
      <c r="R66" s="1970"/>
    </row>
    <row r="67" spans="1:18" ht="11.25" customHeight="1">
      <c r="A67" s="251" t="str">
        <f t="shared" si="1"/>
        <v>No. of objections by rate-payers</v>
      </c>
      <c r="B67" s="183"/>
      <c r="C67" s="1763">
        <v>13</v>
      </c>
      <c r="D67" s="1763">
        <v>0</v>
      </c>
      <c r="E67" s="1763">
        <v>8</v>
      </c>
      <c r="F67" s="1763">
        <v>0</v>
      </c>
      <c r="G67" s="1763">
        <v>0</v>
      </c>
      <c r="H67" s="1763">
        <v>0</v>
      </c>
      <c r="I67" s="1763">
        <v>0</v>
      </c>
      <c r="J67" s="1763">
        <v>0</v>
      </c>
      <c r="K67" s="1763">
        <v>0</v>
      </c>
      <c r="L67" s="1763">
        <v>0</v>
      </c>
      <c r="M67" s="1763">
        <v>0</v>
      </c>
      <c r="N67" s="1763">
        <v>0</v>
      </c>
      <c r="O67" s="1763">
        <v>0</v>
      </c>
      <c r="P67" s="1763">
        <v>0</v>
      </c>
      <c r="Q67" s="1763">
        <v>0</v>
      </c>
      <c r="R67" s="1970">
        <v>0</v>
      </c>
    </row>
    <row r="68" spans="1:18" ht="11.25" customHeight="1">
      <c r="A68" s="251" t="str">
        <f t="shared" si="1"/>
        <v>No. of appeals by rate-payers</v>
      </c>
      <c r="B68" s="183"/>
      <c r="C68" s="1763">
        <v>0</v>
      </c>
      <c r="D68" s="1763">
        <v>0</v>
      </c>
      <c r="E68" s="1763">
        <v>0</v>
      </c>
      <c r="F68" s="1763">
        <v>0</v>
      </c>
      <c r="G68" s="1763">
        <v>0</v>
      </c>
      <c r="H68" s="1763">
        <v>0</v>
      </c>
      <c r="I68" s="1763">
        <v>0</v>
      </c>
      <c r="J68" s="1763">
        <v>0</v>
      </c>
      <c r="K68" s="1763">
        <v>0</v>
      </c>
      <c r="L68" s="1763">
        <v>0</v>
      </c>
      <c r="M68" s="1763">
        <v>0</v>
      </c>
      <c r="N68" s="1763">
        <v>0</v>
      </c>
      <c r="O68" s="1763">
        <v>0</v>
      </c>
      <c r="P68" s="1763">
        <v>0</v>
      </c>
      <c r="Q68" s="1763">
        <v>0</v>
      </c>
      <c r="R68" s="1970">
        <v>0</v>
      </c>
    </row>
    <row r="69" spans="1:18" ht="11.25" customHeight="1">
      <c r="A69" s="251" t="str">
        <f t="shared" si="1"/>
        <v>No. of appeals by rate-payers finalised</v>
      </c>
      <c r="B69" s="183"/>
      <c r="C69" s="1763" t="s">
        <v>2249</v>
      </c>
      <c r="D69" s="1763" t="s">
        <v>2249</v>
      </c>
      <c r="E69" s="1763" t="s">
        <v>2249</v>
      </c>
      <c r="F69" s="1763" t="s">
        <v>2249</v>
      </c>
      <c r="G69" s="1763" t="s">
        <v>2249</v>
      </c>
      <c r="H69" s="1763" t="s">
        <v>2249</v>
      </c>
      <c r="I69" s="1763" t="s">
        <v>2249</v>
      </c>
      <c r="J69" s="1763" t="s">
        <v>2249</v>
      </c>
      <c r="K69" s="1763" t="s">
        <v>2249</v>
      </c>
      <c r="L69" s="1763" t="s">
        <v>2249</v>
      </c>
      <c r="M69" s="1763" t="s">
        <v>2249</v>
      </c>
      <c r="N69" s="1763" t="s">
        <v>2249</v>
      </c>
      <c r="O69" s="1763" t="s">
        <v>2249</v>
      </c>
      <c r="P69" s="1763" t="s">
        <v>2249</v>
      </c>
      <c r="Q69" s="1763" t="s">
        <v>2249</v>
      </c>
      <c r="R69" s="1970" t="s">
        <v>2249</v>
      </c>
    </row>
    <row r="70" spans="1:18" ht="11.25" customHeight="1">
      <c r="A70" s="251" t="str">
        <f t="shared" si="1"/>
        <v>No. of successful objections</v>
      </c>
      <c r="B70" s="183">
        <v>5</v>
      </c>
      <c r="C70" s="1763" t="s">
        <v>2250</v>
      </c>
      <c r="D70" s="1763" t="s">
        <v>2250</v>
      </c>
      <c r="E70" s="1763" t="s">
        <v>2250</v>
      </c>
      <c r="F70" s="1763" t="s">
        <v>2250</v>
      </c>
      <c r="G70" s="1763" t="s">
        <v>2250</v>
      </c>
      <c r="H70" s="1763" t="s">
        <v>2250</v>
      </c>
      <c r="I70" s="1763" t="s">
        <v>2250</v>
      </c>
      <c r="J70" s="1763" t="s">
        <v>2250</v>
      </c>
      <c r="K70" s="1763" t="s">
        <v>2250</v>
      </c>
      <c r="L70" s="1763" t="s">
        <v>2250</v>
      </c>
      <c r="M70" s="1763" t="s">
        <v>2250</v>
      </c>
      <c r="N70" s="1763" t="s">
        <v>2250</v>
      </c>
      <c r="O70" s="1763" t="s">
        <v>2250</v>
      </c>
      <c r="P70" s="1763" t="s">
        <v>2250</v>
      </c>
      <c r="Q70" s="1763" t="s">
        <v>2250</v>
      </c>
      <c r="R70" s="1763" t="s">
        <v>2250</v>
      </c>
    </row>
    <row r="71" spans="1:18" ht="11.25" customHeight="1">
      <c r="A71" s="251" t="str">
        <f t="shared" si="1"/>
        <v>No. of successful objections &gt; 10%</v>
      </c>
      <c r="B71" s="183">
        <v>5</v>
      </c>
      <c r="C71" s="1763" t="s">
        <v>2250</v>
      </c>
      <c r="D71" s="1763" t="s">
        <v>2250</v>
      </c>
      <c r="E71" s="1763" t="s">
        <v>2250</v>
      </c>
      <c r="F71" s="1763" t="s">
        <v>2250</v>
      </c>
      <c r="G71" s="1763" t="s">
        <v>2250</v>
      </c>
      <c r="H71" s="1763" t="s">
        <v>2250</v>
      </c>
      <c r="I71" s="1763" t="s">
        <v>2250</v>
      </c>
      <c r="J71" s="1763" t="s">
        <v>2250</v>
      </c>
      <c r="K71" s="1763" t="s">
        <v>2250</v>
      </c>
      <c r="L71" s="1763" t="s">
        <v>2250</v>
      </c>
      <c r="M71" s="1763" t="s">
        <v>2250</v>
      </c>
      <c r="N71" s="1763" t="s">
        <v>2250</v>
      </c>
      <c r="O71" s="1763" t="s">
        <v>2250</v>
      </c>
      <c r="P71" s="1763" t="s">
        <v>2250</v>
      </c>
      <c r="Q71" s="1763" t="s">
        <v>2250</v>
      </c>
      <c r="R71" s="1763" t="s">
        <v>2250</v>
      </c>
    </row>
    <row r="72" spans="1:18" ht="11.25" customHeight="1">
      <c r="A72" s="255" t="str">
        <f t="shared" ref="A72:A104" si="2">A16</f>
        <v>Estimated no. of properties not valued</v>
      </c>
      <c r="B72" s="351"/>
      <c r="C72" s="1760" t="s">
        <v>2245</v>
      </c>
      <c r="D72" s="1760" t="s">
        <v>2245</v>
      </c>
      <c r="E72" s="1760" t="s">
        <v>2245</v>
      </c>
      <c r="F72" s="1760" t="s">
        <v>2245</v>
      </c>
      <c r="G72" s="1760" t="s">
        <v>2245</v>
      </c>
      <c r="H72" s="1760" t="s">
        <v>2245</v>
      </c>
      <c r="I72" s="1767" t="s">
        <v>2245</v>
      </c>
      <c r="J72" s="1760" t="s">
        <v>2245</v>
      </c>
      <c r="K72" s="1760" t="s">
        <v>2245</v>
      </c>
      <c r="L72" s="1760" t="s">
        <v>2245</v>
      </c>
      <c r="M72" s="1760" t="s">
        <v>2245</v>
      </c>
      <c r="N72" s="1760" t="s">
        <v>2245</v>
      </c>
      <c r="O72" s="1760" t="s">
        <v>2245</v>
      </c>
      <c r="P72" s="1760" t="s">
        <v>2245</v>
      </c>
      <c r="Q72" s="1760" t="s">
        <v>2245</v>
      </c>
      <c r="R72" s="1971" t="s">
        <v>2245</v>
      </c>
    </row>
    <row r="73" spans="1:18" ht="11.25" customHeight="1">
      <c r="A73" s="251" t="str">
        <f t="shared" si="2"/>
        <v>Years since last valuation (select)</v>
      </c>
      <c r="B73" s="183"/>
      <c r="C73" s="1921">
        <v>2</v>
      </c>
      <c r="D73" s="1921">
        <v>2</v>
      </c>
      <c r="E73" s="1921">
        <v>2</v>
      </c>
      <c r="F73" s="1921">
        <v>2</v>
      </c>
      <c r="G73" s="1921">
        <v>2</v>
      </c>
      <c r="H73" s="1921">
        <v>2</v>
      </c>
      <c r="I73" s="1921">
        <v>2</v>
      </c>
      <c r="J73" s="1921">
        <v>2</v>
      </c>
      <c r="K73" s="1921">
        <v>2</v>
      </c>
      <c r="L73" s="1921">
        <v>2</v>
      </c>
      <c r="M73" s="1921">
        <v>2</v>
      </c>
      <c r="N73" s="1921">
        <v>2</v>
      </c>
      <c r="O73" s="1921">
        <v>2</v>
      </c>
      <c r="P73" s="1921">
        <v>2</v>
      </c>
      <c r="Q73" s="1921">
        <v>2</v>
      </c>
      <c r="R73" s="1922">
        <v>2</v>
      </c>
    </row>
    <row r="74" spans="1:18" ht="11.25" customHeight="1">
      <c r="A74" s="251" t="str">
        <f t="shared" si="2"/>
        <v>Frequency of valuation (select)</v>
      </c>
      <c r="B74" s="183"/>
      <c r="C74" s="1972">
        <v>4</v>
      </c>
      <c r="D74" s="1972">
        <v>4</v>
      </c>
      <c r="E74" s="1972">
        <v>4</v>
      </c>
      <c r="F74" s="1972">
        <v>4</v>
      </c>
      <c r="G74" s="1972">
        <v>4</v>
      </c>
      <c r="H74" s="1972">
        <v>4</v>
      </c>
      <c r="I74" s="1972">
        <v>4</v>
      </c>
      <c r="J74" s="1972">
        <v>4</v>
      </c>
      <c r="K74" s="1972">
        <v>4</v>
      </c>
      <c r="L74" s="1972">
        <v>4</v>
      </c>
      <c r="M74" s="1972">
        <v>4</v>
      </c>
      <c r="N74" s="1972">
        <v>4</v>
      </c>
      <c r="O74" s="1972">
        <v>4</v>
      </c>
      <c r="P74" s="1972">
        <v>4</v>
      </c>
      <c r="Q74" s="1972">
        <v>4</v>
      </c>
      <c r="R74" s="1973">
        <v>4</v>
      </c>
    </row>
    <row r="75" spans="1:18" ht="11.25" customHeight="1">
      <c r="A75" s="251" t="str">
        <f t="shared" si="2"/>
        <v>Method of valuation used (select)</v>
      </c>
      <c r="B75" s="183"/>
      <c r="C75" s="1921" t="s">
        <v>165</v>
      </c>
      <c r="D75" s="1921" t="s">
        <v>165</v>
      </c>
      <c r="E75" s="1921" t="s">
        <v>165</v>
      </c>
      <c r="F75" s="1921" t="s">
        <v>165</v>
      </c>
      <c r="G75" s="1921" t="s">
        <v>166</v>
      </c>
      <c r="H75" s="1921" t="s">
        <v>166</v>
      </c>
      <c r="I75" s="1921" t="s">
        <v>166</v>
      </c>
      <c r="J75" s="1921" t="s">
        <v>165</v>
      </c>
      <c r="K75" s="1921" t="s">
        <v>166</v>
      </c>
      <c r="L75" s="1921" t="s">
        <v>166</v>
      </c>
      <c r="M75" s="1921" t="s">
        <v>166</v>
      </c>
      <c r="N75" s="1921" t="s">
        <v>165</v>
      </c>
      <c r="O75" s="1921" t="s">
        <v>165</v>
      </c>
      <c r="P75" s="1921" t="s">
        <v>165</v>
      </c>
      <c r="Q75" s="1921" t="s">
        <v>165</v>
      </c>
      <c r="R75" s="1922" t="s">
        <v>301</v>
      </c>
    </row>
    <row r="76" spans="1:18" ht="11.25" customHeight="1">
      <c r="A76" s="251" t="str">
        <f t="shared" si="2"/>
        <v>Base of valuation (select)</v>
      </c>
      <c r="B76" s="183"/>
      <c r="C76" s="1921" t="s">
        <v>169</v>
      </c>
      <c r="D76" s="1921" t="s">
        <v>169</v>
      </c>
      <c r="E76" s="1921" t="s">
        <v>169</v>
      </c>
      <c r="F76" s="1921" t="s">
        <v>169</v>
      </c>
      <c r="G76" s="1921" t="s">
        <v>169</v>
      </c>
      <c r="H76" s="1921" t="s">
        <v>169</v>
      </c>
      <c r="I76" s="1921" t="s">
        <v>169</v>
      </c>
      <c r="J76" s="1921" t="s">
        <v>169</v>
      </c>
      <c r="K76" s="1921" t="s">
        <v>169</v>
      </c>
      <c r="L76" s="1921" t="s">
        <v>169</v>
      </c>
      <c r="M76" s="1921" t="s">
        <v>169</v>
      </c>
      <c r="N76" s="1921" t="s">
        <v>169</v>
      </c>
      <c r="O76" s="1921" t="s">
        <v>169</v>
      </c>
      <c r="P76" s="1921" t="s">
        <v>169</v>
      </c>
      <c r="Q76" s="1921" t="s">
        <v>169</v>
      </c>
      <c r="R76" s="1922" t="s">
        <v>167</v>
      </c>
    </row>
    <row r="77" spans="1:18" ht="11.25" customHeight="1">
      <c r="A77" s="251" t="str">
        <f t="shared" si="2"/>
        <v>Phasing-in properties s21 (number)</v>
      </c>
      <c r="B77" s="183"/>
      <c r="C77" s="1921"/>
      <c r="D77" s="1921"/>
      <c r="E77" s="1921"/>
      <c r="F77" s="1921"/>
      <c r="G77" s="1921"/>
      <c r="H77" s="1921"/>
      <c r="I77" s="1921"/>
      <c r="J77" s="1921"/>
      <c r="K77" s="1921"/>
      <c r="L77" s="1921"/>
      <c r="M77" s="1921"/>
      <c r="N77" s="1921"/>
      <c r="O77" s="1921"/>
      <c r="P77" s="1921"/>
      <c r="Q77" s="1921"/>
      <c r="R77" s="1922"/>
    </row>
    <row r="78" spans="1:18" ht="11.25" customHeight="1">
      <c r="A78" s="251" t="str">
        <f t="shared" si="2"/>
        <v>Combination of rating types used? (Y/N)</v>
      </c>
      <c r="B78" s="652"/>
      <c r="C78" s="1921" t="s">
        <v>889</v>
      </c>
      <c r="D78" s="1921" t="s">
        <v>889</v>
      </c>
      <c r="E78" s="1921" t="s">
        <v>889</v>
      </c>
      <c r="F78" s="1921" t="s">
        <v>889</v>
      </c>
      <c r="G78" s="1921" t="s">
        <v>889</v>
      </c>
      <c r="H78" s="1921" t="s">
        <v>889</v>
      </c>
      <c r="I78" s="1921" t="s">
        <v>889</v>
      </c>
      <c r="J78" s="1921" t="s">
        <v>889</v>
      </c>
      <c r="K78" s="1921" t="s">
        <v>889</v>
      </c>
      <c r="L78" s="1921" t="s">
        <v>889</v>
      </c>
      <c r="M78" s="1921" t="s">
        <v>889</v>
      </c>
      <c r="N78" s="1921" t="s">
        <v>889</v>
      </c>
      <c r="O78" s="1921" t="s">
        <v>889</v>
      </c>
      <c r="P78" s="1921" t="s">
        <v>889</v>
      </c>
      <c r="Q78" s="1921" t="s">
        <v>889</v>
      </c>
      <c r="R78" s="1922" t="s">
        <v>889</v>
      </c>
    </row>
    <row r="79" spans="1:18" ht="11.25" customHeight="1">
      <c r="A79" s="251" t="str">
        <f t="shared" si="2"/>
        <v>Flat rate used? (Y/N)</v>
      </c>
      <c r="B79" s="652"/>
      <c r="C79" s="1921" t="s">
        <v>889</v>
      </c>
      <c r="D79" s="1921" t="s">
        <v>889</v>
      </c>
      <c r="E79" s="1921" t="s">
        <v>889</v>
      </c>
      <c r="F79" s="1921" t="s">
        <v>889</v>
      </c>
      <c r="G79" s="1921" t="s">
        <v>889</v>
      </c>
      <c r="H79" s="1921" t="s">
        <v>889</v>
      </c>
      <c r="I79" s="1921" t="s">
        <v>889</v>
      </c>
      <c r="J79" s="1921" t="s">
        <v>889</v>
      </c>
      <c r="K79" s="1921" t="s">
        <v>889</v>
      </c>
      <c r="L79" s="1921" t="s">
        <v>889</v>
      </c>
      <c r="M79" s="1921" t="s">
        <v>889</v>
      </c>
      <c r="N79" s="1921" t="s">
        <v>889</v>
      </c>
      <c r="O79" s="1921" t="s">
        <v>889</v>
      </c>
      <c r="P79" s="1921" t="s">
        <v>889</v>
      </c>
      <c r="Q79" s="1921" t="s">
        <v>889</v>
      </c>
      <c r="R79" s="1922" t="s">
        <v>889</v>
      </c>
    </row>
    <row r="80" spans="1:18" ht="11.25" customHeight="1">
      <c r="A80" s="251" t="str">
        <f t="shared" si="2"/>
        <v>Is balance rated by uniform rate/variable rate?</v>
      </c>
      <c r="B80" s="652"/>
      <c r="C80" s="1921" t="s">
        <v>1176</v>
      </c>
      <c r="D80" s="1921" t="s">
        <v>1176</v>
      </c>
      <c r="E80" s="1921" t="s">
        <v>1176</v>
      </c>
      <c r="F80" s="1921" t="s">
        <v>1176</v>
      </c>
      <c r="G80" s="1921" t="s">
        <v>1176</v>
      </c>
      <c r="H80" s="1921" t="s">
        <v>1176</v>
      </c>
      <c r="I80" s="1921" t="s">
        <v>1176</v>
      </c>
      <c r="J80" s="1921" t="s">
        <v>1176</v>
      </c>
      <c r="K80" s="1921" t="s">
        <v>1176</v>
      </c>
      <c r="L80" s="1921" t="s">
        <v>1176</v>
      </c>
      <c r="M80" s="1921" t="s">
        <v>1176</v>
      </c>
      <c r="N80" s="1921" t="s">
        <v>1176</v>
      </c>
      <c r="O80" s="1921" t="s">
        <v>1176</v>
      </c>
      <c r="P80" s="1921" t="s">
        <v>1176</v>
      </c>
      <c r="Q80" s="1921" t="s">
        <v>1176</v>
      </c>
      <c r="R80" s="1922" t="s">
        <v>1176</v>
      </c>
    </row>
    <row r="81" spans="1:18" ht="11.25" customHeight="1">
      <c r="A81" s="250" t="str">
        <f t="shared" si="2"/>
        <v>Valuation reductions:</v>
      </c>
      <c r="B81" s="183"/>
      <c r="C81" s="612"/>
      <c r="D81" s="612"/>
      <c r="E81" s="612"/>
      <c r="F81" s="612"/>
      <c r="G81" s="612"/>
      <c r="H81" s="612"/>
      <c r="I81" s="612"/>
      <c r="J81" s="612"/>
      <c r="K81" s="612"/>
      <c r="L81" s="612"/>
      <c r="M81" s="612"/>
      <c r="N81" s="612"/>
      <c r="O81" s="612"/>
      <c r="P81" s="612"/>
      <c r="Q81" s="612"/>
      <c r="R81" s="615"/>
    </row>
    <row r="82" spans="1:18" ht="11.25" customHeight="1">
      <c r="A82" s="251" t="str">
        <f t="shared" si="2"/>
        <v>Valuation reductions-public infrastructure (Rm)</v>
      </c>
      <c r="B82" s="183"/>
      <c r="C82" s="1930"/>
      <c r="D82" s="1930"/>
      <c r="E82" s="1930"/>
      <c r="F82" s="1930"/>
      <c r="G82" s="1930"/>
      <c r="H82" s="1930" t="s">
        <v>889</v>
      </c>
      <c r="I82" s="1930"/>
      <c r="J82" s="1930"/>
      <c r="K82" s="1930"/>
      <c r="L82" s="1930"/>
      <c r="M82" s="1930"/>
      <c r="N82" s="1930"/>
      <c r="O82" s="1930"/>
      <c r="P82" s="1930"/>
      <c r="Q82" s="1930"/>
      <c r="R82" s="1933"/>
    </row>
    <row r="83" spans="1:18" ht="11.25" customHeight="1">
      <c r="A83" s="251" t="str">
        <f t="shared" si="2"/>
        <v>Valuation reductions-nature reserves/park (Rm)</v>
      </c>
      <c r="B83" s="183"/>
      <c r="C83" s="1930"/>
      <c r="D83" s="1930"/>
      <c r="E83" s="1930"/>
      <c r="F83" s="1930"/>
      <c r="G83" s="1930"/>
      <c r="H83" s="1930"/>
      <c r="I83" s="1930"/>
      <c r="J83" s="1930"/>
      <c r="K83" s="1930"/>
      <c r="L83" s="1930"/>
      <c r="M83" s="1930"/>
      <c r="N83" s="1930"/>
      <c r="O83" s="1930" t="s">
        <v>889</v>
      </c>
      <c r="P83" s="1930"/>
      <c r="Q83" s="1930"/>
      <c r="R83" s="1933"/>
    </row>
    <row r="84" spans="1:18" ht="11.25" customHeight="1">
      <c r="A84" s="251" t="str">
        <f t="shared" si="2"/>
        <v>Valuation reductions-mineral rights (Rm)</v>
      </c>
      <c r="B84" s="183"/>
      <c r="C84" s="1930"/>
      <c r="D84" s="1930"/>
      <c r="E84" s="1930"/>
      <c r="F84" s="1930"/>
      <c r="G84" s="1930"/>
      <c r="H84" s="1930"/>
      <c r="I84" s="1930"/>
      <c r="J84" s="1930"/>
      <c r="K84" s="1930"/>
      <c r="L84" s="1930"/>
      <c r="M84" s="1930"/>
      <c r="N84" s="1930"/>
      <c r="O84" s="1930"/>
      <c r="P84" s="1930"/>
      <c r="Q84" s="1930"/>
      <c r="R84" s="1933" t="s">
        <v>889</v>
      </c>
    </row>
    <row r="85" spans="1:18" ht="11.25" customHeight="1">
      <c r="A85" s="251" t="str">
        <f t="shared" si="2"/>
        <v>Valuation reductions-R15,000 threshold (Rm)</v>
      </c>
      <c r="B85" s="183"/>
      <c r="C85" s="1930"/>
      <c r="D85" s="1930"/>
      <c r="E85" s="1930"/>
      <c r="F85" s="1930"/>
      <c r="G85" s="1930"/>
      <c r="H85" s="1930"/>
      <c r="I85" s="1930"/>
      <c r="J85" s="1930"/>
      <c r="K85" s="1930"/>
      <c r="L85" s="1930"/>
      <c r="M85" s="1930"/>
      <c r="N85" s="1930"/>
      <c r="O85" s="1930"/>
      <c r="P85" s="1930"/>
      <c r="Q85" s="1930"/>
      <c r="R85" s="1933"/>
    </row>
    <row r="86" spans="1:18" ht="11.25" customHeight="1">
      <c r="A86" s="251" t="str">
        <f t="shared" si="2"/>
        <v>Valuation reductions-public worship (Rm)</v>
      </c>
      <c r="B86" s="183"/>
      <c r="C86" s="1930"/>
      <c r="D86" s="1930"/>
      <c r="E86" s="1930"/>
      <c r="F86" s="1930"/>
      <c r="G86" s="1930"/>
      <c r="H86" s="1930"/>
      <c r="I86" s="1930"/>
      <c r="J86" s="1930"/>
      <c r="K86" s="1930"/>
      <c r="L86" s="1930"/>
      <c r="M86" s="1930"/>
      <c r="N86" s="1930"/>
      <c r="O86" s="1930"/>
      <c r="P86" s="1930"/>
      <c r="Q86" s="1930"/>
      <c r="R86" s="1933"/>
    </row>
    <row r="87" spans="1:18" ht="11.25" customHeight="1">
      <c r="A87" s="251" t="str">
        <f t="shared" si="2"/>
        <v>Valuation reductions-other (Rm)</v>
      </c>
      <c r="B87" s="652">
        <f>B31</f>
        <v>2</v>
      </c>
      <c r="C87" s="1930"/>
      <c r="D87" s="1930"/>
      <c r="E87" s="1930"/>
      <c r="F87" s="1930"/>
      <c r="G87" s="1930"/>
      <c r="H87" s="1930"/>
      <c r="I87" s="1930"/>
      <c r="J87" s="1930"/>
      <c r="K87" s="1930"/>
      <c r="L87" s="1930"/>
      <c r="M87" s="1930"/>
      <c r="N87" s="1930"/>
      <c r="O87" s="1930"/>
      <c r="P87" s="1930"/>
      <c r="Q87" s="1930"/>
      <c r="R87" s="1933"/>
    </row>
    <row r="88" spans="1:18" ht="11.25" customHeight="1">
      <c r="A88" s="266" t="str">
        <f t="shared" si="2"/>
        <v>Total valuation reductions:</v>
      </c>
      <c r="B88" s="183"/>
      <c r="C88" s="653">
        <v>0</v>
      </c>
      <c r="D88" s="653">
        <v>0</v>
      </c>
      <c r="E88" s="653">
        <v>0</v>
      </c>
      <c r="F88" s="653">
        <v>0</v>
      </c>
      <c r="G88" s="653">
        <v>0</v>
      </c>
      <c r="H88" s="653">
        <v>0</v>
      </c>
      <c r="I88" s="653">
        <v>0</v>
      </c>
      <c r="J88" s="653">
        <v>0</v>
      </c>
      <c r="K88" s="653">
        <v>0</v>
      </c>
      <c r="L88" s="653">
        <v>0</v>
      </c>
      <c r="M88" s="653">
        <v>0</v>
      </c>
      <c r="N88" s="653">
        <v>0</v>
      </c>
      <c r="O88" s="653">
        <v>0</v>
      </c>
      <c r="P88" s="653">
        <v>0</v>
      </c>
      <c r="Q88" s="653">
        <v>0</v>
      </c>
      <c r="R88" s="654">
        <v>0</v>
      </c>
    </row>
    <row r="89" spans="1:18" ht="11.25" customHeight="1">
      <c r="A89" s="251" t="str">
        <f t="shared" si="2"/>
        <v>Total value used for rating (Rm)</v>
      </c>
      <c r="B89" s="183">
        <v>6</v>
      </c>
      <c r="C89" s="1935"/>
      <c r="D89" s="1935"/>
      <c r="E89" s="1935"/>
      <c r="F89" s="1935"/>
      <c r="G89" s="1935"/>
      <c r="H89" s="1935"/>
      <c r="I89" s="1935"/>
      <c r="J89" s="1935"/>
      <c r="K89" s="1935"/>
      <c r="L89" s="1935"/>
      <c r="M89" s="1935"/>
      <c r="N89" s="1935"/>
      <c r="O89" s="1935"/>
      <c r="P89" s="1935"/>
      <c r="Q89" s="1935"/>
      <c r="R89" s="1938"/>
    </row>
    <row r="90" spans="1:18" ht="11.25" customHeight="1">
      <c r="A90" s="251" t="str">
        <f t="shared" si="2"/>
        <v>Total land value (Rm)</v>
      </c>
      <c r="B90" s="183">
        <v>6</v>
      </c>
      <c r="C90" s="1935"/>
      <c r="D90" s="1935"/>
      <c r="E90" s="1935"/>
      <c r="F90" s="1935"/>
      <c r="G90" s="1935"/>
      <c r="H90" s="1935"/>
      <c r="I90" s="1935"/>
      <c r="J90" s="1935"/>
      <c r="K90" s="1935"/>
      <c r="L90" s="1935"/>
      <c r="M90" s="1935"/>
      <c r="N90" s="1935"/>
      <c r="O90" s="1935"/>
      <c r="P90" s="1935"/>
      <c r="Q90" s="1935"/>
      <c r="R90" s="1938"/>
    </row>
    <row r="91" spans="1:18" ht="11.25" customHeight="1">
      <c r="A91" s="251" t="str">
        <f t="shared" si="2"/>
        <v>Total value of improvements (Rm)</v>
      </c>
      <c r="B91" s="183">
        <v>6</v>
      </c>
      <c r="C91" s="1935"/>
      <c r="D91" s="1935"/>
      <c r="E91" s="1935"/>
      <c r="F91" s="1935"/>
      <c r="G91" s="1935"/>
      <c r="H91" s="1935"/>
      <c r="I91" s="1935"/>
      <c r="J91" s="1935"/>
      <c r="K91" s="1935"/>
      <c r="L91" s="1935"/>
      <c r="M91" s="1935"/>
      <c r="N91" s="1935"/>
      <c r="O91" s="1935"/>
      <c r="P91" s="1935"/>
      <c r="Q91" s="1935"/>
      <c r="R91" s="1938"/>
    </row>
    <row r="92" spans="1:18" ht="11.25" customHeight="1">
      <c r="A92" s="251" t="str">
        <f t="shared" si="2"/>
        <v>Total market value (Rm)</v>
      </c>
      <c r="B92" s="1626">
        <v>6</v>
      </c>
      <c r="C92" s="1940"/>
      <c r="D92" s="1940"/>
      <c r="E92" s="1940"/>
      <c r="F92" s="1940"/>
      <c r="G92" s="1940"/>
      <c r="H92" s="1940"/>
      <c r="I92" s="1940"/>
      <c r="J92" s="1940"/>
      <c r="K92" s="1940"/>
      <c r="L92" s="1940"/>
      <c r="M92" s="1940"/>
      <c r="N92" s="1940"/>
      <c r="O92" s="1940"/>
      <c r="P92" s="1940"/>
      <c r="Q92" s="1940"/>
      <c r="R92" s="1974"/>
    </row>
    <row r="93" spans="1:18" ht="11.25" customHeight="1">
      <c r="A93" s="655" t="str">
        <f t="shared" si="2"/>
        <v>Rating:</v>
      </c>
      <c r="B93" s="656"/>
      <c r="C93" s="657"/>
      <c r="D93" s="657"/>
      <c r="E93" s="657"/>
      <c r="F93" s="657"/>
      <c r="G93" s="657"/>
      <c r="H93" s="657"/>
      <c r="I93" s="657"/>
      <c r="J93" s="657"/>
      <c r="K93" s="657"/>
      <c r="L93" s="657"/>
      <c r="M93" s="657"/>
      <c r="N93" s="657"/>
      <c r="O93" s="657"/>
      <c r="P93" s="657"/>
      <c r="Q93" s="657"/>
      <c r="R93" s="658"/>
    </row>
    <row r="94" spans="1:18" ht="11.25" customHeight="1">
      <c r="A94" s="255" t="str">
        <f t="shared" si="2"/>
        <v>Average rate</v>
      </c>
      <c r="B94" s="659">
        <f>B38</f>
        <v>3</v>
      </c>
      <c r="C94" s="2307"/>
      <c r="D94" s="2307"/>
      <c r="E94" s="2307"/>
      <c r="F94" s="2307"/>
      <c r="G94" s="2307"/>
      <c r="H94" s="1975"/>
      <c r="I94" s="1975"/>
      <c r="J94" s="1975"/>
      <c r="K94" s="1975"/>
      <c r="L94" s="1975"/>
      <c r="M94" s="1975"/>
      <c r="N94" s="1975"/>
      <c r="O94" s="1975"/>
      <c r="P94" s="1975"/>
      <c r="Q94" s="1975"/>
      <c r="R94" s="1976"/>
    </row>
    <row r="95" spans="1:18" ht="11.25" customHeight="1">
      <c r="A95" s="255" t="str">
        <f t="shared" si="2"/>
        <v>Rate revenue budget (R '000)</v>
      </c>
      <c r="B95" s="659"/>
      <c r="C95" s="1080">
        <v>136998083</v>
      </c>
      <c r="D95" s="1080"/>
      <c r="E95" s="1080">
        <v>144718272</v>
      </c>
      <c r="F95" s="1080"/>
      <c r="G95" s="1080">
        <v>41153124</v>
      </c>
      <c r="H95" s="1708"/>
      <c r="I95" s="1708"/>
      <c r="J95" s="1708"/>
      <c r="K95" s="1708"/>
      <c r="L95" s="1708"/>
      <c r="M95" s="1708"/>
      <c r="N95" s="1708"/>
      <c r="O95" s="1708"/>
      <c r="P95" s="1708"/>
      <c r="Q95" s="1708"/>
      <c r="R95" s="1711"/>
    </row>
    <row r="96" spans="1:18" ht="11.25" customHeight="1">
      <c r="A96" s="255" t="str">
        <f t="shared" si="2"/>
        <v>Rate revenue expected to collect (R'000)</v>
      </c>
      <c r="B96" s="659"/>
      <c r="C96" s="1080">
        <v>121928294</v>
      </c>
      <c r="D96" s="1080"/>
      <c r="E96" s="1080">
        <v>134587993</v>
      </c>
      <c r="F96" s="1080"/>
      <c r="G96" s="1080">
        <v>39095468</v>
      </c>
      <c r="H96" s="1708"/>
      <c r="I96" s="1708"/>
      <c r="J96" s="1708"/>
      <c r="K96" s="1708"/>
      <c r="L96" s="1708"/>
      <c r="M96" s="1708"/>
      <c r="N96" s="1708"/>
      <c r="O96" s="1708"/>
      <c r="P96" s="1708"/>
      <c r="Q96" s="1708"/>
      <c r="R96" s="1711"/>
    </row>
    <row r="97" spans="1:18" ht="11.25" customHeight="1">
      <c r="A97" s="255" t="str">
        <f t="shared" si="2"/>
        <v>Expected cash collection rate (%)</v>
      </c>
      <c r="B97" s="659">
        <f>B41</f>
        <v>4</v>
      </c>
      <c r="C97" s="1950">
        <v>0.89</v>
      </c>
      <c r="D97" s="1950"/>
      <c r="E97" s="1950">
        <v>0.93</v>
      </c>
      <c r="F97" s="1950"/>
      <c r="G97" s="1950">
        <v>0.95</v>
      </c>
      <c r="H97" s="1950"/>
      <c r="I97" s="1950"/>
      <c r="J97" s="1950"/>
      <c r="K97" s="1950"/>
      <c r="L97" s="1950"/>
      <c r="M97" s="1950"/>
      <c r="N97" s="1950"/>
      <c r="O97" s="1950"/>
      <c r="P97" s="1950"/>
      <c r="Q97" s="1950"/>
      <c r="R97" s="1953"/>
    </row>
    <row r="98" spans="1:18" ht="11.25" customHeight="1">
      <c r="A98" s="255" t="str">
        <f t="shared" si="2"/>
        <v>Special rating areas (R'000)</v>
      </c>
      <c r="B98" s="659"/>
      <c r="C98" s="2244"/>
      <c r="D98" s="2244"/>
      <c r="E98" s="2244"/>
      <c r="F98" s="2244"/>
      <c r="G98" s="2244"/>
      <c r="H98" s="1733"/>
      <c r="I98" s="1733"/>
      <c r="J98" s="1733"/>
      <c r="K98" s="1733"/>
      <c r="L98" s="1733"/>
      <c r="M98" s="1733"/>
      <c r="N98" s="1733"/>
      <c r="O98" s="1733"/>
      <c r="P98" s="1733"/>
      <c r="Q98" s="1733"/>
      <c r="R98" s="1742"/>
    </row>
    <row r="99" spans="1:18" ht="11.25" customHeight="1">
      <c r="A99" s="255" t="str">
        <f t="shared" si="2"/>
        <v>Rebates, exemptions - indigent (R'000)</v>
      </c>
      <c r="B99" s="659"/>
      <c r="C99" s="2308">
        <v>15103944.34</v>
      </c>
      <c r="D99" s="2308"/>
      <c r="E99" s="2308"/>
      <c r="F99" s="2308"/>
      <c r="G99" s="2308"/>
      <c r="H99" s="1977"/>
      <c r="I99" s="1977"/>
      <c r="J99" s="1977"/>
      <c r="K99" s="1977"/>
      <c r="L99" s="1977"/>
      <c r="M99" s="1977"/>
      <c r="N99" s="1977"/>
      <c r="O99" s="1977"/>
      <c r="P99" s="1977"/>
      <c r="Q99" s="1977"/>
      <c r="R99" s="1978"/>
    </row>
    <row r="100" spans="1:18" ht="11.25" customHeight="1">
      <c r="A100" s="255" t="str">
        <f t="shared" si="2"/>
        <v>Rebates, exemptions - pensioners (R'000)</v>
      </c>
      <c r="B100" s="659"/>
      <c r="C100" s="2244">
        <v>228606.7</v>
      </c>
      <c r="D100" s="2244"/>
      <c r="E100" s="2244"/>
      <c r="F100" s="2244"/>
      <c r="G100" s="2244"/>
      <c r="H100" s="1733"/>
      <c r="I100" s="1733"/>
      <c r="J100" s="1733"/>
      <c r="K100" s="1733"/>
      <c r="L100" s="1733"/>
      <c r="M100" s="1733"/>
      <c r="N100" s="1733"/>
      <c r="O100" s="1733"/>
      <c r="P100" s="1733"/>
      <c r="Q100" s="1733"/>
      <c r="R100" s="1742"/>
    </row>
    <row r="101" spans="1:18" ht="11.25" customHeight="1">
      <c r="A101" s="255" t="str">
        <f t="shared" si="2"/>
        <v>Rebates, exemptions - bona fide farm. (R'000)</v>
      </c>
      <c r="B101" s="659"/>
      <c r="C101" s="2244"/>
      <c r="D101" s="2244"/>
      <c r="E101" s="2244"/>
      <c r="F101" s="2244">
        <v>22945.26</v>
      </c>
      <c r="G101" s="2244"/>
      <c r="H101" s="1733"/>
      <c r="I101" s="1733"/>
      <c r="J101" s="1733"/>
      <c r="K101" s="1733"/>
      <c r="L101" s="1733"/>
      <c r="M101" s="1733"/>
      <c r="N101" s="1733"/>
      <c r="O101" s="1733"/>
      <c r="P101" s="1733"/>
      <c r="Q101" s="1733"/>
      <c r="R101" s="1742"/>
    </row>
    <row r="102" spans="1:18" ht="11.25" customHeight="1">
      <c r="A102" s="255" t="str">
        <f t="shared" si="2"/>
        <v>Rebates, exemptions - other (R'000)</v>
      </c>
      <c r="B102" s="659"/>
      <c r="C102" s="2244">
        <v>83754240.109999999</v>
      </c>
      <c r="D102" s="2244"/>
      <c r="E102" s="2244">
        <v>12850183.539999999</v>
      </c>
      <c r="F102" s="2244"/>
      <c r="G102" s="2244"/>
      <c r="H102" s="1733"/>
      <c r="I102" s="1733"/>
      <c r="J102" s="1733"/>
      <c r="K102" s="1733"/>
      <c r="L102" s="1733"/>
      <c r="M102" s="1733"/>
      <c r="N102" s="1733"/>
      <c r="O102" s="1733"/>
      <c r="P102" s="1733"/>
      <c r="Q102" s="1733"/>
      <c r="R102" s="1742"/>
    </row>
    <row r="103" spans="1:18" ht="11.25" customHeight="1">
      <c r="A103" s="255" t="str">
        <f t="shared" si="2"/>
        <v>Phase-in reductions/discounts (R'000)</v>
      </c>
      <c r="B103" s="659"/>
      <c r="C103" s="2244"/>
      <c r="D103" s="2244"/>
      <c r="E103" s="2244"/>
      <c r="F103" s="2244"/>
      <c r="G103" s="2244"/>
      <c r="H103" s="1733"/>
      <c r="I103" s="1733"/>
      <c r="J103" s="1733"/>
      <c r="K103" s="1733"/>
      <c r="L103" s="1733"/>
      <c r="M103" s="1733"/>
      <c r="N103" s="1733"/>
      <c r="O103" s="1733"/>
      <c r="P103" s="1733"/>
      <c r="Q103" s="1733"/>
      <c r="R103" s="1742"/>
    </row>
    <row r="104" spans="1:18" ht="11.25" customHeight="1">
      <c r="A104" s="663" t="str">
        <f t="shared" si="2"/>
        <v>Total rebates,exemptns,reductns,discs (R'000)</v>
      </c>
      <c r="B104" s="652"/>
      <c r="C104" s="661"/>
      <c r="D104" s="661"/>
      <c r="E104" s="661"/>
      <c r="F104" s="661"/>
      <c r="G104" s="661"/>
      <c r="H104" s="661"/>
      <c r="I104" s="661"/>
      <c r="J104" s="661"/>
      <c r="K104" s="661"/>
      <c r="L104" s="661"/>
      <c r="M104" s="661"/>
      <c r="N104" s="661"/>
      <c r="O104" s="661"/>
      <c r="P104" s="661"/>
      <c r="Q104" s="661"/>
      <c r="R104" s="662"/>
    </row>
    <row r="105" spans="1:18" ht="5.0999999999999996" customHeight="1">
      <c r="A105" s="664"/>
      <c r="B105" s="401"/>
      <c r="C105" s="642"/>
      <c r="D105" s="642"/>
      <c r="E105" s="642"/>
      <c r="F105" s="642"/>
      <c r="G105" s="642"/>
      <c r="H105" s="642"/>
      <c r="I105" s="642"/>
      <c r="J105" s="642"/>
      <c r="K105" s="642"/>
      <c r="L105" s="642"/>
      <c r="M105" s="642"/>
      <c r="N105" s="642"/>
      <c r="O105" s="642"/>
      <c r="P105" s="642"/>
      <c r="Q105" s="642"/>
      <c r="R105" s="643"/>
    </row>
    <row r="106" spans="1:18" s="722" customFormat="1">
      <c r="A106" s="1305" t="str">
        <f>head27a</f>
        <v>References</v>
      </c>
      <c r="B106" s="1103"/>
      <c r="C106" s="1069"/>
      <c r="D106" s="1069"/>
      <c r="E106" s="1069"/>
      <c r="F106" s="1069"/>
      <c r="G106" s="1069"/>
      <c r="H106" s="1069"/>
      <c r="I106" s="1069"/>
      <c r="J106" s="1069"/>
      <c r="K106" s="1069"/>
      <c r="L106" s="1069"/>
      <c r="M106" s="1069"/>
      <c r="N106" s="1069"/>
      <c r="O106" s="1069"/>
      <c r="P106" s="1069"/>
      <c r="Q106" s="1069"/>
      <c r="R106" s="1069"/>
    </row>
    <row r="107" spans="1:18" s="722" customFormat="1">
      <c r="A107" s="1460" t="s">
        <v>562</v>
      </c>
      <c r="B107" s="1103"/>
      <c r="C107" s="1069"/>
      <c r="D107" s="1069"/>
      <c r="E107" s="1069"/>
      <c r="F107" s="1069"/>
      <c r="G107" s="1069"/>
      <c r="H107" s="1069"/>
      <c r="I107" s="1069"/>
      <c r="J107" s="1069"/>
      <c r="K107" s="1069"/>
      <c r="L107" s="1069"/>
      <c r="M107" s="1069"/>
      <c r="N107" s="1069"/>
      <c r="O107" s="1069"/>
      <c r="P107" s="1069"/>
      <c r="Q107" s="1069"/>
      <c r="R107" s="1069"/>
    </row>
    <row r="108" spans="1:18" s="722" customFormat="1">
      <c r="A108" s="1460" t="s">
        <v>563</v>
      </c>
      <c r="B108" s="1103"/>
      <c r="C108" s="1069"/>
      <c r="D108" s="1069"/>
      <c r="E108" s="1069"/>
      <c r="F108" s="1069"/>
      <c r="G108" s="1069"/>
      <c r="H108" s="1069"/>
      <c r="I108" s="1069"/>
      <c r="J108" s="1069"/>
      <c r="K108" s="1069"/>
      <c r="L108" s="1069"/>
      <c r="M108" s="1069"/>
      <c r="N108" s="1069"/>
      <c r="O108" s="1069"/>
      <c r="P108" s="1069"/>
      <c r="Q108" s="1069"/>
      <c r="R108" s="1069"/>
    </row>
    <row r="109" spans="1:18" s="722" customFormat="1">
      <c r="A109" s="1306" t="s">
        <v>564</v>
      </c>
      <c r="B109" s="1103"/>
      <c r="C109" s="1069"/>
      <c r="D109" s="1069"/>
      <c r="E109" s="1069"/>
      <c r="F109" s="1069"/>
      <c r="G109" s="1069"/>
      <c r="H109" s="1069"/>
      <c r="I109" s="1069"/>
      <c r="J109" s="1069"/>
      <c r="K109" s="1069"/>
      <c r="L109" s="1069"/>
      <c r="M109" s="1069"/>
      <c r="N109" s="1069"/>
      <c r="O109" s="1069"/>
      <c r="P109" s="1069"/>
      <c r="Q109" s="1069"/>
      <c r="R109" s="1069"/>
    </row>
    <row r="110" spans="1:18" s="722" customFormat="1">
      <c r="A110" s="1460" t="s">
        <v>565</v>
      </c>
      <c r="B110" s="1103"/>
      <c r="C110" s="1069"/>
      <c r="D110" s="1069"/>
      <c r="E110" s="1069"/>
      <c r="F110" s="1069"/>
      <c r="G110" s="1069"/>
      <c r="H110" s="1069"/>
      <c r="I110" s="1069"/>
      <c r="J110" s="1069"/>
      <c r="K110" s="1069"/>
      <c r="L110" s="1069"/>
      <c r="M110" s="1069"/>
      <c r="N110" s="1069"/>
      <c r="O110" s="1069"/>
      <c r="P110" s="1069"/>
      <c r="Q110" s="1069"/>
      <c r="R110" s="1069"/>
    </row>
    <row r="111" spans="1:18">
      <c r="A111" s="1238" t="s">
        <v>1751</v>
      </c>
      <c r="B111" s="665"/>
      <c r="C111" s="241"/>
      <c r="D111" s="241"/>
      <c r="E111" s="241"/>
      <c r="F111" s="241"/>
      <c r="G111" s="242"/>
      <c r="H111" s="242"/>
      <c r="I111" s="242"/>
      <c r="J111" s="242"/>
      <c r="K111" s="242"/>
      <c r="L111" s="242"/>
      <c r="M111" s="242"/>
      <c r="N111" s="242"/>
      <c r="O111" s="242"/>
      <c r="P111" s="242"/>
      <c r="Q111" s="242"/>
      <c r="R111" s="242"/>
    </row>
    <row r="112" spans="1:18">
      <c r="A112" s="1238" t="s">
        <v>1753</v>
      </c>
      <c r="B112" s="665"/>
      <c r="C112" s="241"/>
      <c r="D112" s="241"/>
      <c r="E112" s="241"/>
      <c r="F112" s="241"/>
      <c r="G112" s="242"/>
      <c r="H112" s="242"/>
      <c r="I112" s="242"/>
      <c r="J112" s="242"/>
      <c r="K112" s="242"/>
      <c r="L112" s="242"/>
      <c r="M112" s="242"/>
      <c r="N112" s="242"/>
      <c r="O112" s="242"/>
      <c r="P112" s="242"/>
      <c r="Q112" s="242"/>
      <c r="R112" s="242"/>
    </row>
    <row r="113" spans="1:9" ht="11.25" customHeight="1">
      <c r="A113" s="247"/>
      <c r="B113" s="665"/>
      <c r="C113" s="247"/>
      <c r="D113" s="247"/>
      <c r="E113" s="247"/>
      <c r="F113" s="247"/>
      <c r="G113" s="247"/>
      <c r="H113" s="247"/>
      <c r="I113" s="247"/>
    </row>
    <row r="114" spans="1:9" ht="11.25" customHeight="1">
      <c r="A114" s="247"/>
      <c r="B114" s="666"/>
      <c r="C114" s="247"/>
      <c r="D114" s="247"/>
      <c r="E114" s="247"/>
      <c r="F114" s="247"/>
      <c r="G114" s="247"/>
      <c r="H114" s="247"/>
      <c r="I114" s="247"/>
    </row>
    <row r="115" spans="1:9" ht="11.25" customHeight="1">
      <c r="A115" s="247"/>
      <c r="B115" s="666"/>
      <c r="C115" s="247"/>
      <c r="D115" s="247"/>
      <c r="E115" s="247"/>
      <c r="F115" s="247"/>
      <c r="G115" s="247"/>
      <c r="H115" s="247"/>
      <c r="I115" s="247"/>
    </row>
    <row r="116" spans="1:9" ht="11.25" customHeight="1">
      <c r="A116" s="247"/>
      <c r="B116" s="666"/>
      <c r="C116" s="247"/>
      <c r="D116" s="247"/>
      <c r="E116" s="247"/>
      <c r="F116" s="247"/>
      <c r="G116" s="247"/>
      <c r="H116" s="247"/>
      <c r="I116" s="247"/>
    </row>
    <row r="117" spans="1:9" ht="11.25" customHeight="1">
      <c r="A117" s="247"/>
      <c r="B117" s="665"/>
      <c r="C117" s="247"/>
      <c r="D117" s="247"/>
      <c r="E117" s="247"/>
      <c r="F117" s="247"/>
      <c r="G117" s="247"/>
      <c r="H117" s="247"/>
      <c r="I117" s="247"/>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sheet="1" objects="1" scenarios="1"/>
  <phoneticPr fontId="2" type="noConversion"/>
  <dataValidations disablePrompts="1"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workbookViewId="0">
      <pane xSplit="2" ySplit="4" topLeftCell="C5" activePane="bottomRight" state="frozen"/>
      <selection activeCell="O37" sqref="A1:IV65536"/>
      <selection pane="topRight" activeCell="O37" sqref="A1:IV65536"/>
      <selection pane="bottomLeft" activeCell="O37" sqref="A1:IV65536"/>
      <selection pane="bottomRight" activeCell="L4" sqref="L4"/>
    </sheetView>
  </sheetViews>
  <sheetFormatPr defaultRowHeight="12.75"/>
  <cols>
    <col min="1" max="1" width="30.7109375" style="150" customWidth="1"/>
    <col min="2" max="2" width="3" style="248" customWidth="1"/>
    <col min="3" max="12" width="9.28515625" style="150" customWidth="1"/>
    <col min="13" max="16384" width="9.140625" style="150"/>
  </cols>
  <sheetData>
    <row r="1" spans="1:12" ht="13.5">
      <c r="A1" s="148" t="str">
        <f>muni&amp;" - "&amp;TableA14</f>
        <v>KZN225 Msunduzi - Supporting Table SA14 Household bills</v>
      </c>
      <c r="B1" s="148"/>
      <c r="C1" s="148"/>
      <c r="D1" s="148"/>
      <c r="E1" s="148"/>
      <c r="F1" s="148"/>
      <c r="G1" s="148"/>
      <c r="H1" s="148"/>
      <c r="I1" s="148"/>
      <c r="J1" s="148"/>
      <c r="K1" s="148"/>
      <c r="L1" s="148"/>
    </row>
    <row r="2" spans="1:12" ht="27" customHeight="1">
      <c r="A2" s="2439" t="str">
        <f>desc</f>
        <v>Description</v>
      </c>
      <c r="B2" s="2441" t="str">
        <f>head27</f>
        <v>Ref</v>
      </c>
      <c r="C2" s="151" t="str">
        <f>head1b</f>
        <v>2007/8</v>
      </c>
      <c r="D2" s="151" t="str">
        <f>head1A</f>
        <v>2008/9</v>
      </c>
      <c r="E2" s="147" t="str">
        <f>Head1</f>
        <v>2009/10</v>
      </c>
      <c r="F2" s="2415" t="str">
        <f>Head2</f>
        <v>Current Year 2010/11</v>
      </c>
      <c r="G2" s="2416"/>
      <c r="H2" s="2416"/>
      <c r="I2" s="668" t="str">
        <f>Head3</f>
        <v>2011/12 Medium Term Revenue &amp; Expenditure Framework</v>
      </c>
      <c r="J2" s="669"/>
      <c r="K2" s="670"/>
      <c r="L2" s="671"/>
    </row>
    <row r="3" spans="1:12" ht="25.5">
      <c r="A3" s="2440"/>
      <c r="B3" s="2442"/>
      <c r="C3" s="153" t="str">
        <f>Head5</f>
        <v>Audited Outcome</v>
      </c>
      <c r="D3" s="153" t="str">
        <f>Head5</f>
        <v>Audited Outcome</v>
      </c>
      <c r="E3" s="154" t="str">
        <f>Head5</f>
        <v>Audited Outcome</v>
      </c>
      <c r="F3" s="152" t="str">
        <f>Head6</f>
        <v>Original Budget</v>
      </c>
      <c r="G3" s="153" t="str">
        <f>Head7</f>
        <v>Adjusted Budget</v>
      </c>
      <c r="H3" s="155" t="str">
        <f>Head8</f>
        <v>Full Year Forecast</v>
      </c>
      <c r="I3" s="672" t="str">
        <f>Head9</f>
        <v>Budget Year 2011/12</v>
      </c>
      <c r="J3" s="155" t="str">
        <f>Head9</f>
        <v>Budget Year 2011/12</v>
      </c>
      <c r="K3" s="673" t="str">
        <f>Head10</f>
        <v>Budget Year +1 2012/13</v>
      </c>
      <c r="L3" s="154" t="str">
        <f>Head11</f>
        <v>Budget Year +2 2013/14</v>
      </c>
    </row>
    <row r="4" spans="1:12">
      <c r="A4" s="181" t="s">
        <v>1413</v>
      </c>
      <c r="B4" s="2447"/>
      <c r="C4" s="138"/>
      <c r="D4" s="138"/>
      <c r="E4" s="157"/>
      <c r="F4" s="156"/>
      <c r="G4" s="138"/>
      <c r="H4" s="158"/>
      <c r="I4" s="140" t="s">
        <v>888</v>
      </c>
      <c r="J4" s="158"/>
      <c r="K4" s="138"/>
      <c r="L4" s="157"/>
    </row>
    <row r="5" spans="1:12" ht="25.5">
      <c r="A5" s="539" t="s">
        <v>1173</v>
      </c>
      <c r="B5" s="674">
        <v>1</v>
      </c>
      <c r="C5" s="675"/>
      <c r="D5" s="675"/>
      <c r="E5" s="676"/>
      <c r="F5" s="677"/>
      <c r="G5" s="675"/>
      <c r="H5" s="678"/>
      <c r="I5" s="679"/>
      <c r="J5" s="678"/>
      <c r="K5" s="675"/>
      <c r="L5" s="676"/>
    </row>
    <row r="6" spans="1:12">
      <c r="A6" s="298" t="s">
        <v>858</v>
      </c>
      <c r="B6" s="680"/>
      <c r="C6" s="681"/>
      <c r="D6" s="681"/>
      <c r="E6" s="682"/>
      <c r="F6" s="683"/>
      <c r="G6" s="681"/>
      <c r="H6" s="684"/>
      <c r="I6" s="685"/>
      <c r="J6" s="684"/>
      <c r="K6" s="681"/>
      <c r="L6" s="682"/>
    </row>
    <row r="7" spans="1:12">
      <c r="A7" s="305" t="s">
        <v>572</v>
      </c>
      <c r="B7" s="680"/>
      <c r="C7" s="2309">
        <v>333.98</v>
      </c>
      <c r="D7" s="2310">
        <v>367.38</v>
      </c>
      <c r="E7" s="2311">
        <v>553.13</v>
      </c>
      <c r="F7" s="2312">
        <f>+E7*1.06</f>
        <v>586.31780000000003</v>
      </c>
      <c r="G7" s="2312">
        <f>+F7*1.06</f>
        <v>621.49686800000006</v>
      </c>
      <c r="H7" s="2312">
        <f>+G7*1.06</f>
        <v>658.78668008000011</v>
      </c>
      <c r="I7" s="1983">
        <v>0.08</v>
      </c>
      <c r="J7" s="2309">
        <v>633.22</v>
      </c>
      <c r="K7" s="1979">
        <v>683.87</v>
      </c>
      <c r="L7" s="1980">
        <v>738.57</v>
      </c>
    </row>
    <row r="8" spans="1:12">
      <c r="A8" s="305" t="s">
        <v>1705</v>
      </c>
      <c r="B8" s="680"/>
      <c r="C8" s="2309">
        <v>112</v>
      </c>
      <c r="D8" s="2310">
        <v>125.44</v>
      </c>
      <c r="E8" s="2311">
        <v>177.04</v>
      </c>
      <c r="F8" s="2312">
        <f t="shared" ref="F8:H13" si="0">+E8*1.07</f>
        <v>189.43280000000001</v>
      </c>
      <c r="G8" s="2312">
        <f t="shared" si="0"/>
        <v>202.69309600000003</v>
      </c>
      <c r="H8" s="2312">
        <f t="shared" si="0"/>
        <v>216.88161272000005</v>
      </c>
      <c r="I8" s="1983">
        <v>0.23</v>
      </c>
      <c r="J8" s="2309">
        <v>283.56</v>
      </c>
      <c r="K8" s="1979">
        <v>287.97000000000003</v>
      </c>
      <c r="L8" s="1980">
        <v>355.06</v>
      </c>
    </row>
    <row r="9" spans="1:12">
      <c r="A9" s="305" t="s">
        <v>1706</v>
      </c>
      <c r="B9" s="680"/>
      <c r="C9" s="2309">
        <v>219</v>
      </c>
      <c r="D9" s="2310">
        <v>245.28</v>
      </c>
      <c r="E9" s="2311">
        <v>346.23</v>
      </c>
      <c r="F9" s="2312">
        <f t="shared" si="0"/>
        <v>370.46610000000004</v>
      </c>
      <c r="G9" s="2312">
        <f t="shared" si="0"/>
        <v>396.39872700000006</v>
      </c>
      <c r="H9" s="2312">
        <f t="shared" si="0"/>
        <v>424.14663789000008</v>
      </c>
      <c r="I9" s="1983">
        <v>0.23300000000000001</v>
      </c>
      <c r="J9" s="2309">
        <v>456.78</v>
      </c>
      <c r="K9" s="1979">
        <v>563.20000000000005</v>
      </c>
      <c r="L9" s="1980">
        <v>694.42</v>
      </c>
    </row>
    <row r="10" spans="1:12">
      <c r="A10" s="305" t="s">
        <v>1707</v>
      </c>
      <c r="B10" s="680"/>
      <c r="C10" s="2309">
        <v>26.01</v>
      </c>
      <c r="D10" s="2310">
        <v>26.53</v>
      </c>
      <c r="E10" s="2311">
        <v>27.88</v>
      </c>
      <c r="F10" s="2312">
        <f t="shared" si="0"/>
        <v>29.831600000000002</v>
      </c>
      <c r="G10" s="2312">
        <f t="shared" si="0"/>
        <v>31.919812000000004</v>
      </c>
      <c r="H10" s="2312">
        <f t="shared" si="0"/>
        <v>34.154198840000006</v>
      </c>
      <c r="I10" s="1983">
        <v>0.08</v>
      </c>
      <c r="J10" s="2309">
        <v>32.21</v>
      </c>
      <c r="K10" s="1979">
        <v>34.78</v>
      </c>
      <c r="L10" s="1980">
        <v>37.56</v>
      </c>
    </row>
    <row r="11" spans="1:12">
      <c r="A11" s="305" t="s">
        <v>885</v>
      </c>
      <c r="B11" s="680"/>
      <c r="C11" s="2309">
        <v>205.44</v>
      </c>
      <c r="D11" s="2310">
        <v>214.32</v>
      </c>
      <c r="E11" s="2311">
        <v>225.12</v>
      </c>
      <c r="F11" s="2312">
        <f t="shared" si="0"/>
        <v>240.87840000000003</v>
      </c>
      <c r="G11" s="2312">
        <f t="shared" si="0"/>
        <v>257.73988800000006</v>
      </c>
      <c r="H11" s="2312">
        <f t="shared" si="0"/>
        <v>275.78168016000006</v>
      </c>
      <c r="I11" s="1983">
        <v>0.08</v>
      </c>
      <c r="J11" s="2309">
        <v>260.14999999999998</v>
      </c>
      <c r="K11" s="1979">
        <v>280.95999999999998</v>
      </c>
      <c r="L11" s="1980">
        <v>303.43</v>
      </c>
    </row>
    <row r="12" spans="1:12">
      <c r="A12" s="305" t="s">
        <v>1038</v>
      </c>
      <c r="B12" s="680"/>
      <c r="C12" s="2309">
        <v>76.37</v>
      </c>
      <c r="D12" s="2310">
        <v>81.72</v>
      </c>
      <c r="E12" s="2311">
        <v>87.44</v>
      </c>
      <c r="F12" s="2312">
        <f t="shared" si="0"/>
        <v>93.5608</v>
      </c>
      <c r="G12" s="2312">
        <f t="shared" si="0"/>
        <v>100.110056</v>
      </c>
      <c r="H12" s="2312">
        <f t="shared" si="0"/>
        <v>107.11775992000001</v>
      </c>
      <c r="I12" s="1983">
        <v>0.08</v>
      </c>
      <c r="J12" s="2309">
        <v>101.04</v>
      </c>
      <c r="K12" s="1979">
        <v>109.12</v>
      </c>
      <c r="L12" s="1980">
        <v>117.84</v>
      </c>
    </row>
    <row r="13" spans="1:12">
      <c r="A13" s="305" t="s">
        <v>704</v>
      </c>
      <c r="B13" s="680"/>
      <c r="C13" s="2309">
        <v>49.4</v>
      </c>
      <c r="D13" s="2310">
        <v>52.86</v>
      </c>
      <c r="E13" s="2311">
        <v>56.56</v>
      </c>
      <c r="F13" s="2312">
        <f t="shared" si="0"/>
        <v>60.519200000000005</v>
      </c>
      <c r="G13" s="2312">
        <f t="shared" si="0"/>
        <v>64.755544000000015</v>
      </c>
      <c r="H13" s="2312">
        <f t="shared" si="0"/>
        <v>69.288432080000021</v>
      </c>
      <c r="I13" s="1983">
        <v>0.08</v>
      </c>
      <c r="J13" s="2309">
        <v>65.36</v>
      </c>
      <c r="K13" s="1979">
        <v>70.58</v>
      </c>
      <c r="L13" s="1980">
        <v>76.22</v>
      </c>
    </row>
    <row r="14" spans="1:12">
      <c r="A14" s="305" t="s">
        <v>301</v>
      </c>
      <c r="B14" s="680"/>
      <c r="C14" s="2309"/>
      <c r="D14" s="2310"/>
      <c r="E14" s="2311"/>
      <c r="F14" s="2312"/>
      <c r="G14" s="1979"/>
      <c r="H14" s="1982"/>
      <c r="I14" s="1983"/>
      <c r="J14" s="2309"/>
      <c r="K14" s="1979"/>
      <c r="L14" s="1980"/>
    </row>
    <row r="15" spans="1:12">
      <c r="A15" s="686" t="s">
        <v>141</v>
      </c>
      <c r="B15" s="680"/>
      <c r="C15" s="687">
        <f>SUM(C7:C14)</f>
        <v>1022.2</v>
      </c>
      <c r="D15" s="687">
        <f>SUM(D7:D14)</f>
        <v>1113.53</v>
      </c>
      <c r="E15" s="688">
        <f>SUM(E7:E14)</f>
        <v>1473.4</v>
      </c>
      <c r="F15" s="689">
        <f>SUM(F7:F14)</f>
        <v>1571.0067000000001</v>
      </c>
      <c r="G15" s="687">
        <f t="shared" ref="G15:L15" si="1">SUM(G7:G14)</f>
        <v>1675.1139910000004</v>
      </c>
      <c r="H15" s="690">
        <f t="shared" si="1"/>
        <v>1786.1570016900002</v>
      </c>
      <c r="I15" s="691">
        <f>IF(ISERROR(ROUND((J15-F15)/F15,3)),0,(ROUND((J15-F15)/F15,3)))</f>
        <v>0.16600000000000001</v>
      </c>
      <c r="J15" s="690">
        <f t="shared" si="1"/>
        <v>1832.32</v>
      </c>
      <c r="K15" s="687">
        <f t="shared" si="1"/>
        <v>2030.48</v>
      </c>
      <c r="L15" s="688">
        <f t="shared" si="1"/>
        <v>2323.1</v>
      </c>
    </row>
    <row r="16" spans="1:12">
      <c r="A16" s="305" t="s">
        <v>857</v>
      </c>
      <c r="B16" s="680"/>
      <c r="C16" s="1979"/>
      <c r="D16" s="1979"/>
      <c r="E16" s="1980"/>
      <c r="F16" s="1981"/>
      <c r="G16" s="1979"/>
      <c r="H16" s="1982"/>
      <c r="I16" s="1983"/>
      <c r="J16" s="1982"/>
      <c r="K16" s="1979"/>
      <c r="L16" s="1980"/>
    </row>
    <row r="17" spans="1:12">
      <c r="A17" s="298" t="s">
        <v>886</v>
      </c>
      <c r="B17" s="680"/>
      <c r="C17" s="687">
        <f>SUM(C15:C16)</f>
        <v>1022.2</v>
      </c>
      <c r="D17" s="687">
        <f>SUM(D15:D16)</f>
        <v>1113.53</v>
      </c>
      <c r="E17" s="688">
        <f>SUM(E15:E16)</f>
        <v>1473.4</v>
      </c>
      <c r="F17" s="689">
        <f>SUM(F15:F16)</f>
        <v>1571.0067000000001</v>
      </c>
      <c r="G17" s="687">
        <f t="shared" ref="G17:L17" si="2">SUM(G15:G16)</f>
        <v>1675.1139910000004</v>
      </c>
      <c r="H17" s="690">
        <f t="shared" si="2"/>
        <v>1786.1570016900002</v>
      </c>
      <c r="I17" s="691">
        <f>IF(ISERROR(ROUND((J17-F17)/F17,3)),0,(ROUND((J17-F17)/F17,3)))</f>
        <v>0.16600000000000001</v>
      </c>
      <c r="J17" s="690">
        <f t="shared" si="2"/>
        <v>1832.32</v>
      </c>
      <c r="K17" s="687">
        <f t="shared" si="2"/>
        <v>2030.48</v>
      </c>
      <c r="L17" s="688">
        <f t="shared" si="2"/>
        <v>2323.1</v>
      </c>
    </row>
    <row r="18" spans="1:12">
      <c r="A18" s="692" t="s">
        <v>136</v>
      </c>
      <c r="B18" s="680"/>
      <c r="C18" s="693"/>
      <c r="D18" s="694">
        <f>IF(ISERROR((D17/C17)-1),0,((D17/C17)-1))</f>
        <v>8.9346507532772401E-2</v>
      </c>
      <c r="E18" s="695">
        <f>IF(ISERROR((E17/D17)-1),0,((E17/D17)-1))</f>
        <v>0.32317943836268448</v>
      </c>
      <c r="F18" s="696">
        <f>IF(ISERROR((F17/E17)-1),0,((F17/E17)-1))</f>
        <v>6.6245893850956916E-2</v>
      </c>
      <c r="G18" s="694">
        <f>IF(ISERROR((G17/F17)-1),0,((G17/F17)-1))</f>
        <v>6.6267884790052189E-2</v>
      </c>
      <c r="H18" s="697">
        <f>IF(ISERROR((H17/G17)-1),0,((H17/G17)-1))</f>
        <v>6.628982343088774E-2</v>
      </c>
      <c r="I18" s="698"/>
      <c r="J18" s="697">
        <f>IF(ISERROR((J17/H17)-1),0,((J17/H17)-1))</f>
        <v>2.5844871568581063E-2</v>
      </c>
      <c r="K18" s="694">
        <f>IF(ISERROR((K17/J17)-1),0,((K17/J17)-1))</f>
        <v>0.10814704855047164</v>
      </c>
      <c r="L18" s="695">
        <f>IF(ISERROR((L17/K17)-1),0,((L17/K17)-1))</f>
        <v>0.14411370710373905</v>
      </c>
    </row>
    <row r="19" spans="1:12" ht="5.0999999999999996" customHeight="1">
      <c r="A19" s="539"/>
      <c r="B19" s="680"/>
      <c r="C19" s="699"/>
      <c r="D19" s="699"/>
      <c r="E19" s="700"/>
      <c r="F19" s="701"/>
      <c r="G19" s="699"/>
      <c r="H19" s="702"/>
      <c r="I19" s="685"/>
      <c r="J19" s="702"/>
      <c r="K19" s="699"/>
      <c r="L19" s="700"/>
    </row>
    <row r="20" spans="1:12" ht="25.5" customHeight="1">
      <c r="A20" s="703" t="s">
        <v>813</v>
      </c>
      <c r="B20" s="704">
        <v>2</v>
      </c>
      <c r="C20" s="705"/>
      <c r="D20" s="705"/>
      <c r="E20" s="706"/>
      <c r="F20" s="707"/>
      <c r="G20" s="705"/>
      <c r="H20" s="708"/>
      <c r="I20" s="709"/>
      <c r="J20" s="708"/>
      <c r="K20" s="705"/>
      <c r="L20" s="706"/>
    </row>
    <row r="21" spans="1:12" ht="11.25" customHeight="1">
      <c r="A21" s="298" t="str">
        <f>A6</f>
        <v>Rates and services charges:</v>
      </c>
      <c r="B21" s="680"/>
      <c r="C21" s="681"/>
      <c r="D21" s="681"/>
      <c r="E21" s="682"/>
      <c r="F21" s="683"/>
      <c r="G21" s="681"/>
      <c r="H21" s="684"/>
      <c r="I21" s="685"/>
      <c r="J21" s="684"/>
      <c r="K21" s="681"/>
      <c r="L21" s="682"/>
    </row>
    <row r="22" spans="1:12" ht="11.25" customHeight="1">
      <c r="A22" s="305" t="str">
        <f t="shared" ref="A22:A31" si="3">A7</f>
        <v>Property rates</v>
      </c>
      <c r="B22" s="680"/>
      <c r="C22" s="2309">
        <v>100.2</v>
      </c>
      <c r="D22" s="2310">
        <v>110.22</v>
      </c>
      <c r="E22" s="2311">
        <v>146.88</v>
      </c>
      <c r="F22" s="2312">
        <f>+E22*1.06</f>
        <v>155.69280000000001</v>
      </c>
      <c r="G22" s="2312">
        <v>155.69280000000001</v>
      </c>
      <c r="H22" s="2312">
        <v>155.69280000000001</v>
      </c>
      <c r="I22" s="1983">
        <v>0.08</v>
      </c>
      <c r="J22" s="1982">
        <v>168.14</v>
      </c>
      <c r="K22" s="1979">
        <v>181.59</v>
      </c>
      <c r="L22" s="1980">
        <v>196.11</v>
      </c>
    </row>
    <row r="23" spans="1:12" ht="11.25" customHeight="1">
      <c r="A23" s="305" t="str">
        <f t="shared" si="3"/>
        <v>Electricity: Basic levy</v>
      </c>
      <c r="B23" s="680"/>
      <c r="C23" s="2309">
        <v>112</v>
      </c>
      <c r="D23" s="2310">
        <v>138.88</v>
      </c>
      <c r="E23" s="2311">
        <v>177.04</v>
      </c>
      <c r="F23" s="2312">
        <f t="shared" ref="F23:F28" si="4">+E23*1.07</f>
        <v>189.43280000000001</v>
      </c>
      <c r="G23" s="2312">
        <v>189.43280000000001</v>
      </c>
      <c r="H23" s="2312">
        <v>189.43280000000001</v>
      </c>
      <c r="I23" s="1983">
        <v>0.23</v>
      </c>
      <c r="J23" s="1982">
        <v>233.56</v>
      </c>
      <c r="K23" s="1979">
        <v>287.97000000000003</v>
      </c>
      <c r="L23" s="1980">
        <v>355.06</v>
      </c>
    </row>
    <row r="24" spans="1:12" ht="11.25" customHeight="1">
      <c r="A24" s="305" t="str">
        <f t="shared" si="3"/>
        <v>Electricity: Consumption</v>
      </c>
      <c r="B24" s="680"/>
      <c r="C24" s="2309">
        <v>109.06</v>
      </c>
      <c r="D24" s="2310">
        <v>135.24</v>
      </c>
      <c r="E24" s="2311">
        <v>172.42</v>
      </c>
      <c r="F24" s="2312">
        <f t="shared" si="4"/>
        <v>184.48939999999999</v>
      </c>
      <c r="G24" s="2312">
        <v>184.48939999999999</v>
      </c>
      <c r="H24" s="2312">
        <v>184.48939999999999</v>
      </c>
      <c r="I24" s="1983">
        <v>0.23300000000000001</v>
      </c>
      <c r="J24" s="1982">
        <v>227.47</v>
      </c>
      <c r="K24" s="1979">
        <v>280.47000000000003</v>
      </c>
      <c r="L24" s="1980">
        <v>345.81</v>
      </c>
    </row>
    <row r="25" spans="1:12" ht="11.25" customHeight="1">
      <c r="A25" s="305" t="str">
        <f t="shared" si="3"/>
        <v>Water: Basic levy</v>
      </c>
      <c r="B25" s="680"/>
      <c r="C25" s="2309">
        <v>26.01</v>
      </c>
      <c r="D25" s="2310">
        <v>26.53</v>
      </c>
      <c r="E25" s="2311">
        <v>27.88</v>
      </c>
      <c r="F25" s="2312">
        <f t="shared" si="4"/>
        <v>29.831600000000002</v>
      </c>
      <c r="G25" s="2312">
        <v>29.831600000000002</v>
      </c>
      <c r="H25" s="2312">
        <v>29.831600000000002</v>
      </c>
      <c r="I25" s="1983">
        <v>0.08</v>
      </c>
      <c r="J25" s="1982">
        <v>32.21</v>
      </c>
      <c r="K25" s="1979">
        <v>34.78</v>
      </c>
      <c r="L25" s="1980">
        <v>37.56</v>
      </c>
    </row>
    <row r="26" spans="1:12" ht="11.25" customHeight="1">
      <c r="A26" s="305" t="str">
        <f t="shared" si="3"/>
        <v>Water: Consumption</v>
      </c>
      <c r="B26" s="680"/>
      <c r="C26" s="2309">
        <v>162.63999999999999</v>
      </c>
      <c r="D26" s="2310">
        <v>169.67</v>
      </c>
      <c r="E26" s="2311">
        <v>178.22</v>
      </c>
      <c r="F26" s="2312">
        <f t="shared" si="4"/>
        <v>190.69540000000001</v>
      </c>
      <c r="G26" s="2312">
        <v>190.69540000000001</v>
      </c>
      <c r="H26" s="2312">
        <v>190.69540000000001</v>
      </c>
      <c r="I26" s="1983">
        <v>0.08</v>
      </c>
      <c r="J26" s="1982">
        <v>205.95</v>
      </c>
      <c r="K26" s="1979">
        <v>222.42</v>
      </c>
      <c r="L26" s="1980">
        <v>240.21</v>
      </c>
    </row>
    <row r="27" spans="1:12" ht="11.25" customHeight="1">
      <c r="A27" s="305" t="str">
        <f t="shared" si="3"/>
        <v>Sanitation</v>
      </c>
      <c r="B27" s="680"/>
      <c r="C27" s="2309">
        <v>76.37</v>
      </c>
      <c r="D27" s="2310">
        <v>81.72</v>
      </c>
      <c r="E27" s="2311">
        <v>87.44</v>
      </c>
      <c r="F27" s="2312">
        <f t="shared" si="4"/>
        <v>93.5608</v>
      </c>
      <c r="G27" s="2312">
        <v>93.5608</v>
      </c>
      <c r="H27" s="2312">
        <v>93.5608</v>
      </c>
      <c r="I27" s="1983">
        <v>0.08</v>
      </c>
      <c r="J27" s="1982">
        <v>101.04</v>
      </c>
      <c r="K27" s="1979">
        <v>109.12</v>
      </c>
      <c r="L27" s="1980">
        <v>117.84</v>
      </c>
    </row>
    <row r="28" spans="1:12" ht="11.25" customHeight="1">
      <c r="A28" s="305" t="str">
        <f t="shared" si="3"/>
        <v>Refuse removal</v>
      </c>
      <c r="B28" s="680"/>
      <c r="C28" s="2309">
        <v>49.4</v>
      </c>
      <c r="D28" s="2310">
        <v>52.86</v>
      </c>
      <c r="E28" s="2311">
        <v>56.56</v>
      </c>
      <c r="F28" s="2312">
        <f t="shared" si="4"/>
        <v>60.519200000000005</v>
      </c>
      <c r="G28" s="2312">
        <v>60.519200000000005</v>
      </c>
      <c r="H28" s="2312">
        <v>60.519200000000005</v>
      </c>
      <c r="I28" s="1983">
        <v>0.08</v>
      </c>
      <c r="J28" s="1982">
        <v>65.36</v>
      </c>
      <c r="K28" s="1979">
        <v>70.58</v>
      </c>
      <c r="L28" s="1980">
        <v>76.22</v>
      </c>
    </row>
    <row r="29" spans="1:12" ht="11.25" customHeight="1">
      <c r="A29" s="305" t="str">
        <f t="shared" si="3"/>
        <v>Other</v>
      </c>
      <c r="B29" s="680"/>
      <c r="C29" s="2309"/>
      <c r="D29" s="2310"/>
      <c r="E29" s="2311"/>
      <c r="F29" s="2312"/>
      <c r="G29" s="2312"/>
      <c r="H29" s="2312"/>
      <c r="I29" s="1983"/>
      <c r="J29" s="1982"/>
      <c r="K29" s="1979"/>
      <c r="L29" s="1980"/>
    </row>
    <row r="30" spans="1:12" ht="11.25" customHeight="1">
      <c r="A30" s="686" t="str">
        <f t="shared" si="3"/>
        <v>sub-total</v>
      </c>
      <c r="B30" s="710"/>
      <c r="C30" s="687">
        <f t="shared" ref="C30:H30" si="5">SUM(C22:C29)</f>
        <v>635.67999999999995</v>
      </c>
      <c r="D30" s="687">
        <f t="shared" si="5"/>
        <v>715.12</v>
      </c>
      <c r="E30" s="688">
        <f t="shared" si="5"/>
        <v>846.43999999999983</v>
      </c>
      <c r="F30" s="689">
        <f t="shared" si="5"/>
        <v>904.22199999999998</v>
      </c>
      <c r="G30" s="687">
        <f t="shared" si="5"/>
        <v>904.22199999999998</v>
      </c>
      <c r="H30" s="690">
        <f t="shared" si="5"/>
        <v>904.22199999999998</v>
      </c>
      <c r="I30" s="691">
        <f>IF(ISERROR(ROUND((J30-F30)/F30,3)),0,(ROUND((J30-F30)/F30,3)))</f>
        <v>0.14299999999999999</v>
      </c>
      <c r="J30" s="690">
        <f>SUM(J22:J29)</f>
        <v>1033.7299999999998</v>
      </c>
      <c r="K30" s="687">
        <f>SUM(K22:K29)</f>
        <v>1186.9299999999998</v>
      </c>
      <c r="L30" s="688">
        <f>SUM(L22:L29)</f>
        <v>1368.81</v>
      </c>
    </row>
    <row r="31" spans="1:12" ht="11.25" customHeight="1">
      <c r="A31" s="305" t="str">
        <f t="shared" si="3"/>
        <v>VAT on Services</v>
      </c>
      <c r="B31" s="680"/>
      <c r="C31" s="1979"/>
      <c r="D31" s="1979"/>
      <c r="E31" s="1980"/>
      <c r="F31" s="1981"/>
      <c r="G31" s="1979"/>
      <c r="H31" s="1982"/>
      <c r="I31" s="1983"/>
      <c r="J31" s="1982"/>
      <c r="K31" s="1979"/>
      <c r="L31" s="1980"/>
    </row>
    <row r="32" spans="1:12" ht="11.25" customHeight="1">
      <c r="A32" s="298" t="s">
        <v>887</v>
      </c>
      <c r="B32" s="680"/>
      <c r="C32" s="687">
        <f t="shared" ref="C32:H32" si="6">SUM(C30:C31)</f>
        <v>635.67999999999995</v>
      </c>
      <c r="D32" s="687">
        <f t="shared" si="6"/>
        <v>715.12</v>
      </c>
      <c r="E32" s="688">
        <f t="shared" si="6"/>
        <v>846.43999999999983</v>
      </c>
      <c r="F32" s="689">
        <f t="shared" si="6"/>
        <v>904.22199999999998</v>
      </c>
      <c r="G32" s="687">
        <f t="shared" si="6"/>
        <v>904.22199999999998</v>
      </c>
      <c r="H32" s="690">
        <f t="shared" si="6"/>
        <v>904.22199999999998</v>
      </c>
      <c r="I32" s="691">
        <f>IF(ISERROR(ROUND((J32-F32)/F32,3)),0,(ROUND((J32-F32)/F32,3)))</f>
        <v>0.14299999999999999</v>
      </c>
      <c r="J32" s="690">
        <f>SUM(J30:J31)</f>
        <v>1033.7299999999998</v>
      </c>
      <c r="K32" s="687">
        <f>SUM(K30:K31)</f>
        <v>1186.9299999999998</v>
      </c>
      <c r="L32" s="688">
        <f>SUM(L30:L31)</f>
        <v>1368.81</v>
      </c>
    </row>
    <row r="33" spans="1:15" ht="11.25" customHeight="1">
      <c r="A33" s="692" t="s">
        <v>136</v>
      </c>
      <c r="B33" s="680"/>
      <c r="C33" s="693"/>
      <c r="D33" s="694">
        <f>IF(ISERROR((D32/C32)-1),0,((D32/C32)-1))</f>
        <v>0.12496853762899574</v>
      </c>
      <c r="E33" s="695">
        <f>IF(ISERROR((E32/D32)-1),0,((E32/D32)-1))</f>
        <v>0.18363351605324962</v>
      </c>
      <c r="F33" s="696">
        <f>IF(ISERROR((F32/E32)-1),0,((F32/E32)-1))</f>
        <v>6.8264732290534758E-2</v>
      </c>
      <c r="G33" s="694">
        <f>IF(ISERROR((G32/F32)-1),0,((G32/F32)-1))</f>
        <v>0</v>
      </c>
      <c r="H33" s="697">
        <f>IF(ISERROR((H32/G32)-1),0,((H32/G32)-1))</f>
        <v>0</v>
      </c>
      <c r="I33" s="698"/>
      <c r="J33" s="697">
        <f>IF(ISERROR((J32/H32)-1),0,((J32/H32)-1))</f>
        <v>0.1432258892174707</v>
      </c>
      <c r="K33" s="694">
        <f>IF(ISERROR((K32/J32)-1),0,((K32/J32)-1))</f>
        <v>0.14820117438789637</v>
      </c>
      <c r="L33" s="695">
        <f>IF(ISERROR((L32/K32)-1),0,((L32/K32)-1))</f>
        <v>0.15323565837918007</v>
      </c>
    </row>
    <row r="34" spans="1:15" ht="4.5" customHeight="1">
      <c r="A34" s="539"/>
      <c r="B34" s="680"/>
      <c r="C34" s="699"/>
      <c r="D34" s="699"/>
      <c r="E34" s="700">
        <f>IF(ISERROR((E33/D33)-1),0,((E33/D33)-1))</f>
        <v>0.46943798445027318</v>
      </c>
      <c r="F34" s="701">
        <f>IF(ISERROR((F33/E33)-1),0,((F33/E33)-1))</f>
        <v>-0.62825559430698097</v>
      </c>
      <c r="G34" s="699">
        <f>IF(ISERROR((G33/F33)-1),0,((G33/F33)-1))</f>
        <v>-1</v>
      </c>
      <c r="H34" s="702">
        <f>IF(ISERROR((H33/G33)-1),0,((H33/G33)-1))</f>
        <v>0</v>
      </c>
      <c r="I34" s="685"/>
      <c r="J34" s="702"/>
      <c r="K34" s="699"/>
      <c r="L34" s="700"/>
    </row>
    <row r="35" spans="1:15" ht="25.5" customHeight="1">
      <c r="A35" s="703" t="s">
        <v>1972</v>
      </c>
      <c r="B35" s="704">
        <v>3</v>
      </c>
      <c r="C35" s="705"/>
      <c r="D35" s="705"/>
      <c r="E35" s="706"/>
      <c r="F35" s="707"/>
      <c r="G35" s="705"/>
      <c r="H35" s="708"/>
      <c r="I35" s="709"/>
      <c r="J35" s="708"/>
      <c r="K35" s="705"/>
      <c r="L35" s="706"/>
    </row>
    <row r="36" spans="1:15">
      <c r="A36" s="298" t="str">
        <f>A6</f>
        <v>Rates and services charges:</v>
      </c>
      <c r="B36" s="680"/>
      <c r="C36" s="681"/>
      <c r="D36" s="681"/>
      <c r="E36" s="682"/>
      <c r="F36" s="683"/>
      <c r="G36" s="681"/>
      <c r="H36" s="684"/>
      <c r="I36" s="685"/>
      <c r="J36" s="684"/>
      <c r="K36" s="681"/>
      <c r="L36" s="682"/>
    </row>
    <row r="37" spans="1:15">
      <c r="A37" s="305" t="str">
        <f t="shared" ref="A37:A46" si="7">A7</f>
        <v>Property rates</v>
      </c>
      <c r="B37" s="680"/>
      <c r="C37" s="2309">
        <v>0</v>
      </c>
      <c r="D37" s="2310">
        <v>0</v>
      </c>
      <c r="E37" s="2311"/>
      <c r="F37" s="2312">
        <v>1440</v>
      </c>
      <c r="G37" s="1979">
        <v>1440</v>
      </c>
      <c r="H37" s="1982">
        <v>1440</v>
      </c>
      <c r="I37" s="1983">
        <v>0.08</v>
      </c>
      <c r="J37" s="1982">
        <v>1560</v>
      </c>
      <c r="K37" s="1979"/>
      <c r="L37" s="1980"/>
      <c r="O37" s="373"/>
    </row>
    <row r="38" spans="1:15">
      <c r="A38" s="305" t="str">
        <f t="shared" si="7"/>
        <v>Electricity: Basic levy</v>
      </c>
      <c r="B38" s="680"/>
      <c r="C38" s="2309">
        <v>0</v>
      </c>
      <c r="D38" s="2310">
        <v>0</v>
      </c>
      <c r="E38" s="2311"/>
      <c r="F38" s="2312"/>
      <c r="G38" s="2312"/>
      <c r="H38" s="2312"/>
      <c r="I38" s="1983"/>
      <c r="J38" s="1982"/>
      <c r="K38" s="1979"/>
      <c r="L38" s="1980"/>
    </row>
    <row r="39" spans="1:15">
      <c r="A39" s="305" t="str">
        <f t="shared" si="7"/>
        <v>Electricity: Consumption</v>
      </c>
      <c r="B39" s="680"/>
      <c r="C39" s="2309">
        <v>2.19</v>
      </c>
      <c r="D39" s="2310">
        <v>2.4500000000000002</v>
      </c>
      <c r="E39" s="2311">
        <v>3.13</v>
      </c>
      <c r="F39" s="2312">
        <f>+E39*1.06</f>
        <v>3.3178000000000001</v>
      </c>
      <c r="G39" s="2312">
        <v>3.32</v>
      </c>
      <c r="H39" s="2312">
        <v>3.32</v>
      </c>
      <c r="I39" s="1983">
        <v>0.23300000000000001</v>
      </c>
      <c r="J39" s="2309">
        <v>141.71</v>
      </c>
      <c r="K39" s="1979"/>
      <c r="L39" s="1980"/>
    </row>
    <row r="40" spans="1:15">
      <c r="A40" s="305" t="str">
        <f t="shared" si="7"/>
        <v>Water: Basic levy</v>
      </c>
      <c r="B40" s="680"/>
      <c r="C40" s="2309">
        <v>0</v>
      </c>
      <c r="D40" s="2310">
        <v>0</v>
      </c>
      <c r="E40" s="2311"/>
      <c r="F40" s="2312"/>
      <c r="G40" s="2312"/>
      <c r="H40" s="2312"/>
      <c r="I40" s="1983"/>
      <c r="J40" s="1982"/>
      <c r="K40" s="1979"/>
      <c r="L40" s="1980"/>
    </row>
    <row r="41" spans="1:15">
      <c r="A41" s="305" t="str">
        <f t="shared" si="7"/>
        <v>Water: Consumption</v>
      </c>
      <c r="B41" s="680"/>
      <c r="C41" s="2309">
        <v>0</v>
      </c>
      <c r="D41" s="2310">
        <v>0</v>
      </c>
      <c r="E41" s="2311"/>
      <c r="F41" s="2312">
        <v>30.11</v>
      </c>
      <c r="G41" s="2312">
        <v>30.11</v>
      </c>
      <c r="H41" s="2312">
        <v>30.11</v>
      </c>
      <c r="I41" s="1983">
        <v>0.08</v>
      </c>
      <c r="J41" s="1982">
        <v>32.520000000000003</v>
      </c>
      <c r="K41" s="1979"/>
      <c r="L41" s="1980"/>
    </row>
    <row r="42" spans="1:15">
      <c r="A42" s="305" t="str">
        <f t="shared" si="7"/>
        <v>Sanitation</v>
      </c>
      <c r="B42" s="680"/>
      <c r="C42" s="2309">
        <v>0</v>
      </c>
      <c r="D42" s="2310">
        <v>0</v>
      </c>
      <c r="E42" s="2311"/>
      <c r="F42" s="2312">
        <v>47.22</v>
      </c>
      <c r="G42" s="2312">
        <v>47.22</v>
      </c>
      <c r="H42" s="2312">
        <v>47.22</v>
      </c>
      <c r="I42" s="1983">
        <v>0.08</v>
      </c>
      <c r="J42" s="1982">
        <v>51</v>
      </c>
      <c r="K42" s="1979"/>
      <c r="L42" s="1980"/>
    </row>
    <row r="43" spans="1:15">
      <c r="A43" s="305" t="str">
        <f t="shared" si="7"/>
        <v>Refuse removal</v>
      </c>
      <c r="B43" s="680"/>
      <c r="C43" s="2309">
        <v>0</v>
      </c>
      <c r="D43" s="2310">
        <v>0</v>
      </c>
      <c r="E43" s="2311"/>
      <c r="F43" s="2312">
        <v>30.54</v>
      </c>
      <c r="G43" s="2312">
        <v>30.54</v>
      </c>
      <c r="H43" s="2312">
        <v>30.54</v>
      </c>
      <c r="I43" s="1983">
        <v>0.08</v>
      </c>
      <c r="J43" s="1982">
        <v>32.979999999999997</v>
      </c>
      <c r="K43" s="1979"/>
      <c r="L43" s="1980"/>
    </row>
    <row r="44" spans="1:15">
      <c r="A44" s="305" t="str">
        <f t="shared" si="7"/>
        <v>Other</v>
      </c>
      <c r="B44" s="680"/>
      <c r="C44" s="2309"/>
      <c r="D44" s="2310"/>
      <c r="E44" s="2311"/>
      <c r="F44" s="2312"/>
      <c r="G44" s="1979"/>
      <c r="H44" s="1982"/>
      <c r="I44" s="1983" t="str">
        <f t="shared" ref="I44:I46" si="8">IF(J44&gt;0,I13ROUND((J44-F44)/F44,3),"")</f>
        <v/>
      </c>
      <c r="J44" s="1982"/>
      <c r="K44" s="1979"/>
      <c r="L44" s="1980"/>
    </row>
    <row r="45" spans="1:15">
      <c r="A45" s="686" t="str">
        <f t="shared" si="7"/>
        <v>sub-total</v>
      </c>
      <c r="B45" s="710"/>
      <c r="C45" s="687">
        <f>SUM(C37:C44)</f>
        <v>2.19</v>
      </c>
      <c r="D45" s="687">
        <f>SUM(D37:D44)</f>
        <v>2.4500000000000002</v>
      </c>
      <c r="E45" s="688">
        <f>SUM(E37:E44)</f>
        <v>3.13</v>
      </c>
      <c r="F45" s="689">
        <f>SUM(F37:F44)</f>
        <v>1551.1877999999999</v>
      </c>
      <c r="G45" s="687">
        <f t="shared" ref="G45:L45" si="9">SUM(G37:G44)</f>
        <v>1551.1899999999998</v>
      </c>
      <c r="H45" s="690">
        <f t="shared" si="9"/>
        <v>1551.1899999999998</v>
      </c>
      <c r="I45" s="691">
        <f>IF(ISERROR(ROUND((J45-F45)/F45,3)),0,(ROUND((J45-F45)/F45,3)))</f>
        <v>0.17199999999999999</v>
      </c>
      <c r="J45" s="690">
        <f t="shared" si="9"/>
        <v>1818.21</v>
      </c>
      <c r="K45" s="687">
        <f t="shared" si="9"/>
        <v>0</v>
      </c>
      <c r="L45" s="688">
        <f t="shared" si="9"/>
        <v>0</v>
      </c>
    </row>
    <row r="46" spans="1:15">
      <c r="A46" s="305" t="str">
        <f t="shared" si="7"/>
        <v>VAT on Services</v>
      </c>
      <c r="B46" s="680"/>
      <c r="C46" s="1979"/>
      <c r="D46" s="1979"/>
      <c r="E46" s="1980"/>
      <c r="F46" s="1981"/>
      <c r="G46" s="1979"/>
      <c r="H46" s="1982"/>
      <c r="I46" s="1983" t="str">
        <f t="shared" si="8"/>
        <v/>
      </c>
      <c r="J46" s="1982"/>
      <c r="K46" s="1979"/>
      <c r="L46" s="1980"/>
    </row>
    <row r="47" spans="1:15">
      <c r="A47" s="298" t="s">
        <v>887</v>
      </c>
      <c r="B47" s="680"/>
      <c r="C47" s="687">
        <f>SUM(C45:C46)</f>
        <v>2.19</v>
      </c>
      <c r="D47" s="687">
        <f>SUM(D45:D46)</f>
        <v>2.4500000000000002</v>
      </c>
      <c r="E47" s="688">
        <f>SUM(E45:E46)</f>
        <v>3.13</v>
      </c>
      <c r="F47" s="689">
        <f>SUM(F45:F46)</f>
        <v>1551.1877999999999</v>
      </c>
      <c r="G47" s="687">
        <f t="shared" ref="G47:L47" si="10">SUM(G45:G46)</f>
        <v>1551.1899999999998</v>
      </c>
      <c r="H47" s="690">
        <f t="shared" si="10"/>
        <v>1551.1899999999998</v>
      </c>
      <c r="I47" s="691">
        <f>IF(ISERROR(ROUND((J47-F47)/F47,3)),0,(ROUND((J47-F47)/F47,3)))</f>
        <v>0.17199999999999999</v>
      </c>
      <c r="J47" s="690">
        <f t="shared" si="10"/>
        <v>1818.21</v>
      </c>
      <c r="K47" s="687">
        <f t="shared" si="10"/>
        <v>0</v>
      </c>
      <c r="L47" s="688">
        <f t="shared" si="10"/>
        <v>0</v>
      </c>
    </row>
    <row r="48" spans="1:15">
      <c r="A48" s="692" t="str">
        <f>A18</f>
        <v>% increase/-decrease</v>
      </c>
      <c r="B48" s="680"/>
      <c r="C48" s="693"/>
      <c r="D48" s="694">
        <f>IF(ISERROR((D47/C47)-1),0,((D47/C47)-1))</f>
        <v>0.11872146118721472</v>
      </c>
      <c r="E48" s="695">
        <f>IF(ISERROR((E47/D47)-1),0,((E47/D47)-1))</f>
        <v>0.27755102040816304</v>
      </c>
      <c r="F48" s="696">
        <f>IF(ISERROR((F47/E47)-1),0,((F47/E47)-1))</f>
        <v>494.58715654952078</v>
      </c>
      <c r="G48" s="694">
        <f>IF(ISERROR((G47/F47)-1),0,((G47/F47)-1))</f>
        <v>1.4182679879404247E-6</v>
      </c>
      <c r="H48" s="697">
        <f>IF(ISERROR((H47/G47)-1),0,((H47/G47)-1))</f>
        <v>0</v>
      </c>
      <c r="I48" s="698"/>
      <c r="J48" s="697">
        <f>IF(ISERROR((J47/H47)-1),0,((J47/H47)-1))</f>
        <v>0.17213880955911276</v>
      </c>
      <c r="K48" s="694">
        <f>IF(ISERROR((K47/J47)-1),0,((K47/J47)-1))</f>
        <v>-1</v>
      </c>
      <c r="L48" s="695">
        <f>IF(ISERROR((L47/K47)-1),0,((L47/K47)-1))</f>
        <v>0</v>
      </c>
    </row>
    <row r="49" spans="1:40" ht="5.0999999999999996" customHeight="1">
      <c r="A49" s="711"/>
      <c r="B49" s="712"/>
      <c r="C49" s="712"/>
      <c r="D49" s="712"/>
      <c r="E49" s="713"/>
      <c r="F49" s="714"/>
      <c r="G49" s="712"/>
      <c r="H49" s="715"/>
      <c r="I49" s="716"/>
      <c r="J49" s="715"/>
      <c r="K49" s="712"/>
      <c r="L49" s="713"/>
    </row>
    <row r="50" spans="1:40" s="722" customFormat="1">
      <c r="A50" s="1198" t="str">
        <f>head27a</f>
        <v>References</v>
      </c>
      <c r="B50" s="1075"/>
      <c r="C50" s="721"/>
      <c r="D50" s="721"/>
      <c r="E50" s="721"/>
      <c r="F50" s="1104"/>
      <c r="G50" s="721"/>
      <c r="H50" s="721"/>
      <c r="I50" s="721"/>
      <c r="J50" s="721"/>
      <c r="K50" s="721"/>
    </row>
    <row r="51" spans="1:40" s="722" customFormat="1">
      <c r="A51" s="1461" t="s">
        <v>1704</v>
      </c>
      <c r="B51" s="1105"/>
      <c r="C51" s="1106"/>
      <c r="D51" s="1106"/>
      <c r="E51" s="1106"/>
      <c r="F51" s="1106"/>
      <c r="G51" s="1106"/>
      <c r="H51" s="1106"/>
      <c r="I51" s="1106"/>
      <c r="J51" s="1106"/>
      <c r="K51" s="1106"/>
      <c r="L51" s="1106"/>
      <c r="M51" s="1106"/>
      <c r="N51" s="1106"/>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1106"/>
    </row>
    <row r="52" spans="1:40" s="722" customFormat="1">
      <c r="A52" s="1461" t="s">
        <v>896</v>
      </c>
      <c r="B52" s="1105"/>
      <c r="C52" s="1106"/>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row>
    <row r="53" spans="1:40" s="722" customFormat="1">
      <c r="A53" s="1461" t="s">
        <v>1386</v>
      </c>
      <c r="B53" s="1105"/>
      <c r="C53" s="1106"/>
      <c r="D53" s="1106"/>
      <c r="E53" s="1106"/>
      <c r="F53" s="1106"/>
      <c r="G53" s="1106"/>
      <c r="H53" s="1106"/>
      <c r="I53" s="1106"/>
      <c r="J53" s="1106"/>
      <c r="K53" s="1106"/>
      <c r="L53" s="1106"/>
      <c r="M53" s="1106"/>
      <c r="N53" s="1106"/>
      <c r="O53" s="1106"/>
      <c r="P53" s="1106"/>
      <c r="Q53" s="1106"/>
      <c r="R53" s="1106"/>
      <c r="S53" s="1106"/>
      <c r="T53" s="1106"/>
      <c r="U53" s="1106"/>
      <c r="V53" s="1106"/>
      <c r="W53" s="1106"/>
      <c r="X53" s="1106"/>
      <c r="Y53" s="1106"/>
      <c r="Z53" s="1106"/>
      <c r="AA53" s="1106"/>
      <c r="AB53" s="1106"/>
      <c r="AC53" s="1106"/>
      <c r="AD53" s="1106"/>
      <c r="AE53" s="1106"/>
      <c r="AF53" s="1106"/>
      <c r="AG53" s="1106"/>
      <c r="AH53" s="1106"/>
      <c r="AI53" s="1106"/>
      <c r="AJ53" s="1106"/>
      <c r="AK53" s="1106"/>
      <c r="AL53" s="1106"/>
      <c r="AM53" s="1106"/>
      <c r="AN53" s="1106"/>
    </row>
    <row r="55" spans="1:40">
      <c r="A55" s="720"/>
      <c r="B55" s="717"/>
      <c r="C55" s="718"/>
      <c r="D55" s="718"/>
      <c r="E55" s="718"/>
      <c r="F55" s="719"/>
      <c r="G55" s="718"/>
      <c r="H55" s="718"/>
      <c r="I55" s="718"/>
      <c r="J55" s="718"/>
      <c r="K55" s="721"/>
      <c r="L55" s="722"/>
      <c r="M55" s="722"/>
      <c r="N55" s="722"/>
      <c r="O55" s="722"/>
      <c r="P55" s="722"/>
      <c r="Q55" s="722"/>
      <c r="R55" s="722"/>
      <c r="S55" s="722"/>
      <c r="T55" s="722"/>
      <c r="U55" s="722"/>
      <c r="V55" s="722"/>
      <c r="W55" s="722"/>
      <c r="X55" s="722"/>
      <c r="Y55" s="722"/>
      <c r="Z55" s="722"/>
      <c r="AA55" s="722"/>
      <c r="AB55" s="722"/>
      <c r="AC55" s="722"/>
      <c r="AD55" s="722"/>
      <c r="AE55" s="722"/>
      <c r="AF55" s="722"/>
      <c r="AG55" s="722"/>
      <c r="AH55" s="722"/>
      <c r="AI55" s="722"/>
      <c r="AJ55" s="722"/>
      <c r="AK55" s="722"/>
      <c r="AL55" s="722"/>
      <c r="AM55" s="722"/>
      <c r="AN55" s="722"/>
    </row>
    <row r="56" spans="1:40">
      <c r="A56" s="720"/>
      <c r="B56" s="717"/>
      <c r="C56" s="718"/>
      <c r="D56" s="718"/>
      <c r="E56" s="718"/>
      <c r="F56" s="719"/>
      <c r="G56" s="718"/>
      <c r="H56" s="718"/>
      <c r="I56" s="718"/>
      <c r="J56" s="718"/>
      <c r="K56" s="721"/>
      <c r="L56" s="722"/>
      <c r="M56" s="722"/>
      <c r="N56" s="722"/>
      <c r="O56" s="722"/>
      <c r="P56" s="722"/>
      <c r="Q56" s="722"/>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row>
    <row r="57" spans="1:40">
      <c r="A57" s="720"/>
      <c r="B57" s="717"/>
      <c r="C57" s="718"/>
      <c r="D57" s="718"/>
      <c r="E57" s="718"/>
      <c r="F57" s="719"/>
      <c r="G57" s="718"/>
      <c r="H57" s="718"/>
      <c r="I57" s="718"/>
      <c r="J57" s="718"/>
      <c r="K57" s="721"/>
      <c r="L57" s="722"/>
      <c r="M57" s="722"/>
      <c r="N57" s="722"/>
      <c r="O57" s="722"/>
      <c r="P57" s="722"/>
      <c r="Q57" s="722"/>
      <c r="R57" s="722"/>
      <c r="S57" s="722"/>
      <c r="T57" s="722"/>
      <c r="U57" s="722"/>
      <c r="V57" s="722"/>
      <c r="W57" s="722"/>
      <c r="X57" s="722"/>
      <c r="Y57" s="722"/>
      <c r="Z57" s="722"/>
      <c r="AA57" s="722"/>
      <c r="AB57" s="722"/>
      <c r="AC57" s="722"/>
      <c r="AD57" s="722"/>
      <c r="AE57" s="722"/>
      <c r="AF57" s="722"/>
      <c r="AG57" s="722"/>
      <c r="AH57" s="722"/>
      <c r="AI57" s="722"/>
      <c r="AJ57" s="722"/>
      <c r="AK57" s="722"/>
      <c r="AL57" s="722"/>
      <c r="AM57" s="722"/>
      <c r="AN57" s="722"/>
    </row>
    <row r="58" spans="1:40">
      <c r="K58" s="721"/>
      <c r="L58" s="722"/>
      <c r="M58" s="722"/>
      <c r="N58" s="722"/>
      <c r="O58" s="722"/>
      <c r="P58" s="722"/>
      <c r="Q58" s="722"/>
      <c r="R58" s="722"/>
      <c r="S58" s="722"/>
      <c r="T58" s="722"/>
      <c r="U58" s="722"/>
      <c r="V58" s="722"/>
      <c r="W58" s="722"/>
      <c r="X58" s="722"/>
      <c r="Y58" s="722"/>
      <c r="Z58" s="722"/>
      <c r="AA58" s="722"/>
      <c r="AB58" s="722"/>
      <c r="AC58" s="722"/>
      <c r="AD58" s="722"/>
      <c r="AE58" s="722"/>
      <c r="AF58" s="722"/>
      <c r="AG58" s="722"/>
      <c r="AH58" s="722"/>
      <c r="AI58" s="722"/>
      <c r="AJ58" s="722"/>
      <c r="AK58" s="722"/>
      <c r="AL58" s="722"/>
      <c r="AM58" s="722"/>
      <c r="AN58" s="722"/>
    </row>
    <row r="59" spans="1:40">
      <c r="K59" s="721"/>
      <c r="L59" s="722"/>
      <c r="M59" s="722"/>
      <c r="N59" s="722"/>
      <c r="O59" s="722"/>
      <c r="P59" s="722"/>
      <c r="Q59" s="722"/>
      <c r="R59" s="722"/>
      <c r="S59" s="722"/>
      <c r="T59" s="722"/>
      <c r="U59" s="722"/>
      <c r="V59" s="722"/>
      <c r="W59" s="722"/>
      <c r="X59" s="722"/>
      <c r="Y59" s="722"/>
      <c r="Z59" s="722"/>
      <c r="AA59" s="722"/>
      <c r="AB59" s="722"/>
      <c r="AC59" s="722"/>
      <c r="AD59" s="722"/>
      <c r="AE59" s="722"/>
      <c r="AF59" s="722"/>
      <c r="AG59" s="722"/>
      <c r="AH59" s="722"/>
      <c r="AI59" s="722"/>
      <c r="AJ59" s="722"/>
      <c r="AK59" s="722"/>
      <c r="AL59" s="722"/>
      <c r="AM59" s="722"/>
      <c r="AN59" s="722"/>
    </row>
    <row r="60" spans="1:40">
      <c r="K60" s="721"/>
      <c r="L60" s="722"/>
      <c r="M60" s="722"/>
      <c r="N60" s="722"/>
      <c r="O60" s="722"/>
      <c r="P60" s="722"/>
      <c r="Q60" s="722"/>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row>
    <row r="61" spans="1:40">
      <c r="K61" s="721"/>
      <c r="L61" s="722"/>
      <c r="M61" s="722"/>
      <c r="N61" s="722"/>
      <c r="O61" s="722"/>
      <c r="P61" s="722"/>
      <c r="Q61" s="722"/>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row>
    <row r="62" spans="1:40">
      <c r="K62" s="721"/>
      <c r="L62" s="722"/>
      <c r="M62" s="722"/>
      <c r="N62" s="722"/>
      <c r="O62" s="722"/>
      <c r="P62" s="722"/>
      <c r="Q62" s="722"/>
      <c r="R62" s="722"/>
      <c r="S62" s="722"/>
      <c r="T62" s="722"/>
      <c r="U62" s="722"/>
      <c r="V62" s="722"/>
      <c r="W62" s="722"/>
      <c r="X62" s="722"/>
      <c r="Y62" s="722"/>
      <c r="Z62" s="722"/>
      <c r="AA62" s="722"/>
      <c r="AB62" s="722"/>
      <c r="AC62" s="722"/>
      <c r="AD62" s="722"/>
      <c r="AE62" s="722"/>
      <c r="AF62" s="722"/>
      <c r="AG62" s="722"/>
      <c r="AH62" s="722"/>
      <c r="AI62" s="722"/>
      <c r="AJ62" s="722"/>
      <c r="AK62" s="722"/>
      <c r="AL62" s="722"/>
      <c r="AM62" s="722"/>
      <c r="AN62" s="722"/>
    </row>
    <row r="63" spans="1:40">
      <c r="K63" s="721"/>
      <c r="L63" s="722"/>
      <c r="M63" s="722"/>
      <c r="N63" s="722"/>
      <c r="O63" s="722"/>
      <c r="P63" s="722"/>
      <c r="Q63" s="722"/>
      <c r="R63" s="722"/>
      <c r="S63" s="722"/>
      <c r="T63" s="722"/>
      <c r="U63" s="722"/>
      <c r="V63" s="722"/>
      <c r="W63" s="722"/>
      <c r="X63" s="722"/>
      <c r="Y63" s="722"/>
      <c r="Z63" s="722"/>
      <c r="AA63" s="722"/>
      <c r="AB63" s="722"/>
      <c r="AC63" s="722"/>
      <c r="AD63" s="722"/>
      <c r="AE63" s="722"/>
      <c r="AF63" s="722"/>
      <c r="AG63" s="722"/>
      <c r="AH63" s="722"/>
      <c r="AI63" s="722"/>
      <c r="AJ63" s="722"/>
      <c r="AK63" s="722"/>
      <c r="AL63" s="722"/>
      <c r="AM63" s="722"/>
      <c r="AN63" s="722"/>
    </row>
    <row r="64" spans="1:40">
      <c r="K64" s="721"/>
      <c r="L64" s="722"/>
      <c r="M64" s="722"/>
      <c r="N64" s="722"/>
      <c r="O64" s="722"/>
      <c r="P64" s="722"/>
      <c r="Q64" s="722"/>
      <c r="R64" s="722"/>
      <c r="S64" s="722"/>
      <c r="T64" s="722"/>
      <c r="U64" s="722"/>
      <c r="V64" s="722"/>
      <c r="W64" s="722"/>
      <c r="X64" s="722"/>
      <c r="Y64" s="722"/>
      <c r="Z64" s="722"/>
      <c r="AA64" s="722"/>
      <c r="AB64" s="722"/>
      <c r="AC64" s="722"/>
      <c r="AD64" s="722"/>
      <c r="AE64" s="722"/>
      <c r="AF64" s="722"/>
      <c r="AG64" s="722"/>
      <c r="AH64" s="722"/>
      <c r="AI64" s="722"/>
      <c r="AJ64" s="722"/>
      <c r="AK64" s="722"/>
      <c r="AL64" s="722"/>
      <c r="AM64" s="722"/>
      <c r="AN64" s="722"/>
    </row>
    <row r="65" spans="11:40">
      <c r="K65" s="721"/>
      <c r="L65" s="722"/>
      <c r="M65" s="722"/>
      <c r="N65" s="722"/>
      <c r="O65" s="722"/>
      <c r="P65" s="722"/>
      <c r="Q65" s="722"/>
      <c r="R65" s="722"/>
      <c r="S65" s="722"/>
      <c r="T65" s="722"/>
      <c r="U65" s="722"/>
      <c r="V65" s="722"/>
      <c r="W65" s="722"/>
      <c r="X65" s="722"/>
      <c r="Y65" s="722"/>
      <c r="Z65" s="722"/>
      <c r="AA65" s="722"/>
      <c r="AB65" s="722"/>
      <c r="AC65" s="722"/>
      <c r="AD65" s="722"/>
      <c r="AE65" s="722"/>
      <c r="AF65" s="722"/>
      <c r="AG65" s="722"/>
      <c r="AH65" s="722"/>
      <c r="AI65" s="722"/>
      <c r="AJ65" s="722"/>
      <c r="AK65" s="722"/>
      <c r="AL65" s="722"/>
      <c r="AM65" s="722"/>
      <c r="AN65" s="722"/>
    </row>
    <row r="66" spans="11:40">
      <c r="K66" s="721"/>
      <c r="L66" s="722"/>
      <c r="M66" s="722"/>
      <c r="N66" s="722"/>
      <c r="O66" s="722"/>
      <c r="P66" s="722"/>
      <c r="Q66" s="722"/>
      <c r="R66" s="722"/>
      <c r="S66" s="722"/>
      <c r="T66" s="722"/>
      <c r="U66" s="722"/>
      <c r="V66" s="722"/>
      <c r="W66" s="722"/>
      <c r="X66" s="722"/>
      <c r="Y66" s="722"/>
      <c r="Z66" s="722"/>
      <c r="AA66" s="722"/>
      <c r="AB66" s="722"/>
      <c r="AC66" s="722"/>
      <c r="AD66" s="722"/>
      <c r="AE66" s="722"/>
      <c r="AF66" s="722"/>
      <c r="AG66" s="722"/>
      <c r="AH66" s="722"/>
      <c r="AI66" s="722"/>
      <c r="AJ66" s="722"/>
      <c r="AK66" s="722"/>
      <c r="AL66" s="722"/>
      <c r="AM66" s="722"/>
      <c r="AN66" s="722"/>
    </row>
    <row r="67" spans="11:40">
      <c r="K67" s="721"/>
      <c r="L67" s="722"/>
      <c r="M67" s="722"/>
      <c r="N67" s="722"/>
      <c r="O67" s="722"/>
      <c r="P67" s="722"/>
      <c r="Q67" s="722"/>
      <c r="R67" s="722"/>
      <c r="S67" s="722"/>
      <c r="T67" s="722"/>
      <c r="U67" s="722"/>
      <c r="V67" s="722"/>
      <c r="W67" s="722"/>
      <c r="X67" s="722"/>
      <c r="Y67" s="722"/>
      <c r="Z67" s="722"/>
      <c r="AA67" s="722"/>
      <c r="AB67" s="722"/>
      <c r="AC67" s="722"/>
      <c r="AD67" s="722"/>
      <c r="AE67" s="722"/>
      <c r="AF67" s="722"/>
      <c r="AG67" s="722"/>
      <c r="AH67" s="722"/>
      <c r="AI67" s="722"/>
      <c r="AJ67" s="722"/>
      <c r="AK67" s="722"/>
      <c r="AL67" s="722"/>
      <c r="AM67" s="722"/>
      <c r="AN67" s="722"/>
    </row>
    <row r="68" spans="11:40">
      <c r="K68" s="721"/>
      <c r="L68" s="722"/>
      <c r="M68" s="722"/>
      <c r="N68" s="722"/>
      <c r="O68" s="722"/>
      <c r="P68" s="722"/>
      <c r="Q68" s="722"/>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row>
    <row r="69" spans="11:40">
      <c r="K69" s="721"/>
      <c r="L69" s="722"/>
      <c r="M69" s="722"/>
      <c r="N69" s="722"/>
      <c r="O69" s="722"/>
      <c r="P69" s="722"/>
      <c r="Q69" s="722"/>
      <c r="R69" s="722"/>
      <c r="S69" s="722"/>
      <c r="T69" s="722"/>
      <c r="U69" s="722"/>
      <c r="V69" s="722"/>
      <c r="W69" s="722"/>
      <c r="X69" s="722"/>
      <c r="Y69" s="722"/>
      <c r="Z69" s="722"/>
      <c r="AA69" s="722"/>
      <c r="AB69" s="722"/>
      <c r="AC69" s="722"/>
      <c r="AD69" s="722"/>
      <c r="AE69" s="722"/>
      <c r="AF69" s="722"/>
      <c r="AG69" s="722"/>
      <c r="AH69" s="722"/>
      <c r="AI69" s="722"/>
      <c r="AJ69" s="722"/>
      <c r="AK69" s="722"/>
      <c r="AL69" s="722"/>
      <c r="AM69" s="722"/>
      <c r="AN69" s="722"/>
    </row>
    <row r="70" spans="11:40">
      <c r="K70" s="721"/>
      <c r="L70" s="722"/>
      <c r="M70" s="722"/>
      <c r="N70" s="722"/>
      <c r="O70" s="722"/>
      <c r="P70" s="722"/>
      <c r="Q70" s="722"/>
      <c r="R70" s="722"/>
      <c r="S70" s="722"/>
      <c r="T70" s="722"/>
      <c r="U70" s="722"/>
      <c r="V70" s="722"/>
      <c r="W70" s="722"/>
      <c r="X70" s="722"/>
      <c r="Y70" s="722"/>
      <c r="Z70" s="722"/>
      <c r="AA70" s="722"/>
      <c r="AB70" s="722"/>
      <c r="AC70" s="722"/>
      <c r="AD70" s="722"/>
      <c r="AE70" s="722"/>
      <c r="AF70" s="722"/>
      <c r="AG70" s="722"/>
      <c r="AH70" s="722"/>
      <c r="AI70" s="722"/>
      <c r="AJ70" s="722"/>
      <c r="AK70" s="722"/>
      <c r="AL70" s="722"/>
      <c r="AM70" s="722"/>
      <c r="AN70" s="722"/>
    </row>
    <row r="71" spans="11:40">
      <c r="K71" s="721"/>
      <c r="L71" s="722"/>
      <c r="M71" s="722"/>
      <c r="N71" s="722"/>
      <c r="O71" s="722"/>
      <c r="P71" s="722"/>
      <c r="Q71" s="722"/>
      <c r="R71" s="722"/>
      <c r="S71" s="722"/>
      <c r="T71" s="722"/>
      <c r="U71" s="722"/>
      <c r="V71" s="722"/>
      <c r="W71" s="722"/>
      <c r="X71" s="722"/>
      <c r="Y71" s="722"/>
      <c r="Z71" s="722"/>
      <c r="AA71" s="722"/>
      <c r="AB71" s="722"/>
      <c r="AC71" s="722"/>
      <c r="AD71" s="722"/>
      <c r="AE71" s="722"/>
      <c r="AF71" s="722"/>
      <c r="AG71" s="722"/>
      <c r="AH71" s="722"/>
      <c r="AI71" s="722"/>
      <c r="AJ71" s="722"/>
      <c r="AK71" s="722"/>
      <c r="AL71" s="722"/>
      <c r="AM71" s="722"/>
      <c r="AN71" s="722"/>
    </row>
    <row r="72" spans="11:40">
      <c r="K72" s="721"/>
      <c r="L72" s="722"/>
      <c r="M72" s="722"/>
      <c r="N72" s="722"/>
      <c r="O72" s="722"/>
      <c r="P72" s="722"/>
      <c r="Q72" s="722"/>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row>
    <row r="73" spans="11:40">
      <c r="K73" s="721"/>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row>
    <row r="74" spans="11:40">
      <c r="K74" s="721"/>
      <c r="L74" s="722"/>
      <c r="M74" s="722"/>
      <c r="N74" s="722"/>
      <c r="O74" s="722"/>
      <c r="P74" s="722"/>
      <c r="Q74" s="722"/>
      <c r="R74" s="722"/>
      <c r="S74" s="722"/>
      <c r="T74" s="722"/>
      <c r="U74" s="722"/>
      <c r="V74" s="722"/>
      <c r="W74" s="722"/>
      <c r="X74" s="722"/>
      <c r="Y74" s="722"/>
      <c r="Z74" s="722"/>
      <c r="AA74" s="722"/>
      <c r="AB74" s="722"/>
      <c r="AC74" s="722"/>
      <c r="AD74" s="722"/>
      <c r="AE74" s="722"/>
      <c r="AF74" s="722"/>
      <c r="AG74" s="722"/>
      <c r="AH74" s="722"/>
      <c r="AI74" s="722"/>
      <c r="AJ74" s="722"/>
      <c r="AK74" s="722"/>
      <c r="AL74" s="722"/>
      <c r="AM74" s="722"/>
      <c r="AN74" s="722"/>
    </row>
    <row r="75" spans="11:40">
      <c r="K75" s="721"/>
      <c r="L75" s="722"/>
      <c r="M75" s="722"/>
      <c r="N75" s="722"/>
      <c r="O75" s="722"/>
      <c r="P75" s="722"/>
      <c r="Q75" s="722"/>
      <c r="R75" s="722"/>
      <c r="S75" s="722"/>
      <c r="T75" s="722"/>
      <c r="U75" s="722"/>
      <c r="V75" s="722"/>
      <c r="W75" s="722"/>
      <c r="X75" s="722"/>
      <c r="Y75" s="722"/>
      <c r="Z75" s="722"/>
      <c r="AA75" s="722"/>
      <c r="AB75" s="722"/>
      <c r="AC75" s="722"/>
      <c r="AD75" s="722"/>
      <c r="AE75" s="722"/>
      <c r="AF75" s="722"/>
      <c r="AG75" s="722"/>
      <c r="AH75" s="722"/>
      <c r="AI75" s="722"/>
      <c r="AJ75" s="722"/>
      <c r="AK75" s="722"/>
      <c r="AL75" s="722"/>
      <c r="AM75" s="722"/>
      <c r="AN75" s="722"/>
    </row>
    <row r="76" spans="11:40">
      <c r="K76" s="721"/>
      <c r="L76" s="722"/>
      <c r="M76" s="722"/>
      <c r="N76" s="722"/>
      <c r="O76" s="722"/>
      <c r="P76" s="722"/>
      <c r="Q76" s="722"/>
      <c r="R76" s="722"/>
      <c r="S76" s="722"/>
      <c r="T76" s="722"/>
      <c r="U76" s="722"/>
      <c r="V76" s="722"/>
      <c r="W76" s="722"/>
      <c r="X76" s="722"/>
      <c r="Y76" s="722"/>
      <c r="Z76" s="722"/>
      <c r="AA76" s="722"/>
      <c r="AB76" s="722"/>
      <c r="AC76" s="722"/>
      <c r="AD76" s="722"/>
      <c r="AE76" s="722"/>
      <c r="AF76" s="722"/>
      <c r="AG76" s="722"/>
      <c r="AH76" s="722"/>
      <c r="AI76" s="722"/>
      <c r="AJ76" s="722"/>
      <c r="AK76" s="722"/>
      <c r="AL76" s="722"/>
      <c r="AM76" s="722"/>
      <c r="AN76" s="722"/>
    </row>
    <row r="77" spans="11:40">
      <c r="K77" s="721"/>
      <c r="L77" s="722"/>
      <c r="M77" s="722"/>
      <c r="N77" s="722"/>
      <c r="O77" s="722"/>
      <c r="P77" s="722"/>
      <c r="Q77" s="722"/>
      <c r="R77" s="722"/>
      <c r="S77" s="722"/>
      <c r="T77" s="722"/>
      <c r="U77" s="722"/>
      <c r="V77" s="722"/>
      <c r="W77" s="722"/>
      <c r="X77" s="722"/>
      <c r="Y77" s="722"/>
      <c r="Z77" s="722"/>
      <c r="AA77" s="722"/>
      <c r="AB77" s="722"/>
      <c r="AC77" s="722"/>
      <c r="AD77" s="722"/>
      <c r="AE77" s="722"/>
      <c r="AF77" s="722"/>
      <c r="AG77" s="722"/>
      <c r="AH77" s="722"/>
      <c r="AI77" s="722"/>
      <c r="AJ77" s="722"/>
      <c r="AK77" s="722"/>
      <c r="AL77" s="722"/>
      <c r="AM77" s="722"/>
      <c r="AN77" s="722"/>
    </row>
    <row r="78" spans="11:40">
      <c r="K78" s="721"/>
      <c r="L78" s="722"/>
      <c r="M78" s="722"/>
      <c r="N78" s="722"/>
      <c r="O78" s="722"/>
      <c r="P78" s="722"/>
      <c r="Q78" s="722"/>
      <c r="R78" s="722"/>
      <c r="S78" s="722"/>
      <c r="T78" s="722"/>
      <c r="U78" s="722"/>
      <c r="V78" s="722"/>
      <c r="W78" s="722"/>
      <c r="X78" s="722"/>
      <c r="Y78" s="722"/>
      <c r="Z78" s="722"/>
      <c r="AA78" s="722"/>
      <c r="AB78" s="722"/>
      <c r="AC78" s="722"/>
      <c r="AD78" s="722"/>
      <c r="AE78" s="722"/>
      <c r="AF78" s="722"/>
      <c r="AG78" s="722"/>
      <c r="AH78" s="722"/>
      <c r="AI78" s="722"/>
      <c r="AJ78" s="722"/>
      <c r="AK78" s="722"/>
      <c r="AL78" s="722"/>
      <c r="AM78" s="722"/>
      <c r="AN78" s="722"/>
    </row>
    <row r="79" spans="11:40">
      <c r="K79" s="721"/>
      <c r="L79" s="722"/>
      <c r="M79" s="722"/>
      <c r="N79" s="722"/>
      <c r="O79" s="722"/>
      <c r="P79" s="722"/>
      <c r="Q79" s="722"/>
      <c r="R79" s="722"/>
      <c r="S79" s="722"/>
      <c r="T79" s="722"/>
      <c r="U79" s="722"/>
      <c r="V79" s="722"/>
      <c r="W79" s="722"/>
      <c r="X79" s="722"/>
      <c r="Y79" s="722"/>
      <c r="Z79" s="722"/>
      <c r="AA79" s="722"/>
      <c r="AB79" s="722"/>
      <c r="AC79" s="722"/>
      <c r="AD79" s="722"/>
      <c r="AE79" s="722"/>
      <c r="AF79" s="722"/>
      <c r="AG79" s="722"/>
      <c r="AH79" s="722"/>
      <c r="AI79" s="722"/>
      <c r="AJ79" s="722"/>
      <c r="AK79" s="722"/>
      <c r="AL79" s="722"/>
      <c r="AM79" s="722"/>
      <c r="AN79" s="722"/>
    </row>
    <row r="80" spans="11:40">
      <c r="K80" s="721"/>
      <c r="L80" s="722"/>
      <c r="M80" s="722"/>
      <c r="N80" s="722"/>
      <c r="O80" s="722"/>
      <c r="P80" s="722"/>
      <c r="Q80" s="722"/>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row>
    <row r="81" spans="11:40">
      <c r="K81" s="721"/>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722"/>
      <c r="AI81" s="722"/>
      <c r="AJ81" s="722"/>
      <c r="AK81" s="722"/>
      <c r="AL81" s="722"/>
      <c r="AM81" s="722"/>
      <c r="AN81" s="722"/>
    </row>
    <row r="82" spans="11:40">
      <c r="K82" s="721"/>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row>
    <row r="83" spans="11:40">
      <c r="K83" s="721"/>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row>
    <row r="84" spans="11:40">
      <c r="K84" s="721"/>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row>
    <row r="85" spans="11:40">
      <c r="K85" s="721"/>
      <c r="L85" s="722"/>
      <c r="M85" s="722"/>
      <c r="N85" s="722"/>
      <c r="O85" s="722"/>
      <c r="P85" s="722"/>
      <c r="Q85" s="722"/>
      <c r="R85" s="722"/>
      <c r="S85" s="722"/>
      <c r="T85" s="722"/>
      <c r="U85" s="722"/>
      <c r="V85" s="722"/>
      <c r="W85" s="722"/>
      <c r="X85" s="722"/>
      <c r="Y85" s="722"/>
      <c r="Z85" s="722"/>
      <c r="AA85" s="722"/>
      <c r="AB85" s="722"/>
      <c r="AC85" s="722"/>
      <c r="AD85" s="722"/>
      <c r="AE85" s="722"/>
      <c r="AF85" s="722"/>
      <c r="AG85" s="722"/>
      <c r="AH85" s="722"/>
      <c r="AI85" s="722"/>
      <c r="AJ85" s="722"/>
      <c r="AK85" s="722"/>
      <c r="AL85" s="722"/>
      <c r="AM85" s="722"/>
      <c r="AN85" s="722"/>
    </row>
    <row r="86" spans="11:40">
      <c r="K86" s="721"/>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722"/>
      <c r="AI86" s="722"/>
      <c r="AJ86" s="722"/>
      <c r="AK86" s="722"/>
      <c r="AL86" s="722"/>
      <c r="AM86" s="722"/>
      <c r="AN86" s="722"/>
    </row>
    <row r="87" spans="11:40">
      <c r="K87" s="721"/>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row>
    <row r="88" spans="11:40">
      <c r="K88" s="721"/>
      <c r="L88" s="722"/>
      <c r="M88" s="722"/>
      <c r="N88" s="722"/>
      <c r="O88" s="722"/>
      <c r="P88" s="722"/>
      <c r="Q88" s="722"/>
      <c r="R88" s="722"/>
      <c r="S88" s="722"/>
      <c r="T88" s="722"/>
      <c r="U88" s="722"/>
      <c r="V88" s="722"/>
      <c r="W88" s="722"/>
      <c r="X88" s="722"/>
      <c r="Y88" s="722"/>
      <c r="Z88" s="722"/>
      <c r="AA88" s="722"/>
      <c r="AB88" s="722"/>
      <c r="AC88" s="722"/>
      <c r="AD88" s="722"/>
      <c r="AE88" s="722"/>
      <c r="AF88" s="722"/>
      <c r="AG88" s="722"/>
      <c r="AH88" s="722"/>
      <c r="AI88" s="722"/>
      <c r="AJ88" s="722"/>
      <c r="AK88" s="722"/>
      <c r="AL88" s="722"/>
      <c r="AM88" s="722"/>
      <c r="AN88" s="722"/>
    </row>
    <row r="89" spans="11:40">
      <c r="K89" s="721"/>
      <c r="L89" s="722"/>
      <c r="M89" s="722"/>
      <c r="N89" s="722"/>
      <c r="O89" s="722"/>
      <c r="P89" s="722"/>
      <c r="Q89" s="722"/>
      <c r="R89" s="722"/>
      <c r="S89" s="722"/>
      <c r="T89" s="722"/>
      <c r="U89" s="722"/>
      <c r="V89" s="722"/>
      <c r="W89" s="722"/>
      <c r="X89" s="722"/>
      <c r="Y89" s="722"/>
      <c r="Z89" s="722"/>
      <c r="AA89" s="722"/>
      <c r="AB89" s="722"/>
      <c r="AC89" s="722"/>
      <c r="AD89" s="722"/>
      <c r="AE89" s="722"/>
      <c r="AF89" s="722"/>
      <c r="AG89" s="722"/>
      <c r="AH89" s="722"/>
      <c r="AI89" s="722"/>
      <c r="AJ89" s="722"/>
      <c r="AK89" s="722"/>
      <c r="AL89" s="722"/>
      <c r="AM89" s="722"/>
      <c r="AN89" s="722"/>
    </row>
    <row r="90" spans="11:40">
      <c r="K90" s="721"/>
      <c r="L90" s="722"/>
      <c r="M90" s="722"/>
      <c r="N90" s="722"/>
      <c r="O90" s="722"/>
      <c r="P90" s="722"/>
      <c r="Q90" s="722"/>
      <c r="R90" s="722"/>
      <c r="S90" s="722"/>
      <c r="T90" s="722"/>
      <c r="U90" s="722"/>
      <c r="V90" s="722"/>
      <c r="W90" s="722"/>
      <c r="X90" s="722"/>
      <c r="Y90" s="722"/>
      <c r="Z90" s="722"/>
      <c r="AA90" s="722"/>
      <c r="AB90" s="722"/>
      <c r="AC90" s="722"/>
      <c r="AD90" s="722"/>
      <c r="AE90" s="722"/>
      <c r="AF90" s="722"/>
      <c r="AG90" s="722"/>
      <c r="AH90" s="722"/>
      <c r="AI90" s="722"/>
      <c r="AJ90" s="722"/>
      <c r="AK90" s="722"/>
      <c r="AL90" s="722"/>
      <c r="AM90" s="722"/>
      <c r="AN90" s="722"/>
    </row>
    <row r="91" spans="11:40">
      <c r="K91" s="721"/>
      <c r="L91" s="722"/>
      <c r="M91" s="722"/>
      <c r="N91" s="722"/>
      <c r="O91" s="722"/>
      <c r="P91" s="722"/>
      <c r="Q91" s="722"/>
      <c r="R91" s="722"/>
      <c r="S91" s="722"/>
      <c r="T91" s="722"/>
      <c r="U91" s="722"/>
      <c r="V91" s="722"/>
      <c r="W91" s="722"/>
      <c r="X91" s="722"/>
      <c r="Y91" s="722"/>
      <c r="Z91" s="722"/>
      <c r="AA91" s="722"/>
      <c r="AB91" s="722"/>
      <c r="AC91" s="722"/>
      <c r="AD91" s="722"/>
      <c r="AE91" s="722"/>
      <c r="AF91" s="722"/>
      <c r="AG91" s="722"/>
      <c r="AH91" s="722"/>
      <c r="AI91" s="722"/>
      <c r="AJ91" s="722"/>
      <c r="AK91" s="722"/>
      <c r="AL91" s="722"/>
      <c r="AM91" s="722"/>
      <c r="AN91" s="722"/>
    </row>
    <row r="92" spans="11:40">
      <c r="K92" s="721"/>
      <c r="L92" s="722"/>
      <c r="M92" s="722"/>
      <c r="N92" s="722"/>
      <c r="O92" s="722"/>
      <c r="P92" s="722"/>
      <c r="Q92" s="722"/>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row>
    <row r="93" spans="11:40">
      <c r="K93" s="721"/>
      <c r="L93" s="722"/>
      <c r="M93" s="722"/>
      <c r="N93" s="722"/>
      <c r="O93" s="722"/>
      <c r="P93" s="722"/>
      <c r="Q93" s="722"/>
      <c r="R93" s="722"/>
      <c r="S93" s="722"/>
      <c r="T93" s="722"/>
      <c r="U93" s="722"/>
      <c r="V93" s="722"/>
      <c r="W93" s="722"/>
      <c r="X93" s="722"/>
      <c r="Y93" s="722"/>
      <c r="Z93" s="722"/>
      <c r="AA93" s="722"/>
      <c r="AB93" s="722"/>
      <c r="AC93" s="722"/>
      <c r="AD93" s="722"/>
      <c r="AE93" s="722"/>
      <c r="AF93" s="722"/>
      <c r="AG93" s="722"/>
      <c r="AH93" s="722"/>
      <c r="AI93" s="722"/>
      <c r="AJ93" s="722"/>
      <c r="AK93" s="722"/>
      <c r="AL93" s="722"/>
      <c r="AM93" s="722"/>
      <c r="AN93" s="722"/>
    </row>
    <row r="94" spans="11:40">
      <c r="K94" s="721"/>
      <c r="L94" s="722"/>
      <c r="M94" s="722"/>
      <c r="N94" s="722"/>
      <c r="O94" s="722"/>
      <c r="P94" s="722"/>
      <c r="Q94" s="722"/>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row>
    <row r="95" spans="11:40">
      <c r="K95" s="721"/>
      <c r="L95" s="722"/>
      <c r="M95" s="722"/>
      <c r="N95" s="722"/>
      <c r="O95" s="722"/>
      <c r="P95" s="722"/>
      <c r="Q95" s="722"/>
      <c r="R95" s="722"/>
      <c r="S95" s="722"/>
      <c r="T95" s="722"/>
      <c r="U95" s="722"/>
      <c r="V95" s="722"/>
      <c r="W95" s="722"/>
      <c r="X95" s="722"/>
      <c r="Y95" s="722"/>
      <c r="Z95" s="722"/>
      <c r="AA95" s="722"/>
      <c r="AB95" s="722"/>
      <c r="AC95" s="722"/>
      <c r="AD95" s="722"/>
      <c r="AE95" s="722"/>
      <c r="AF95" s="722"/>
      <c r="AG95" s="722"/>
      <c r="AH95" s="722"/>
      <c r="AI95" s="722"/>
      <c r="AJ95" s="722"/>
      <c r="AK95" s="722"/>
      <c r="AL95" s="722"/>
      <c r="AM95" s="722"/>
      <c r="AN95" s="722"/>
    </row>
    <row r="96" spans="11:40">
      <c r="K96" s="721"/>
      <c r="L96" s="722"/>
      <c r="M96" s="722"/>
      <c r="N96" s="722"/>
      <c r="O96" s="722"/>
      <c r="P96" s="722"/>
      <c r="Q96" s="722"/>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row>
    <row r="97" spans="11:40">
      <c r="K97" s="721"/>
      <c r="L97" s="722"/>
      <c r="M97" s="722"/>
      <c r="N97" s="722"/>
      <c r="O97" s="722"/>
      <c r="P97" s="722"/>
      <c r="Q97" s="722"/>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row>
    <row r="98" spans="11:40">
      <c r="K98" s="721"/>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2"/>
      <c r="AL98" s="722"/>
      <c r="AM98" s="722"/>
      <c r="AN98" s="722"/>
    </row>
    <row r="99" spans="11:40">
      <c r="K99" s="721"/>
      <c r="L99" s="722"/>
      <c r="M99" s="722"/>
      <c r="N99" s="722"/>
      <c r="O99" s="722"/>
      <c r="P99" s="722"/>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row>
    <row r="100" spans="11:40">
      <c r="K100" s="721"/>
      <c r="L100" s="722"/>
      <c r="M100" s="722"/>
      <c r="N100" s="722"/>
      <c r="O100" s="722"/>
      <c r="P100" s="722"/>
      <c r="Q100" s="722"/>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row>
    <row r="101" spans="11:40">
      <c r="K101" s="721"/>
      <c r="L101" s="722"/>
      <c r="M101" s="722"/>
      <c r="N101" s="722"/>
      <c r="O101" s="722"/>
      <c r="P101" s="722"/>
      <c r="Q101" s="722"/>
      <c r="R101" s="722"/>
      <c r="S101" s="722"/>
      <c r="T101" s="722"/>
      <c r="U101" s="722"/>
      <c r="V101" s="722"/>
      <c r="W101" s="722"/>
      <c r="X101" s="722"/>
      <c r="Y101" s="722"/>
      <c r="Z101" s="722"/>
      <c r="AA101" s="722"/>
      <c r="AB101" s="722"/>
      <c r="AC101" s="722"/>
      <c r="AD101" s="722"/>
      <c r="AE101" s="722"/>
      <c r="AF101" s="722"/>
      <c r="AG101" s="722"/>
      <c r="AH101" s="722"/>
      <c r="AI101" s="722"/>
      <c r="AJ101" s="722"/>
      <c r="AK101" s="722"/>
      <c r="AL101" s="722"/>
      <c r="AM101" s="722"/>
      <c r="AN101" s="722"/>
    </row>
    <row r="102" spans="11:40">
      <c r="K102" s="721"/>
      <c r="L102" s="722"/>
      <c r="M102" s="722"/>
      <c r="N102" s="722"/>
      <c r="O102" s="722"/>
      <c r="P102" s="722"/>
      <c r="Q102" s="722"/>
      <c r="R102" s="722"/>
      <c r="S102" s="722"/>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row>
    <row r="103" spans="11:40">
      <c r="K103" s="721"/>
      <c r="L103" s="722"/>
      <c r="M103" s="722"/>
      <c r="N103" s="722"/>
      <c r="O103" s="722"/>
      <c r="P103" s="722"/>
      <c r="Q103" s="722"/>
      <c r="R103" s="722"/>
      <c r="S103" s="722"/>
      <c r="T103" s="722"/>
      <c r="U103" s="722"/>
      <c r="V103" s="722"/>
      <c r="W103" s="722"/>
      <c r="X103" s="722"/>
      <c r="Y103" s="722"/>
      <c r="Z103" s="722"/>
      <c r="AA103" s="722"/>
      <c r="AB103" s="722"/>
      <c r="AC103" s="722"/>
      <c r="AD103" s="722"/>
      <c r="AE103" s="722"/>
      <c r="AF103" s="722"/>
      <c r="AG103" s="722"/>
      <c r="AH103" s="722"/>
      <c r="AI103" s="722"/>
      <c r="AJ103" s="722"/>
      <c r="AK103" s="722"/>
      <c r="AL103" s="722"/>
      <c r="AM103" s="722"/>
      <c r="AN103" s="722"/>
    </row>
    <row r="104" spans="11:40">
      <c r="K104" s="721"/>
      <c r="L104" s="722"/>
      <c r="M104" s="722"/>
      <c r="N104" s="722"/>
      <c r="O104" s="722"/>
      <c r="P104" s="722"/>
      <c r="Q104" s="722"/>
      <c r="R104" s="722"/>
      <c r="S104" s="722"/>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row>
    <row r="105" spans="11:40">
      <c r="K105" s="721"/>
      <c r="L105" s="722"/>
      <c r="M105" s="722"/>
      <c r="N105" s="722"/>
      <c r="O105" s="722"/>
      <c r="P105" s="722"/>
      <c r="Q105" s="722"/>
      <c r="R105" s="722"/>
      <c r="S105" s="722"/>
      <c r="T105" s="722"/>
      <c r="U105" s="722"/>
      <c r="V105" s="722"/>
      <c r="W105" s="722"/>
      <c r="X105" s="722"/>
      <c r="Y105" s="722"/>
      <c r="Z105" s="722"/>
      <c r="AA105" s="722"/>
      <c r="AB105" s="722"/>
      <c r="AC105" s="722"/>
      <c r="AD105" s="722"/>
      <c r="AE105" s="722"/>
      <c r="AF105" s="722"/>
      <c r="AG105" s="722"/>
      <c r="AH105" s="722"/>
      <c r="AI105" s="722"/>
      <c r="AJ105" s="722"/>
      <c r="AK105" s="722"/>
      <c r="AL105" s="722"/>
      <c r="AM105" s="722"/>
      <c r="AN105" s="722"/>
    </row>
    <row r="106" spans="11:40">
      <c r="K106" s="721"/>
      <c r="L106" s="722"/>
      <c r="M106" s="722"/>
      <c r="N106" s="722"/>
      <c r="O106" s="722"/>
      <c r="P106" s="722"/>
      <c r="Q106" s="722"/>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row>
    <row r="107" spans="11:40">
      <c r="K107" s="721"/>
      <c r="L107" s="722"/>
      <c r="M107" s="722"/>
      <c r="N107" s="722"/>
      <c r="O107" s="722"/>
      <c r="P107" s="722"/>
      <c r="Q107" s="722"/>
      <c r="R107" s="722"/>
      <c r="S107" s="722"/>
      <c r="T107" s="722"/>
      <c r="U107" s="722"/>
      <c r="V107" s="722"/>
      <c r="W107" s="722"/>
      <c r="X107" s="722"/>
      <c r="Y107" s="722"/>
      <c r="Z107" s="722"/>
      <c r="AA107" s="722"/>
      <c r="AB107" s="722"/>
      <c r="AC107" s="722"/>
      <c r="AD107" s="722"/>
      <c r="AE107" s="722"/>
      <c r="AF107" s="722"/>
      <c r="AG107" s="722"/>
      <c r="AH107" s="722"/>
      <c r="AI107" s="722"/>
      <c r="AJ107" s="722"/>
      <c r="AK107" s="722"/>
      <c r="AL107" s="722"/>
      <c r="AM107" s="722"/>
      <c r="AN107" s="722"/>
    </row>
    <row r="108" spans="11:40">
      <c r="K108" s="721"/>
      <c r="L108" s="722"/>
      <c r="M108" s="722"/>
      <c r="N108" s="722"/>
      <c r="O108" s="722"/>
      <c r="P108" s="722"/>
      <c r="Q108" s="722"/>
      <c r="R108" s="722"/>
      <c r="S108" s="722"/>
      <c r="T108" s="722"/>
      <c r="U108" s="722"/>
      <c r="V108" s="722"/>
      <c r="W108" s="722"/>
      <c r="X108" s="722"/>
      <c r="Y108" s="722"/>
      <c r="Z108" s="722"/>
      <c r="AA108" s="722"/>
      <c r="AB108" s="722"/>
      <c r="AC108" s="722"/>
      <c r="AD108" s="722"/>
      <c r="AE108" s="722"/>
      <c r="AF108" s="722"/>
      <c r="AG108" s="722"/>
      <c r="AH108" s="722"/>
      <c r="AI108" s="722"/>
      <c r="AJ108" s="722"/>
      <c r="AK108" s="722"/>
      <c r="AL108" s="722"/>
      <c r="AM108" s="722"/>
      <c r="AN108" s="722"/>
    </row>
    <row r="109" spans="11:40">
      <c r="K109" s="721"/>
      <c r="L109" s="722"/>
      <c r="M109" s="722"/>
      <c r="N109" s="722"/>
      <c r="O109" s="722"/>
      <c r="P109" s="722"/>
      <c r="Q109" s="722"/>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row>
    <row r="110" spans="11:40">
      <c r="K110" s="721"/>
      <c r="L110" s="722"/>
      <c r="M110" s="722"/>
      <c r="N110" s="722"/>
      <c r="O110" s="722"/>
      <c r="P110" s="722"/>
      <c r="Q110" s="722"/>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row>
    <row r="111" spans="11:40">
      <c r="K111" s="721"/>
      <c r="L111" s="722"/>
      <c r="M111" s="722"/>
      <c r="N111" s="722"/>
      <c r="O111" s="722"/>
      <c r="P111" s="722"/>
      <c r="Q111" s="722"/>
      <c r="R111" s="722"/>
      <c r="S111" s="722"/>
      <c r="T111" s="722"/>
      <c r="U111" s="722"/>
      <c r="V111" s="722"/>
      <c r="W111" s="722"/>
      <c r="X111" s="722"/>
      <c r="Y111" s="722"/>
      <c r="Z111" s="722"/>
      <c r="AA111" s="722"/>
      <c r="AB111" s="722"/>
      <c r="AC111" s="722"/>
      <c r="AD111" s="722"/>
      <c r="AE111" s="722"/>
      <c r="AF111" s="722"/>
      <c r="AG111" s="722"/>
      <c r="AH111" s="722"/>
      <c r="AI111" s="722"/>
      <c r="AJ111" s="722"/>
      <c r="AK111" s="722"/>
      <c r="AL111" s="722"/>
      <c r="AM111" s="722"/>
      <c r="AN111" s="722"/>
    </row>
    <row r="112" spans="11:40">
      <c r="K112" s="721"/>
      <c r="L112" s="722"/>
      <c r="M112" s="722"/>
      <c r="N112" s="722"/>
      <c r="O112" s="722"/>
      <c r="P112" s="722"/>
      <c r="Q112" s="722"/>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row>
    <row r="113" spans="11:40">
      <c r="K113" s="721"/>
      <c r="L113" s="722"/>
      <c r="M113" s="722"/>
      <c r="N113" s="722"/>
      <c r="O113" s="722"/>
      <c r="P113" s="722"/>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row>
    <row r="114" spans="11:40">
      <c r="K114" s="721"/>
      <c r="L114" s="722"/>
      <c r="M114" s="722"/>
      <c r="N114" s="722"/>
      <c r="O114" s="722"/>
      <c r="P114" s="722"/>
      <c r="Q114" s="722"/>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row>
    <row r="115" spans="11:40">
      <c r="K115" s="721"/>
      <c r="L115" s="722"/>
      <c r="M115" s="722"/>
      <c r="N115" s="722"/>
      <c r="O115" s="722"/>
      <c r="P115" s="722"/>
      <c r="Q115" s="722"/>
      <c r="R115" s="722"/>
      <c r="S115" s="722"/>
      <c r="T115" s="722"/>
      <c r="U115" s="722"/>
      <c r="V115" s="722"/>
      <c r="W115" s="722"/>
      <c r="X115" s="722"/>
      <c r="Y115" s="722"/>
      <c r="Z115" s="722"/>
      <c r="AA115" s="722"/>
      <c r="AB115" s="722"/>
      <c r="AC115" s="722"/>
      <c r="AD115" s="722"/>
      <c r="AE115" s="722"/>
      <c r="AF115" s="722"/>
      <c r="AG115" s="722"/>
      <c r="AH115" s="722"/>
      <c r="AI115" s="722"/>
      <c r="AJ115" s="722"/>
      <c r="AK115" s="722"/>
      <c r="AL115" s="722"/>
      <c r="AM115" s="722"/>
      <c r="AN115" s="722"/>
    </row>
    <row r="116" spans="11:40">
      <c r="K116" s="721"/>
      <c r="L116" s="722"/>
      <c r="M116" s="722"/>
      <c r="N116" s="722"/>
      <c r="O116" s="722"/>
      <c r="P116" s="722"/>
      <c r="Q116" s="722"/>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row>
    <row r="117" spans="11:40">
      <c r="K117" s="721"/>
      <c r="L117" s="722"/>
      <c r="M117" s="722"/>
      <c r="N117" s="722"/>
      <c r="O117" s="722"/>
      <c r="P117" s="722"/>
      <c r="Q117" s="722"/>
      <c r="R117" s="722"/>
      <c r="S117" s="722"/>
      <c r="T117" s="722"/>
      <c r="U117" s="722"/>
      <c r="V117" s="722"/>
      <c r="W117" s="722"/>
      <c r="X117" s="722"/>
      <c r="Y117" s="722"/>
      <c r="Z117" s="722"/>
      <c r="AA117" s="722"/>
      <c r="AB117" s="722"/>
      <c r="AC117" s="722"/>
      <c r="AD117" s="722"/>
      <c r="AE117" s="722"/>
      <c r="AF117" s="722"/>
      <c r="AG117" s="722"/>
      <c r="AH117" s="722"/>
      <c r="AI117" s="722"/>
      <c r="AJ117" s="722"/>
      <c r="AK117" s="722"/>
      <c r="AL117" s="722"/>
      <c r="AM117" s="722"/>
      <c r="AN117" s="722"/>
    </row>
    <row r="118" spans="11:40">
      <c r="K118" s="721"/>
      <c r="L118" s="722"/>
      <c r="M118" s="722"/>
      <c r="N118" s="722"/>
      <c r="O118" s="722"/>
      <c r="P118" s="722"/>
      <c r="Q118" s="722"/>
      <c r="R118" s="722"/>
      <c r="S118" s="722"/>
      <c r="T118" s="722"/>
      <c r="U118" s="722"/>
      <c r="V118" s="722"/>
      <c r="W118" s="722"/>
      <c r="X118" s="722"/>
      <c r="Y118" s="722"/>
      <c r="Z118" s="722"/>
      <c r="AA118" s="722"/>
      <c r="AB118" s="722"/>
      <c r="AC118" s="722"/>
      <c r="AD118" s="722"/>
      <c r="AE118" s="722"/>
      <c r="AF118" s="722"/>
      <c r="AG118" s="722"/>
      <c r="AH118" s="722"/>
      <c r="AI118" s="722"/>
      <c r="AJ118" s="722"/>
      <c r="AK118" s="722"/>
      <c r="AL118" s="722"/>
      <c r="AM118" s="722"/>
      <c r="AN118" s="722"/>
    </row>
  </sheetData>
  <sheetProtection sheet="1" objects="1" scenarios="1"/>
  <mergeCells count="3">
    <mergeCell ref="B2:B4"/>
    <mergeCell ref="F2:H2"/>
    <mergeCell ref="A2:A3"/>
  </mergeCells>
  <phoneticPr fontId="2" type="noConversion"/>
  <hyperlinks>
    <hyperlink ref="A51" location="_ftn22" display="22 Use as basis 1 000m² erf, 150m² improvements, 1 000 units electricity and 30kl water."/>
    <hyperlink ref="A53" location="_ftn24" display="24 Use as basis 300m² erf, 48m² improvements, 498 units electricity and 25kl water."/>
    <hyperlink ref="A52" location="_ftn24" display="24 Use as basis 300m² erf, 48m² improvements, 498 units electricity and 25kl water."/>
  </hyperlinks>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workbookViewId="0">
      <pane xSplit="2" ySplit="4" topLeftCell="C14" activePane="bottomRight" state="frozen"/>
      <selection activeCell="O37" sqref="A1:IV65536"/>
      <selection pane="topRight" activeCell="O37" sqref="A1:IV65536"/>
      <selection pane="bottomLeft" activeCell="O37" sqref="A1:IV65536"/>
      <selection pane="bottomRight" activeCell="F36" sqref="F36"/>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 r="A1" s="148" t="str">
        <f>muni&amp;" - "&amp;TableA15</f>
        <v>KZN225 Msunduzi - Supporting Table SA15 Investment particulars by type</v>
      </c>
      <c r="B1" s="148"/>
      <c r="C1" s="148"/>
      <c r="D1" s="148"/>
      <c r="E1" s="148"/>
      <c r="F1" s="148"/>
      <c r="G1" s="148"/>
      <c r="H1" s="148"/>
      <c r="I1" s="148"/>
      <c r="J1" s="148"/>
      <c r="K1" s="148"/>
    </row>
    <row r="2" spans="1:11" ht="28.5" customHeight="1">
      <c r="A2" s="2459" t="s">
        <v>618</v>
      </c>
      <c r="B2" s="2441" t="str">
        <f>head27</f>
        <v>Ref</v>
      </c>
      <c r="C2" s="146"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1" ht="25.5">
      <c r="A3" s="2460"/>
      <c r="B3" s="2442"/>
      <c r="C3" s="155" t="str">
        <f>Head5</f>
        <v>Audited Outcome</v>
      </c>
      <c r="D3" s="153" t="str">
        <f>Head5</f>
        <v>Audited Outcome</v>
      </c>
      <c r="E3" s="154" t="str">
        <f>Head5</f>
        <v>Audited Outcome</v>
      </c>
      <c r="F3" s="152" t="str">
        <f>Head6</f>
        <v>Original Budget</v>
      </c>
      <c r="G3" s="153" t="str">
        <f>Head7</f>
        <v>Adjusted Budget</v>
      </c>
      <c r="H3" s="154" t="str">
        <f>Head8</f>
        <v>Full Year Forecast</v>
      </c>
      <c r="I3" s="152" t="str">
        <f>Head9</f>
        <v>Budget Year 2011/12</v>
      </c>
      <c r="J3" s="153" t="str">
        <f>Head10</f>
        <v>Budget Year +1 2012/13</v>
      </c>
      <c r="K3" s="154" t="str">
        <f>Head11</f>
        <v>Budget Year +2 2013/14</v>
      </c>
    </row>
    <row r="4" spans="1:11">
      <c r="A4" s="181" t="s">
        <v>703</v>
      </c>
      <c r="B4" s="2447"/>
      <c r="C4" s="138"/>
      <c r="D4" s="138"/>
      <c r="E4" s="157"/>
      <c r="F4" s="156"/>
      <c r="G4" s="138"/>
      <c r="H4" s="157"/>
      <c r="I4" s="156"/>
      <c r="J4" s="138"/>
      <c r="K4" s="157"/>
    </row>
    <row r="5" spans="1:11">
      <c r="A5" s="250" t="s">
        <v>184</v>
      </c>
      <c r="B5" s="292"/>
      <c r="C5" s="723"/>
      <c r="D5" s="723"/>
      <c r="E5" s="724"/>
      <c r="F5" s="725"/>
      <c r="G5" s="723"/>
      <c r="H5" s="726"/>
      <c r="I5" s="727"/>
      <c r="J5" s="723"/>
      <c r="K5" s="724"/>
    </row>
    <row r="6" spans="1:11" ht="11.25" customHeight="1">
      <c r="A6" s="251" t="s">
        <v>1714</v>
      </c>
      <c r="B6" s="294"/>
      <c r="C6" s="1984"/>
      <c r="D6" s="1984"/>
      <c r="E6" s="1985"/>
      <c r="F6" s="1986"/>
      <c r="G6" s="1984"/>
      <c r="H6" s="1987"/>
      <c r="I6" s="1988"/>
      <c r="J6" s="1984"/>
      <c r="K6" s="1985"/>
    </row>
    <row r="7" spans="1:11" ht="11.25" customHeight="1">
      <c r="A7" s="251" t="s">
        <v>1715</v>
      </c>
      <c r="B7" s="294"/>
      <c r="C7" s="1984"/>
      <c r="D7" s="1984"/>
      <c r="E7" s="1985"/>
      <c r="F7" s="1986"/>
      <c r="G7" s="1984"/>
      <c r="H7" s="1987"/>
      <c r="I7" s="1988"/>
      <c r="J7" s="1984"/>
      <c r="K7" s="1985"/>
    </row>
    <row r="8" spans="1:11" ht="11.25" customHeight="1">
      <c r="A8" s="251" t="s">
        <v>1717</v>
      </c>
      <c r="B8" s="294"/>
      <c r="C8" s="1985">
        <v>260420761</v>
      </c>
      <c r="D8" s="1986">
        <v>366710244</v>
      </c>
      <c r="E8" s="1984">
        <v>117920883</v>
      </c>
      <c r="F8" s="1984">
        <v>124900531</v>
      </c>
      <c r="G8" s="1984">
        <v>126935000</v>
      </c>
      <c r="H8" s="1984">
        <v>126935000</v>
      </c>
      <c r="I8" s="1985">
        <v>147162000</v>
      </c>
      <c r="J8" s="1984">
        <v>151197000</v>
      </c>
      <c r="K8" s="1985">
        <v>153663000</v>
      </c>
    </row>
    <row r="9" spans="1:11" ht="11.25" customHeight="1">
      <c r="A9" s="251" t="s">
        <v>1716</v>
      </c>
      <c r="B9" s="294"/>
      <c r="C9" s="1984"/>
      <c r="D9" s="1984"/>
      <c r="E9" s="1985"/>
      <c r="F9" s="1986"/>
      <c r="G9" s="1984"/>
      <c r="H9" s="1987"/>
      <c r="I9" s="1988"/>
      <c r="J9" s="1984"/>
      <c r="K9" s="1985"/>
    </row>
    <row r="10" spans="1:11" ht="11.25" customHeight="1">
      <c r="A10" s="251" t="s">
        <v>1718</v>
      </c>
      <c r="B10" s="294"/>
      <c r="C10" s="1984"/>
      <c r="D10" s="1984"/>
      <c r="E10" s="1985"/>
      <c r="F10" s="1986"/>
      <c r="G10" s="1984"/>
      <c r="H10" s="1987"/>
      <c r="I10" s="1988"/>
      <c r="J10" s="1984"/>
      <c r="K10" s="1985"/>
    </row>
    <row r="11" spans="1:11" ht="11.25" customHeight="1">
      <c r="A11" s="251" t="s">
        <v>1719</v>
      </c>
      <c r="B11" s="294"/>
      <c r="C11" s="1984"/>
      <c r="D11" s="1984"/>
      <c r="E11" s="1985"/>
      <c r="F11" s="1986"/>
      <c r="G11" s="1984"/>
      <c r="H11" s="1987"/>
      <c r="I11" s="1988"/>
      <c r="J11" s="1984"/>
      <c r="K11" s="1985"/>
    </row>
    <row r="12" spans="1:11" ht="11.25" customHeight="1">
      <c r="A12" s="251" t="s">
        <v>1720</v>
      </c>
      <c r="B12" s="294"/>
      <c r="C12" s="1984"/>
      <c r="D12" s="1984"/>
      <c r="E12" s="1985"/>
      <c r="F12" s="1986"/>
      <c r="G12" s="1984"/>
      <c r="H12" s="1987"/>
      <c r="I12" s="1988"/>
      <c r="J12" s="1984"/>
      <c r="K12" s="1985"/>
    </row>
    <row r="13" spans="1:11" ht="11.25" customHeight="1">
      <c r="A13" s="251" t="s">
        <v>1721</v>
      </c>
      <c r="B13" s="294"/>
      <c r="C13" s="1984"/>
      <c r="D13" s="1984"/>
      <c r="E13" s="1985"/>
      <c r="F13" s="1986"/>
      <c r="G13" s="1984"/>
      <c r="H13" s="1987"/>
      <c r="I13" s="1988"/>
      <c r="J13" s="1984"/>
      <c r="K13" s="1985"/>
    </row>
    <row r="14" spans="1:11" ht="11.25" customHeight="1">
      <c r="A14" s="251" t="s">
        <v>1722</v>
      </c>
      <c r="B14" s="294"/>
      <c r="C14" s="1984"/>
      <c r="D14" s="1984"/>
      <c r="E14" s="1985"/>
      <c r="F14" s="1986"/>
      <c r="G14" s="1984"/>
      <c r="H14" s="1987"/>
      <c r="I14" s="1988"/>
      <c r="J14" s="1984"/>
      <c r="K14" s="1985"/>
    </row>
    <row r="15" spans="1:11" ht="11.25" customHeight="1">
      <c r="A15" s="251" t="s">
        <v>1723</v>
      </c>
      <c r="B15" s="294"/>
      <c r="C15" s="1984"/>
      <c r="D15" s="1984"/>
      <c r="E15" s="1985"/>
      <c r="F15" s="1986"/>
      <c r="G15" s="1984"/>
      <c r="H15" s="1987"/>
      <c r="I15" s="1988"/>
      <c r="J15" s="1984"/>
      <c r="K15" s="1985"/>
    </row>
    <row r="16" spans="1:11" ht="5.0999999999999996" customHeight="1">
      <c r="A16" s="274"/>
      <c r="B16" s="294"/>
      <c r="C16" s="1098"/>
      <c r="D16" s="1098"/>
      <c r="E16" s="1099"/>
      <c r="F16" s="1100"/>
      <c r="G16" s="1098"/>
      <c r="H16" s="1101"/>
      <c r="I16" s="1102"/>
      <c r="J16" s="1098"/>
      <c r="K16" s="1099"/>
    </row>
    <row r="17" spans="1:11" ht="11.25" customHeight="1">
      <c r="A17" s="266" t="s">
        <v>183</v>
      </c>
      <c r="B17" s="294">
        <v>1</v>
      </c>
      <c r="C17" s="730">
        <f t="shared" ref="C17:K17" si="0">SUM(C6:C15)</f>
        <v>260420761</v>
      </c>
      <c r="D17" s="730">
        <f t="shared" si="0"/>
        <v>366710244</v>
      </c>
      <c r="E17" s="731">
        <f t="shared" si="0"/>
        <v>117920883</v>
      </c>
      <c r="F17" s="732">
        <f t="shared" si="0"/>
        <v>124900531</v>
      </c>
      <c r="G17" s="730">
        <f t="shared" si="0"/>
        <v>126935000</v>
      </c>
      <c r="H17" s="733">
        <f t="shared" si="0"/>
        <v>126935000</v>
      </c>
      <c r="I17" s="734">
        <f t="shared" si="0"/>
        <v>147162000</v>
      </c>
      <c r="J17" s="730">
        <f t="shared" si="0"/>
        <v>151197000</v>
      </c>
      <c r="K17" s="731">
        <f t="shared" si="0"/>
        <v>153663000</v>
      </c>
    </row>
    <row r="18" spans="1:11" ht="5.0999999999999996" customHeight="1">
      <c r="A18" s="274"/>
      <c r="B18" s="294"/>
      <c r="C18" s="728"/>
      <c r="D18" s="728"/>
      <c r="E18" s="724"/>
      <c r="F18" s="725"/>
      <c r="G18" s="728"/>
      <c r="H18" s="726"/>
      <c r="I18" s="729"/>
      <c r="J18" s="728"/>
      <c r="K18" s="724"/>
    </row>
    <row r="19" spans="1:11" ht="11.25" customHeight="1">
      <c r="A19" s="250" t="s">
        <v>717</v>
      </c>
      <c r="B19" s="294"/>
      <c r="C19" s="728"/>
      <c r="D19" s="728"/>
      <c r="E19" s="724"/>
      <c r="F19" s="725"/>
      <c r="G19" s="728"/>
      <c r="H19" s="726"/>
      <c r="I19" s="729"/>
      <c r="J19" s="728"/>
      <c r="K19" s="724"/>
    </row>
    <row r="20" spans="1:11" ht="11.25" customHeight="1">
      <c r="A20" s="251" t="str">
        <f>A6</f>
        <v>Securities - National Government</v>
      </c>
      <c r="B20" s="294"/>
      <c r="C20" s="1984"/>
      <c r="D20" s="1984"/>
      <c r="E20" s="1985"/>
      <c r="F20" s="1986"/>
      <c r="G20" s="1984"/>
      <c r="H20" s="1987"/>
      <c r="I20" s="1988"/>
      <c r="J20" s="1984"/>
      <c r="K20" s="1985"/>
    </row>
    <row r="21" spans="1:11" ht="11.25" customHeight="1">
      <c r="A21" s="251" t="str">
        <f t="shared" ref="A21:A28" si="1">A7</f>
        <v>Listed Corporate Bonds</v>
      </c>
      <c r="B21" s="294"/>
      <c r="C21" s="1984"/>
      <c r="D21" s="1984"/>
      <c r="E21" s="1985"/>
      <c r="F21" s="1986"/>
      <c r="G21" s="1984"/>
      <c r="H21" s="1987"/>
      <c r="I21" s="1988"/>
      <c r="J21" s="1984"/>
      <c r="K21" s="1985"/>
    </row>
    <row r="22" spans="1:11" ht="11.25" customHeight="1">
      <c r="A22" s="251" t="str">
        <f t="shared" si="1"/>
        <v>Deposits - Bank</v>
      </c>
      <c r="B22" s="294"/>
      <c r="C22" s="1984"/>
      <c r="D22" s="1984"/>
      <c r="E22" s="1985"/>
      <c r="F22" s="1986"/>
      <c r="G22" s="1984"/>
      <c r="H22" s="1987"/>
      <c r="I22" s="1988"/>
      <c r="J22" s="1984"/>
      <c r="K22" s="1985"/>
    </row>
    <row r="23" spans="1:11" ht="11.25" customHeight="1">
      <c r="A23" s="251" t="str">
        <f t="shared" si="1"/>
        <v>Deposits - Public Investment Commissioners</v>
      </c>
      <c r="B23" s="294"/>
      <c r="C23" s="1984"/>
      <c r="D23" s="1984"/>
      <c r="E23" s="1985"/>
      <c r="F23" s="1986"/>
      <c r="G23" s="1984"/>
      <c r="H23" s="1987"/>
      <c r="I23" s="1988"/>
      <c r="J23" s="1984"/>
      <c r="K23" s="1985"/>
    </row>
    <row r="24" spans="1:11" ht="11.25" customHeight="1">
      <c r="A24" s="251" t="str">
        <f t="shared" si="1"/>
        <v>Deposits - Corporation for Public Deposits</v>
      </c>
      <c r="B24" s="294"/>
      <c r="C24" s="1984"/>
      <c r="D24" s="1984"/>
      <c r="E24" s="1985"/>
      <c r="F24" s="1986"/>
      <c r="G24" s="1984"/>
      <c r="H24" s="1987"/>
      <c r="I24" s="1988"/>
      <c r="J24" s="1984"/>
      <c r="K24" s="1985"/>
    </row>
    <row r="25" spans="1:11" ht="11.25" customHeight="1">
      <c r="A25" s="251" t="str">
        <f t="shared" si="1"/>
        <v>Bankers Acceptance Certificates</v>
      </c>
      <c r="B25" s="294"/>
      <c r="C25" s="1984"/>
      <c r="D25" s="1984"/>
      <c r="E25" s="1985"/>
      <c r="F25" s="1986"/>
      <c r="G25" s="1984"/>
      <c r="H25" s="1987"/>
      <c r="I25" s="1988"/>
      <c r="J25" s="1984"/>
      <c r="K25" s="1985"/>
    </row>
    <row r="26" spans="1:11" ht="11.25" customHeight="1">
      <c r="A26" s="251" t="str">
        <f t="shared" si="1"/>
        <v>Negotiable Certificates of Deposit - Banks</v>
      </c>
      <c r="B26" s="294"/>
      <c r="C26" s="1984"/>
      <c r="D26" s="1984"/>
      <c r="E26" s="1985"/>
      <c r="F26" s="1986"/>
      <c r="G26" s="1984"/>
      <c r="H26" s="1987"/>
      <c r="I26" s="1988"/>
      <c r="J26" s="1984"/>
      <c r="K26" s="1985"/>
    </row>
    <row r="27" spans="1:11" ht="11.25" customHeight="1">
      <c r="A27" s="251" t="str">
        <f t="shared" si="1"/>
        <v>Guaranteed Endowment Policies (sinking)</v>
      </c>
      <c r="B27" s="294"/>
      <c r="C27" s="1984"/>
      <c r="D27" s="1984"/>
      <c r="E27" s="1985"/>
      <c r="F27" s="1986"/>
      <c r="G27" s="1984"/>
      <c r="H27" s="1987"/>
      <c r="I27" s="1988"/>
      <c r="J27" s="1984"/>
      <c r="K27" s="1985"/>
    </row>
    <row r="28" spans="1:11" ht="11.25" customHeight="1">
      <c r="A28" s="251" t="str">
        <f t="shared" si="1"/>
        <v>Repurchase Agreements - Banks</v>
      </c>
      <c r="B28" s="294"/>
      <c r="C28" s="1984"/>
      <c r="D28" s="1984"/>
      <c r="E28" s="1985"/>
      <c r="F28" s="1986"/>
      <c r="G28" s="1984"/>
      <c r="H28" s="1987"/>
      <c r="I28" s="1988"/>
      <c r="J28" s="1984"/>
      <c r="K28" s="1985"/>
    </row>
    <row r="29" spans="1:11" ht="5.0999999999999996" customHeight="1">
      <c r="A29" s="274"/>
      <c r="B29" s="294"/>
      <c r="C29" s="728"/>
      <c r="D29" s="728"/>
      <c r="E29" s="724"/>
      <c r="F29" s="725"/>
      <c r="G29" s="728"/>
      <c r="H29" s="726"/>
      <c r="I29" s="729"/>
      <c r="J29" s="728"/>
      <c r="K29" s="724"/>
    </row>
    <row r="30" spans="1:11" ht="11.25" customHeight="1">
      <c r="A30" s="266" t="s">
        <v>182</v>
      </c>
      <c r="B30" s="294"/>
      <c r="C30" s="730">
        <f t="shared" ref="C30:K30" si="2">SUM(C20:C29)</f>
        <v>0</v>
      </c>
      <c r="D30" s="735">
        <f t="shared" si="2"/>
        <v>0</v>
      </c>
      <c r="E30" s="736">
        <f t="shared" si="2"/>
        <v>0</v>
      </c>
      <c r="F30" s="737">
        <f t="shared" si="2"/>
        <v>0</v>
      </c>
      <c r="G30" s="735">
        <f t="shared" si="2"/>
        <v>0</v>
      </c>
      <c r="H30" s="738">
        <f t="shared" si="2"/>
        <v>0</v>
      </c>
      <c r="I30" s="739">
        <f t="shared" si="2"/>
        <v>0</v>
      </c>
      <c r="J30" s="735">
        <f t="shared" si="2"/>
        <v>0</v>
      </c>
      <c r="K30" s="736">
        <f t="shared" si="2"/>
        <v>0</v>
      </c>
    </row>
    <row r="31" spans="1:11" ht="5.0999999999999996" customHeight="1">
      <c r="A31" s="274"/>
      <c r="B31" s="294"/>
      <c r="C31" s="728"/>
      <c r="D31" s="728"/>
      <c r="E31" s="724"/>
      <c r="F31" s="725"/>
      <c r="G31" s="728"/>
      <c r="H31" s="726"/>
      <c r="I31" s="729"/>
      <c r="J31" s="728"/>
      <c r="K31" s="724"/>
    </row>
    <row r="32" spans="1:11">
      <c r="A32" s="282" t="s">
        <v>181</v>
      </c>
      <c r="B32" s="740"/>
      <c r="C32" s="741">
        <f t="shared" ref="C32:K32" si="3">C17+C30</f>
        <v>260420761</v>
      </c>
      <c r="D32" s="741">
        <f t="shared" si="3"/>
        <v>366710244</v>
      </c>
      <c r="E32" s="742">
        <f t="shared" si="3"/>
        <v>117920883</v>
      </c>
      <c r="F32" s="743">
        <f t="shared" si="3"/>
        <v>124900531</v>
      </c>
      <c r="G32" s="741">
        <f t="shared" si="3"/>
        <v>126935000</v>
      </c>
      <c r="H32" s="744">
        <f t="shared" si="3"/>
        <v>126935000</v>
      </c>
      <c r="I32" s="745">
        <f t="shared" si="3"/>
        <v>147162000</v>
      </c>
      <c r="J32" s="741">
        <f t="shared" si="3"/>
        <v>151197000</v>
      </c>
      <c r="K32" s="742">
        <f t="shared" si="3"/>
        <v>153663000</v>
      </c>
    </row>
    <row r="33" spans="1:15" ht="6" customHeight="1">
      <c r="A33" s="666"/>
      <c r="B33" s="237"/>
      <c r="C33" s="310"/>
      <c r="D33" s="310"/>
      <c r="E33" s="310"/>
      <c r="F33" s="310"/>
      <c r="G33" s="310"/>
      <c r="H33" s="310"/>
      <c r="I33" s="310"/>
      <c r="J33" s="310"/>
      <c r="K33" s="310"/>
      <c r="L33" s="247"/>
      <c r="M33" s="247"/>
      <c r="N33" s="247"/>
    </row>
    <row r="34" spans="1:15" s="722" customFormat="1" ht="10.5" customHeight="1">
      <c r="A34" s="1305" t="str">
        <f>head27a</f>
        <v>References</v>
      </c>
      <c r="B34" s="1065"/>
      <c r="C34" s="1107"/>
      <c r="D34" s="1107"/>
      <c r="E34" s="1107"/>
      <c r="F34" s="1107"/>
      <c r="G34" s="1107"/>
      <c r="H34" s="1107"/>
      <c r="I34" s="1107"/>
      <c r="J34" s="1107"/>
      <c r="K34" s="1107"/>
      <c r="L34" s="1089"/>
      <c r="M34" s="1089"/>
      <c r="N34" s="1089"/>
    </row>
    <row r="35" spans="1:15" s="722" customFormat="1" ht="10.5" customHeight="1">
      <c r="A35" s="1306" t="s">
        <v>1387</v>
      </c>
      <c r="B35" s="1065"/>
      <c r="C35" s="1069"/>
      <c r="D35" s="1068"/>
      <c r="E35" s="1069"/>
      <c r="F35" s="1069"/>
      <c r="G35" s="1069"/>
      <c r="H35" s="1069"/>
      <c r="I35" s="1069"/>
      <c r="J35" s="1069"/>
      <c r="K35" s="1069"/>
    </row>
    <row r="36" spans="1:15" ht="10.5" customHeight="1">
      <c r="A36" s="289" t="s">
        <v>580</v>
      </c>
      <c r="B36" s="237"/>
      <c r="C36" s="345">
        <f>C17-'A6-FinPos'!C7-'A6-FinPos'!C16</f>
        <v>-1934689</v>
      </c>
      <c r="D36" s="345">
        <f>D17-'A6-FinPos'!D7-'A6-FinPos'!D16</f>
        <v>253772244</v>
      </c>
      <c r="E36" s="450">
        <f>E17-'A6-FinPos'!E7-'A6-FinPos'!E16</f>
        <v>-20103117</v>
      </c>
      <c r="F36" s="616">
        <f>F17-'A6-FinPos'!F7-'A6-FinPos'!F16</f>
        <v>-2034000</v>
      </c>
      <c r="G36" s="450">
        <f>G17-'A6-FinPos'!G7-'A6-FinPos'!G16</f>
        <v>469</v>
      </c>
      <c r="H36" s="450">
        <f>H17-'A6-FinPos'!H7-'A6-FinPos'!H16</f>
        <v>469</v>
      </c>
      <c r="I36" s="450">
        <f>I17-'A6-FinPos'!J7-'A6-FinPos'!J16</f>
        <v>0</v>
      </c>
      <c r="J36" s="450">
        <f>J17-'A6-FinPos'!K7-'A6-FinPos'!K16</f>
        <v>400</v>
      </c>
      <c r="K36" s="450">
        <f>K17-'A6-FinPos'!L7-'A6-FinPos'!L16</f>
        <v>0</v>
      </c>
    </row>
    <row r="37" spans="1:15" ht="11.25" customHeight="1">
      <c r="O37" s="373"/>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2"/>
    <pageSetUpPr fitToPage="1"/>
  </sheetPr>
  <dimension ref="A1:O63"/>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H13" sqref="H13"/>
    </sheetView>
  </sheetViews>
  <sheetFormatPr defaultRowHeight="12.75"/>
  <cols>
    <col min="1" max="1" width="30.7109375" style="150" customWidth="1"/>
    <col min="2" max="2" width="3" style="248" customWidth="1"/>
    <col min="3" max="7" width="13.7109375" style="150" customWidth="1"/>
    <col min="8" max="8" width="9.85546875" style="150" customWidth="1"/>
    <col min="9" max="9" width="9.85546875" style="150" bestFit="1" customWidth="1"/>
    <col min="10" max="11" width="9.85546875" style="150" customWidth="1"/>
    <col min="12" max="12" width="9.5703125" style="150" customWidth="1"/>
    <col min="13" max="13" width="9.85546875" style="150" customWidth="1"/>
    <col min="14" max="16" width="9.5703125" style="150" customWidth="1"/>
    <col min="17" max="17" width="9.85546875" style="150" customWidth="1"/>
    <col min="18" max="20" width="9.5703125" style="150" customWidth="1"/>
    <col min="21" max="22" width="9.85546875" style="150" customWidth="1"/>
    <col min="23" max="16384" width="9.140625" style="150"/>
  </cols>
  <sheetData>
    <row r="1" spans="1:7" ht="13.5">
      <c r="A1" s="148" t="str">
        <f>muni&amp;" - "&amp;TableA16</f>
        <v>KZN225 Msunduzi - Supporting Table SA16 Investment particulars by maturity</v>
      </c>
      <c r="B1" s="148"/>
      <c r="C1" s="148"/>
      <c r="D1" s="148"/>
      <c r="E1" s="148"/>
      <c r="F1" s="148"/>
      <c r="G1" s="148"/>
    </row>
    <row r="2" spans="1:7" ht="33.75" customHeight="1">
      <c r="A2" s="143" t="s">
        <v>581</v>
      </c>
      <c r="B2" s="746" t="str">
        <f>head27</f>
        <v>Ref</v>
      </c>
      <c r="C2" s="151" t="s">
        <v>583</v>
      </c>
      <c r="D2" s="2455" t="s">
        <v>584</v>
      </c>
      <c r="E2" s="2448" t="s">
        <v>585</v>
      </c>
      <c r="F2" s="145" t="s">
        <v>586</v>
      </c>
      <c r="G2" s="747" t="s">
        <v>587</v>
      </c>
    </row>
    <row r="3" spans="1:7">
      <c r="A3" s="141" t="s">
        <v>582</v>
      </c>
      <c r="B3" s="748">
        <v>1</v>
      </c>
      <c r="C3" s="138" t="s">
        <v>1724</v>
      </c>
      <c r="D3" s="2456"/>
      <c r="E3" s="2449"/>
      <c r="F3" s="749" t="s">
        <v>1414</v>
      </c>
      <c r="G3" s="750"/>
    </row>
    <row r="4" spans="1:7">
      <c r="A4" s="250" t="s">
        <v>184</v>
      </c>
      <c r="B4" s="751"/>
      <c r="C4" s="183"/>
      <c r="D4" s="751"/>
      <c r="E4" s="752"/>
      <c r="F4" s="753"/>
      <c r="G4" s="754"/>
    </row>
    <row r="5" spans="1:7" ht="11.25" customHeight="1">
      <c r="A5" s="1989"/>
      <c r="B5" s="1990"/>
      <c r="C5" s="1921"/>
      <c r="D5" s="1990"/>
      <c r="E5" s="1991"/>
      <c r="F5" s="1986"/>
      <c r="G5" s="1992"/>
    </row>
    <row r="6" spans="1:7" ht="11.25" customHeight="1">
      <c r="A6" s="1989"/>
      <c r="B6" s="1990"/>
      <c r="C6" s="1921"/>
      <c r="D6" s="1990"/>
      <c r="E6" s="1991"/>
      <c r="F6" s="1986"/>
      <c r="G6" s="1992"/>
    </row>
    <row r="7" spans="1:7" ht="11.25" customHeight="1">
      <c r="A7" s="1989"/>
      <c r="B7" s="1990"/>
      <c r="C7" s="1921"/>
      <c r="D7" s="1990"/>
      <c r="E7" s="1991"/>
      <c r="F7" s="1986"/>
      <c r="G7" s="1992"/>
    </row>
    <row r="8" spans="1:7" ht="11.25" customHeight="1">
      <c r="A8" s="1989"/>
      <c r="B8" s="1990"/>
      <c r="C8" s="1921"/>
      <c r="D8" s="1990"/>
      <c r="E8" s="1991"/>
      <c r="F8" s="1986"/>
      <c r="G8" s="1992"/>
    </row>
    <row r="9" spans="1:7" ht="11.25" customHeight="1">
      <c r="A9" s="1989"/>
      <c r="B9" s="1990"/>
      <c r="C9" s="1921"/>
      <c r="D9" s="1990"/>
      <c r="E9" s="1991"/>
      <c r="F9" s="1986"/>
      <c r="G9" s="1992"/>
    </row>
    <row r="10" spans="1:7" ht="11.25" customHeight="1">
      <c r="A10" s="1989"/>
      <c r="B10" s="1990"/>
      <c r="C10" s="1921"/>
      <c r="D10" s="1990"/>
      <c r="E10" s="1991"/>
      <c r="F10" s="1986"/>
      <c r="G10" s="1992"/>
    </row>
    <row r="11" spans="1:7" ht="11.25" customHeight="1">
      <c r="A11" s="1989"/>
      <c r="B11" s="1990"/>
      <c r="C11" s="1921"/>
      <c r="D11" s="1990"/>
      <c r="E11" s="1991"/>
      <c r="F11" s="1986"/>
      <c r="G11" s="1992"/>
    </row>
    <row r="12" spans="1:7" ht="11.25" customHeight="1">
      <c r="A12" s="266" t="s">
        <v>183</v>
      </c>
      <c r="B12" s="751"/>
      <c r="C12" s="1400"/>
      <c r="D12" s="1401"/>
      <c r="E12" s="1402"/>
      <c r="F12" s="733">
        <f>SUM(F5:F11)</f>
        <v>0</v>
      </c>
      <c r="G12" s="757">
        <f>SUM(G5:G11)</f>
        <v>0</v>
      </c>
    </row>
    <row r="13" spans="1:7" ht="11.25" customHeight="1">
      <c r="A13" s="274"/>
      <c r="B13" s="751"/>
      <c r="C13" s="183"/>
      <c r="D13" s="751"/>
      <c r="E13" s="755"/>
      <c r="F13" s="725"/>
      <c r="G13" s="756"/>
    </row>
    <row r="14" spans="1:7" ht="11.25" customHeight="1">
      <c r="A14" s="250" t="s">
        <v>717</v>
      </c>
      <c r="B14" s="751"/>
      <c r="C14" s="183"/>
      <c r="D14" s="751"/>
      <c r="E14" s="755"/>
      <c r="F14" s="725"/>
      <c r="G14" s="756"/>
    </row>
    <row r="15" spans="1:7" ht="11.25" customHeight="1">
      <c r="A15" s="1989"/>
      <c r="B15" s="1990"/>
      <c r="C15" s="1921"/>
      <c r="D15" s="1990"/>
      <c r="E15" s="1991"/>
      <c r="F15" s="1986"/>
      <c r="G15" s="1992"/>
    </row>
    <row r="16" spans="1:7" ht="11.25" customHeight="1">
      <c r="A16" s="1989"/>
      <c r="B16" s="1990"/>
      <c r="C16" s="1921"/>
      <c r="D16" s="1990"/>
      <c r="E16" s="1991"/>
      <c r="F16" s="1986"/>
      <c r="G16" s="1992"/>
    </row>
    <row r="17" spans="1:13" ht="11.25" customHeight="1">
      <c r="A17" s="1989"/>
      <c r="B17" s="1990"/>
      <c r="C17" s="1921"/>
      <c r="D17" s="1990"/>
      <c r="E17" s="1991"/>
      <c r="F17" s="1986"/>
      <c r="G17" s="1992"/>
    </row>
    <row r="18" spans="1:13" ht="11.25" customHeight="1">
      <c r="A18" s="1989"/>
      <c r="B18" s="1990"/>
      <c r="C18" s="1921"/>
      <c r="D18" s="1990"/>
      <c r="E18" s="1991"/>
      <c r="F18" s="1986"/>
      <c r="G18" s="1992"/>
    </row>
    <row r="19" spans="1:13" ht="11.25" customHeight="1">
      <c r="A19" s="1989"/>
      <c r="B19" s="1990"/>
      <c r="C19" s="1921"/>
      <c r="D19" s="1990"/>
      <c r="E19" s="1991"/>
      <c r="F19" s="1986"/>
      <c r="G19" s="1992"/>
    </row>
    <row r="20" spans="1:13" ht="11.25" customHeight="1">
      <c r="A20" s="1989"/>
      <c r="B20" s="1990"/>
      <c r="C20" s="1921"/>
      <c r="D20" s="1990"/>
      <c r="E20" s="1991"/>
      <c r="F20" s="1986"/>
      <c r="G20" s="1992"/>
    </row>
    <row r="21" spans="1:13" ht="11.25" customHeight="1">
      <c r="A21" s="1989"/>
      <c r="B21" s="1990"/>
      <c r="C21" s="1921"/>
      <c r="D21" s="1990"/>
      <c r="E21" s="1991"/>
      <c r="F21" s="1986"/>
      <c r="G21" s="1992"/>
    </row>
    <row r="22" spans="1:13" ht="11.25" customHeight="1">
      <c r="A22" s="266" t="s">
        <v>182</v>
      </c>
      <c r="B22" s="751"/>
      <c r="C22" s="1400"/>
      <c r="D22" s="1401"/>
      <c r="E22" s="1402"/>
      <c r="F22" s="732">
        <f>SUM(F13:F21)</f>
        <v>0</v>
      </c>
      <c r="G22" s="757">
        <f>SUM(G13:G21)</f>
        <v>0</v>
      </c>
    </row>
    <row r="23" spans="1:13" ht="5.0999999999999996" customHeight="1">
      <c r="A23" s="274"/>
      <c r="B23" s="751"/>
      <c r="C23" s="183"/>
      <c r="D23" s="751"/>
      <c r="E23" s="755"/>
      <c r="F23" s="725"/>
      <c r="G23" s="756"/>
    </row>
    <row r="24" spans="1:13">
      <c r="A24" s="400" t="s">
        <v>596</v>
      </c>
      <c r="B24" s="758">
        <v>1</v>
      </c>
      <c r="C24" s="385"/>
      <c r="D24" s="758"/>
      <c r="E24" s="759"/>
      <c r="F24" s="743">
        <f>F12+F22</f>
        <v>0</v>
      </c>
      <c r="G24" s="760">
        <f>G12+G22</f>
        <v>0</v>
      </c>
    </row>
    <row r="25" spans="1:13" ht="6" customHeight="1">
      <c r="A25" s="247"/>
      <c r="B25" s="237"/>
      <c r="C25" s="1107"/>
      <c r="D25" s="1399"/>
      <c r="E25" s="310"/>
      <c r="F25" s="310"/>
      <c r="G25" s="310"/>
      <c r="K25" s="247"/>
      <c r="L25" s="247"/>
      <c r="M25" s="247"/>
    </row>
    <row r="26" spans="1:13" s="722" customFormat="1">
      <c r="A26" s="1276" t="str">
        <f>head27a</f>
        <v>References</v>
      </c>
      <c r="B26" s="1065"/>
      <c r="C26" s="1107"/>
      <c r="D26" s="1107"/>
      <c r="E26" s="1107"/>
      <c r="F26" s="1107"/>
      <c r="G26" s="1107"/>
      <c r="K26" s="1089"/>
      <c r="L26" s="1089"/>
      <c r="M26" s="1089"/>
    </row>
    <row r="27" spans="1:13" s="722" customFormat="1" ht="11.25" customHeight="1">
      <c r="A27" s="1238" t="s">
        <v>384</v>
      </c>
      <c r="B27" s="1065"/>
      <c r="C27" s="1069"/>
      <c r="D27" s="1068"/>
      <c r="E27" s="1069"/>
      <c r="F27" s="1069"/>
      <c r="G27" s="1069"/>
    </row>
    <row r="28" spans="1:13" s="722" customFormat="1" ht="11.25" customHeight="1">
      <c r="A28" s="1238" t="s">
        <v>998</v>
      </c>
      <c r="B28" s="1065"/>
      <c r="C28" s="1069"/>
      <c r="D28" s="1068"/>
      <c r="E28" s="1069"/>
      <c r="F28" s="1069"/>
      <c r="G28" s="1069"/>
    </row>
    <row r="29" spans="1:13" ht="11.25" customHeight="1">
      <c r="A29" s="289"/>
      <c r="B29" s="237"/>
      <c r="C29" s="310"/>
      <c r="D29" s="310"/>
      <c r="E29" s="310"/>
      <c r="F29" s="310"/>
      <c r="G29" s="310"/>
    </row>
    <row r="30" spans="1:13" ht="11.25" customHeight="1">
      <c r="A30" s="440" t="s">
        <v>1661</v>
      </c>
      <c r="F30" s="761">
        <f>F24-'A6-FinPos'!J7-'A6-FinPos'!J16</f>
        <v>-147162000</v>
      </c>
      <c r="G30" s="340"/>
    </row>
    <row r="31" spans="1:13" ht="11.25" customHeight="1"/>
    <row r="32" spans="1:13" ht="11.25" customHeight="1"/>
    <row r="33" spans="15:15" ht="11.25" customHeight="1"/>
    <row r="34" spans="15:15" ht="11.25" customHeight="1"/>
    <row r="35" spans="15:15" ht="11.25" customHeight="1"/>
    <row r="36" spans="15:15" ht="11.25" customHeight="1"/>
    <row r="37" spans="15:15" ht="11.25" customHeight="1">
      <c r="O37" s="373"/>
    </row>
    <row r="38" spans="15:15" ht="11.25" customHeight="1"/>
    <row r="39" spans="15:15" ht="11.25" customHeight="1"/>
    <row r="40" spans="15:15" ht="11.25" customHeight="1"/>
    <row r="41" spans="15:15" ht="11.25" customHeight="1"/>
    <row r="42" spans="15:15" ht="11.25" customHeight="1"/>
    <row r="43" spans="15:15" ht="11.25" customHeight="1"/>
    <row r="44" spans="15:15" ht="11.25" customHeight="1"/>
    <row r="45" spans="15:15" ht="11.25" customHeight="1"/>
    <row r="46" spans="15:15" ht="11.25" customHeight="1"/>
    <row r="47" spans="15:15" ht="11.25" customHeight="1"/>
    <row r="48" spans="15: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sheetData>
  <sheetProtection sheet="1" objects="1" scenarios="1"/>
  <mergeCells count="2">
    <mergeCell ref="D2:D3"/>
    <mergeCell ref="E2:E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workbookViewId="0">
      <pane xSplit="2" ySplit="3" topLeftCell="C16" activePane="bottomRight" state="frozen"/>
      <selection activeCell="O37" sqref="A1:IV65536"/>
      <selection pane="topRight" activeCell="O37" sqref="A1:IV65536"/>
      <selection pane="bottomLeft" activeCell="O37" sqref="A1:IV65536"/>
      <selection pane="bottomRight" activeCell="I38" sqref="I38"/>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 r="A1" s="148" t="str">
        <f>muni&amp;" - "&amp;TableA17</f>
        <v>KZN225 Msunduzi - Supporting Table SA17 Borrowing</v>
      </c>
      <c r="B1" s="148"/>
      <c r="C1" s="148"/>
      <c r="D1" s="148"/>
      <c r="E1" s="148"/>
      <c r="F1" s="148"/>
      <c r="G1" s="148"/>
      <c r="H1" s="148"/>
      <c r="I1" s="148"/>
      <c r="J1" s="148"/>
      <c r="K1" s="148"/>
    </row>
    <row r="2" spans="1:11" ht="28.5" customHeight="1">
      <c r="A2" s="1022" t="s">
        <v>890</v>
      </c>
      <c r="B2" s="422" t="str">
        <f>head27</f>
        <v>Ref</v>
      </c>
      <c r="C2" s="151"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1" ht="25.5">
      <c r="A3" s="181" t="s">
        <v>703</v>
      </c>
      <c r="B3" s="1016"/>
      <c r="C3" s="393" t="str">
        <f>Head5</f>
        <v>Audited Outcome</v>
      </c>
      <c r="D3" s="393"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c r="A4" s="250" t="s">
        <v>184</v>
      </c>
      <c r="B4" s="183"/>
      <c r="C4" s="728"/>
      <c r="D4" s="728"/>
      <c r="E4" s="763"/>
      <c r="F4" s="725"/>
      <c r="G4" s="728"/>
      <c r="H4" s="726"/>
      <c r="I4" s="729"/>
      <c r="J4" s="728"/>
      <c r="K4" s="724"/>
    </row>
    <row r="5" spans="1:11" ht="11.25" customHeight="1">
      <c r="A5" s="251" t="s">
        <v>103</v>
      </c>
      <c r="B5" s="183"/>
      <c r="C5" s="2352">
        <f>371134239-34365986</f>
        <v>336768253</v>
      </c>
      <c r="D5" s="2353">
        <v>371716196</v>
      </c>
      <c r="E5" s="1988">
        <v>555828272</v>
      </c>
      <c r="F5" s="1984">
        <v>677836304</v>
      </c>
      <c r="G5" s="1984">
        <v>511968115</v>
      </c>
      <c r="H5" s="1987">
        <v>511968115</v>
      </c>
      <c r="I5" s="1985">
        <v>472533536.02999997</v>
      </c>
      <c r="J5" s="1984">
        <v>431874280.45999998</v>
      </c>
      <c r="K5" s="1985">
        <v>394276834</v>
      </c>
    </row>
    <row r="6" spans="1:11" ht="11.25" customHeight="1">
      <c r="A6" s="251" t="s">
        <v>302</v>
      </c>
      <c r="B6" s="183"/>
      <c r="C6" s="2352"/>
      <c r="D6" s="2353"/>
      <c r="E6" s="1985"/>
      <c r="F6" s="1986"/>
      <c r="G6" s="1984"/>
      <c r="H6" s="1987"/>
      <c r="I6" s="1988"/>
      <c r="J6" s="1984"/>
      <c r="K6" s="1985"/>
    </row>
    <row r="7" spans="1:11" ht="11.25" customHeight="1">
      <c r="A7" s="251" t="s">
        <v>104</v>
      </c>
      <c r="B7" s="183"/>
      <c r="C7" s="2352"/>
      <c r="D7" s="2353"/>
      <c r="E7" s="1985"/>
      <c r="F7" s="1986"/>
      <c r="G7" s="1984"/>
      <c r="H7" s="1987"/>
      <c r="I7" s="1988"/>
      <c r="J7" s="1984"/>
      <c r="K7" s="1985"/>
    </row>
    <row r="8" spans="1:11" ht="11.25" customHeight="1">
      <c r="A8" s="251" t="s">
        <v>589</v>
      </c>
      <c r="B8" s="183"/>
      <c r="C8" s="2352"/>
      <c r="D8" s="2353"/>
      <c r="E8" s="1985"/>
      <c r="F8" s="1986"/>
      <c r="G8" s="1984"/>
      <c r="H8" s="1987"/>
      <c r="I8" s="1988"/>
      <c r="J8" s="1984"/>
      <c r="K8" s="1985"/>
    </row>
    <row r="9" spans="1:11" ht="11.25" customHeight="1">
      <c r="A9" s="251" t="s">
        <v>590</v>
      </c>
      <c r="B9" s="183"/>
      <c r="C9" s="2352">
        <f>13847642-6178501</f>
        <v>7669141</v>
      </c>
      <c r="D9" s="2353">
        <v>10670399</v>
      </c>
      <c r="E9" s="1988">
        <v>7150233</v>
      </c>
      <c r="F9" s="1984">
        <v>4361544</v>
      </c>
      <c r="G9" s="1984">
        <v>4326448.88</v>
      </c>
      <c r="H9" s="1987">
        <v>4326448.88</v>
      </c>
      <c r="I9" s="1985">
        <v>2026986.26</v>
      </c>
      <c r="J9" s="1984">
        <v>907102.28</v>
      </c>
      <c r="K9" s="1985">
        <v>569098.98</v>
      </c>
    </row>
    <row r="10" spans="1:11" ht="11.25" customHeight="1">
      <c r="A10" s="251" t="s">
        <v>843</v>
      </c>
      <c r="B10" s="183"/>
      <c r="C10" s="1985"/>
      <c r="D10" s="1986"/>
      <c r="E10" s="1985"/>
      <c r="F10" s="1986"/>
      <c r="G10" s="1984"/>
      <c r="H10" s="1987"/>
      <c r="I10" s="1988"/>
      <c r="J10" s="1984"/>
      <c r="K10" s="1985"/>
    </row>
    <row r="11" spans="1:11" ht="11.25" customHeight="1">
      <c r="A11" s="251" t="s">
        <v>106</v>
      </c>
      <c r="B11" s="183"/>
      <c r="C11" s="1984"/>
      <c r="D11" s="1984"/>
      <c r="E11" s="1985"/>
      <c r="F11" s="1986"/>
      <c r="G11" s="1984"/>
      <c r="H11" s="1987"/>
      <c r="I11" s="1988"/>
      <c r="J11" s="1984"/>
      <c r="K11" s="1985"/>
    </row>
    <row r="12" spans="1:11" ht="11.25" customHeight="1">
      <c r="A12" s="251" t="s">
        <v>107</v>
      </c>
      <c r="B12" s="183"/>
      <c r="C12" s="1984"/>
      <c r="D12" s="1984"/>
      <c r="E12" s="1985"/>
      <c r="F12" s="1986"/>
      <c r="G12" s="1984"/>
      <c r="H12" s="1987"/>
      <c r="I12" s="1988"/>
      <c r="J12" s="1984"/>
      <c r="K12" s="1985"/>
    </row>
    <row r="13" spans="1:11" ht="11.25" customHeight="1">
      <c r="A13" s="251" t="s">
        <v>108</v>
      </c>
      <c r="B13" s="183"/>
      <c r="C13" s="1984"/>
      <c r="D13" s="1984"/>
      <c r="E13" s="1985"/>
      <c r="F13" s="1986"/>
      <c r="G13" s="1984"/>
      <c r="H13" s="1987"/>
      <c r="I13" s="1988"/>
      <c r="J13" s="1984"/>
      <c r="K13" s="1985"/>
    </row>
    <row r="14" spans="1:11" ht="11.25" customHeight="1">
      <c r="A14" s="251" t="s">
        <v>109</v>
      </c>
      <c r="B14" s="183"/>
      <c r="C14" s="1984"/>
      <c r="D14" s="1984"/>
      <c r="E14" s="1985"/>
      <c r="F14" s="1986"/>
      <c r="G14" s="1984"/>
      <c r="H14" s="1987"/>
      <c r="I14" s="1988"/>
      <c r="J14" s="1984"/>
      <c r="K14" s="1985"/>
    </row>
    <row r="15" spans="1:11" ht="11.25" customHeight="1">
      <c r="A15" s="251" t="s">
        <v>844</v>
      </c>
      <c r="B15" s="183"/>
      <c r="C15" s="1984"/>
      <c r="D15" s="1984"/>
      <c r="E15" s="1985"/>
      <c r="F15" s="1986"/>
      <c r="G15" s="1984"/>
      <c r="H15" s="1987"/>
      <c r="I15" s="1988"/>
      <c r="J15" s="1984"/>
      <c r="K15" s="1985"/>
    </row>
    <row r="16" spans="1:11" ht="11.25" customHeight="1">
      <c r="A16" s="251" t="s">
        <v>110</v>
      </c>
      <c r="B16" s="183"/>
      <c r="C16" s="1984"/>
      <c r="D16" s="1984"/>
      <c r="E16" s="1985"/>
      <c r="F16" s="1986"/>
      <c r="G16" s="1984"/>
      <c r="H16" s="1987"/>
      <c r="I16" s="1988"/>
      <c r="J16" s="1984"/>
      <c r="K16" s="1985"/>
    </row>
    <row r="17" spans="1:11" ht="11.25" customHeight="1">
      <c r="A17" s="266" t="s">
        <v>183</v>
      </c>
      <c r="B17" s="183">
        <v>1</v>
      </c>
      <c r="C17" s="730">
        <f>SUM(C5:C14)</f>
        <v>344437394</v>
      </c>
      <c r="D17" s="730">
        <f t="shared" ref="D17:K17" si="0">SUM(D5:D14)</f>
        <v>382386595</v>
      </c>
      <c r="E17" s="731">
        <f t="shared" si="0"/>
        <v>562978505</v>
      </c>
      <c r="F17" s="732">
        <f t="shared" si="0"/>
        <v>682197848</v>
      </c>
      <c r="G17" s="730">
        <f t="shared" si="0"/>
        <v>516294563.88</v>
      </c>
      <c r="H17" s="733">
        <f t="shared" si="0"/>
        <v>516294563.88</v>
      </c>
      <c r="I17" s="734">
        <f t="shared" si="0"/>
        <v>474560522.28999996</v>
      </c>
      <c r="J17" s="730">
        <f t="shared" si="0"/>
        <v>432781382.73999995</v>
      </c>
      <c r="K17" s="731">
        <f t="shared" si="0"/>
        <v>394845932.98000002</v>
      </c>
    </row>
    <row r="18" spans="1:11" ht="5.0999999999999996" customHeight="1">
      <c r="A18" s="266"/>
      <c r="B18" s="183"/>
      <c r="C18" s="764"/>
      <c r="D18" s="764"/>
      <c r="E18" s="765"/>
      <c r="F18" s="766"/>
      <c r="G18" s="764"/>
      <c r="H18" s="767"/>
      <c r="I18" s="768"/>
      <c r="J18" s="764"/>
      <c r="K18" s="765"/>
    </row>
    <row r="19" spans="1:11" ht="11.25" customHeight="1">
      <c r="A19" s="250" t="s">
        <v>717</v>
      </c>
      <c r="B19" s="183"/>
      <c r="C19" s="728"/>
      <c r="D19" s="728"/>
      <c r="E19" s="724"/>
      <c r="F19" s="725"/>
      <c r="G19" s="728"/>
      <c r="H19" s="726"/>
      <c r="I19" s="729"/>
      <c r="J19" s="728"/>
      <c r="K19" s="724"/>
    </row>
    <row r="20" spans="1:11" ht="11.25" customHeight="1">
      <c r="A20" s="251" t="str">
        <f t="shared" ref="A20:A31" si="1">A5</f>
        <v>Long-Term Loans (annuity/reducing balance)</v>
      </c>
      <c r="B20" s="183"/>
      <c r="C20" s="1984"/>
      <c r="D20" s="1984"/>
      <c r="E20" s="1985"/>
      <c r="F20" s="1986"/>
      <c r="G20" s="1984"/>
      <c r="H20" s="1987"/>
      <c r="I20" s="1988"/>
      <c r="J20" s="1984"/>
      <c r="K20" s="1985"/>
    </row>
    <row r="21" spans="1:11" ht="11.25" customHeight="1">
      <c r="A21" s="251" t="str">
        <f t="shared" si="1"/>
        <v>Long-Term Loans (non-annuity)</v>
      </c>
      <c r="B21" s="183"/>
      <c r="C21" s="1984"/>
      <c r="D21" s="1984"/>
      <c r="E21" s="1985"/>
      <c r="F21" s="1986"/>
      <c r="G21" s="1984"/>
      <c r="H21" s="1987"/>
      <c r="I21" s="1988"/>
      <c r="J21" s="1984"/>
      <c r="K21" s="1985"/>
    </row>
    <row r="22" spans="1:11" ht="11.25" customHeight="1">
      <c r="A22" s="251" t="str">
        <f t="shared" si="1"/>
        <v>Local registered stock</v>
      </c>
      <c r="B22" s="183"/>
      <c r="C22" s="1984"/>
      <c r="D22" s="1984"/>
      <c r="E22" s="1985"/>
      <c r="F22" s="1986"/>
      <c r="G22" s="1984"/>
      <c r="H22" s="1987"/>
      <c r="I22" s="1988"/>
      <c r="J22" s="1984"/>
      <c r="K22" s="1985"/>
    </row>
    <row r="23" spans="1:11" ht="11.25" customHeight="1">
      <c r="A23" s="251" t="str">
        <f t="shared" si="1"/>
        <v>Instalment Credit</v>
      </c>
      <c r="B23" s="183"/>
      <c r="C23" s="1984"/>
      <c r="D23" s="1984"/>
      <c r="E23" s="1985"/>
      <c r="F23" s="1986"/>
      <c r="G23" s="1984"/>
      <c r="H23" s="1987"/>
      <c r="I23" s="1988"/>
      <c r="J23" s="1984"/>
      <c r="K23" s="1985"/>
    </row>
    <row r="24" spans="1:11" ht="11.25" customHeight="1">
      <c r="A24" s="251" t="str">
        <f t="shared" si="1"/>
        <v>Financial Leases</v>
      </c>
      <c r="B24" s="183"/>
      <c r="C24" s="1984"/>
      <c r="D24" s="1984"/>
      <c r="E24" s="1985"/>
      <c r="F24" s="1986"/>
      <c r="G24" s="1984"/>
      <c r="H24" s="1987"/>
      <c r="I24" s="1988"/>
      <c r="J24" s="1984"/>
      <c r="K24" s="1985"/>
    </row>
    <row r="25" spans="1:11" ht="11.25" customHeight="1">
      <c r="A25" s="251" t="str">
        <f t="shared" si="1"/>
        <v>PPP liabilities</v>
      </c>
      <c r="B25" s="183"/>
      <c r="C25" s="1984"/>
      <c r="D25" s="1984"/>
      <c r="E25" s="1985"/>
      <c r="F25" s="1986"/>
      <c r="G25" s="1984"/>
      <c r="H25" s="1987"/>
      <c r="I25" s="1988"/>
      <c r="J25" s="1984"/>
      <c r="K25" s="1985"/>
    </row>
    <row r="26" spans="1:11" ht="11.25" customHeight="1">
      <c r="A26" s="251" t="str">
        <f t="shared" si="1"/>
        <v>Finance Granted By Cap Equipment Supplier</v>
      </c>
      <c r="B26" s="183"/>
      <c r="C26" s="1984"/>
      <c r="D26" s="1984"/>
      <c r="E26" s="1985"/>
      <c r="F26" s="1986"/>
      <c r="G26" s="1984"/>
      <c r="H26" s="1987"/>
      <c r="I26" s="1988"/>
      <c r="J26" s="1984"/>
      <c r="K26" s="1985"/>
    </row>
    <row r="27" spans="1:11" ht="11.25" customHeight="1">
      <c r="A27" s="251" t="str">
        <f t="shared" si="1"/>
        <v>Marketable Bonds</v>
      </c>
      <c r="B27" s="183"/>
      <c r="C27" s="1984"/>
      <c r="D27" s="1984"/>
      <c r="E27" s="1985"/>
      <c r="F27" s="1986"/>
      <c r="G27" s="1984"/>
      <c r="H27" s="1987"/>
      <c r="I27" s="1988"/>
      <c r="J27" s="1984"/>
      <c r="K27" s="1985"/>
    </row>
    <row r="28" spans="1:11" ht="11.25" customHeight="1">
      <c r="A28" s="251" t="str">
        <f t="shared" si="1"/>
        <v>Non-Marketable Bonds</v>
      </c>
      <c r="B28" s="183"/>
      <c r="C28" s="1984"/>
      <c r="D28" s="1984"/>
      <c r="E28" s="1985"/>
      <c r="F28" s="1986"/>
      <c r="G28" s="1984"/>
      <c r="H28" s="1987"/>
      <c r="I28" s="1988"/>
      <c r="J28" s="1984"/>
      <c r="K28" s="1985"/>
    </row>
    <row r="29" spans="1:11" ht="11.25" customHeight="1">
      <c r="A29" s="251" t="str">
        <f t="shared" si="1"/>
        <v>Bankers Acceptances</v>
      </c>
      <c r="B29" s="183"/>
      <c r="C29" s="1984"/>
      <c r="D29" s="1984"/>
      <c r="E29" s="1985"/>
      <c r="F29" s="1986"/>
      <c r="G29" s="1984"/>
      <c r="H29" s="1987"/>
      <c r="I29" s="1988"/>
      <c r="J29" s="1984"/>
      <c r="K29" s="1985"/>
    </row>
    <row r="30" spans="1:11" ht="11.25" customHeight="1">
      <c r="A30" s="251" t="str">
        <f t="shared" si="1"/>
        <v>Financial derivatives</v>
      </c>
      <c r="B30" s="183"/>
      <c r="C30" s="1984"/>
      <c r="D30" s="1984"/>
      <c r="E30" s="1985"/>
      <c r="F30" s="1986"/>
      <c r="G30" s="1984"/>
      <c r="H30" s="1987"/>
      <c r="I30" s="1988"/>
      <c r="J30" s="1984"/>
      <c r="K30" s="1985"/>
    </row>
    <row r="31" spans="1:11" ht="11.25" customHeight="1">
      <c r="A31" s="251" t="str">
        <f t="shared" si="1"/>
        <v>Other Securities</v>
      </c>
      <c r="B31" s="183"/>
      <c r="C31" s="1984"/>
      <c r="D31" s="1984"/>
      <c r="E31" s="1985"/>
      <c r="F31" s="1986"/>
      <c r="G31" s="1984"/>
      <c r="H31" s="1987"/>
      <c r="I31" s="1988"/>
      <c r="J31" s="1984"/>
      <c r="K31" s="1985"/>
    </row>
    <row r="32" spans="1:11" ht="11.25" customHeight="1">
      <c r="A32" s="266" t="s">
        <v>182</v>
      </c>
      <c r="B32" s="183">
        <v>1</v>
      </c>
      <c r="C32" s="730">
        <f>SUM(C20:C29)</f>
        <v>0</v>
      </c>
      <c r="D32" s="730">
        <f t="shared" ref="D32:K32" si="2">SUM(D20:D29)</f>
        <v>0</v>
      </c>
      <c r="E32" s="731">
        <f t="shared" si="2"/>
        <v>0</v>
      </c>
      <c r="F32" s="732">
        <f t="shared" si="2"/>
        <v>0</v>
      </c>
      <c r="G32" s="730">
        <f t="shared" si="2"/>
        <v>0</v>
      </c>
      <c r="H32" s="733">
        <f t="shared" si="2"/>
        <v>0</v>
      </c>
      <c r="I32" s="734">
        <f t="shared" si="2"/>
        <v>0</v>
      </c>
      <c r="J32" s="730">
        <f t="shared" si="2"/>
        <v>0</v>
      </c>
      <c r="K32" s="731">
        <f t="shared" si="2"/>
        <v>0</v>
      </c>
    </row>
    <row r="33" spans="1:45" ht="5.0999999999999996" customHeight="1">
      <c r="A33" s="274"/>
      <c r="B33" s="183"/>
      <c r="C33" s="728"/>
      <c r="D33" s="728"/>
      <c r="E33" s="724"/>
      <c r="F33" s="725"/>
      <c r="G33" s="728"/>
      <c r="H33" s="726"/>
      <c r="I33" s="729"/>
      <c r="J33" s="728"/>
      <c r="K33" s="724"/>
    </row>
    <row r="34" spans="1:45">
      <c r="A34" s="282" t="s">
        <v>1497</v>
      </c>
      <c r="B34" s="226">
        <v>1</v>
      </c>
      <c r="C34" s="741">
        <f>C17+C32</f>
        <v>344437394</v>
      </c>
      <c r="D34" s="741">
        <f t="shared" ref="D34:K34" si="3">D17+D32</f>
        <v>382386595</v>
      </c>
      <c r="E34" s="742">
        <f t="shared" si="3"/>
        <v>562978505</v>
      </c>
      <c r="F34" s="743">
        <f t="shared" si="3"/>
        <v>682197848</v>
      </c>
      <c r="G34" s="741">
        <f t="shared" si="3"/>
        <v>516294563.88</v>
      </c>
      <c r="H34" s="744">
        <f t="shared" si="3"/>
        <v>516294563.88</v>
      </c>
      <c r="I34" s="745">
        <f t="shared" si="3"/>
        <v>474560522.28999996</v>
      </c>
      <c r="J34" s="741">
        <f t="shared" si="3"/>
        <v>432781382.73999995</v>
      </c>
      <c r="K34" s="742">
        <f t="shared" si="3"/>
        <v>394845932.98000002</v>
      </c>
    </row>
    <row r="35" spans="1:45" ht="6" customHeight="1">
      <c r="A35" s="247"/>
      <c r="B35" s="237"/>
      <c r="C35" s="310"/>
      <c r="D35" s="310"/>
      <c r="E35" s="310"/>
      <c r="F35" s="310"/>
      <c r="G35" s="310"/>
      <c r="H35" s="310"/>
      <c r="I35" s="310"/>
      <c r="J35" s="310"/>
      <c r="K35" s="310"/>
      <c r="L35" s="247"/>
      <c r="M35" s="247"/>
      <c r="N35" s="247"/>
    </row>
    <row r="36" spans="1:45">
      <c r="A36" s="236" t="str">
        <f>head27a</f>
        <v>References</v>
      </c>
      <c r="B36" s="237"/>
      <c r="C36" s="310"/>
      <c r="D36" s="310"/>
      <c r="E36" s="310"/>
      <c r="F36" s="310"/>
      <c r="G36" s="310"/>
      <c r="H36" s="310"/>
      <c r="I36" s="310"/>
      <c r="J36" s="310"/>
      <c r="K36" s="310"/>
      <c r="L36" s="247"/>
      <c r="M36" s="247"/>
      <c r="N36" s="247"/>
    </row>
    <row r="37" spans="1:45" ht="11.25" customHeight="1">
      <c r="A37" s="288" t="s">
        <v>1388</v>
      </c>
      <c r="B37" s="237"/>
      <c r="C37" s="242"/>
      <c r="D37" s="241"/>
      <c r="E37" s="242"/>
      <c r="F37" s="242"/>
      <c r="G37" s="242"/>
      <c r="H37" s="242"/>
      <c r="I37" s="242"/>
      <c r="J37" s="242"/>
      <c r="K37" s="242"/>
    </row>
    <row r="38" spans="1:45" ht="11.25" customHeight="1">
      <c r="A38" s="289" t="s">
        <v>588</v>
      </c>
      <c r="B38" s="237"/>
      <c r="C38" s="441">
        <f>C34-'A6-FinPos'!C37</f>
        <v>0</v>
      </c>
      <c r="D38" s="441">
        <f>D34-'A6-FinPos'!D37</f>
        <v>42605595</v>
      </c>
      <c r="E38" s="441">
        <f>E34-'A6-FinPos'!E37</f>
        <v>-7150233</v>
      </c>
      <c r="F38" s="441">
        <f>F34-'A6-FinPos'!F37</f>
        <v>-152</v>
      </c>
      <c r="G38" s="441">
        <f>G34-'A6-FinPos'!G37</f>
        <v>0.87999999523162842</v>
      </c>
      <c r="H38" s="441">
        <f>H34-'A6-FinPos'!H37</f>
        <v>0.87999999523162842</v>
      </c>
      <c r="I38" s="441">
        <f>I34-'A6-FinPos'!I37</f>
        <v>-41734040.710000038</v>
      </c>
      <c r="J38" s="441">
        <f>J34-'A6-FinPos'!J37</f>
        <v>-41779139.26000005</v>
      </c>
      <c r="K38" s="441">
        <f>K34-'A6-FinPos'!K37</f>
        <v>-37935449.019999981</v>
      </c>
      <c r="L38" s="373"/>
    </row>
    <row r="39" spans="1:45" ht="11.25" customHeight="1">
      <c r="F39" s="311"/>
    </row>
    <row r="40" spans="1:45" ht="11.25" customHeight="1"/>
    <row r="41" spans="1:45" ht="11.25" customHeight="1">
      <c r="AQ41" s="150">
        <v>439005000</v>
      </c>
      <c r="AS41" s="150">
        <v>539442200</v>
      </c>
    </row>
    <row r="42" spans="1:45" ht="11.25" customHeight="1"/>
    <row r="43" spans="1:45" ht="11.25" customHeight="1">
      <c r="W43" s="150">
        <v>0</v>
      </c>
      <c r="Y43" s="150">
        <v>0</v>
      </c>
      <c r="AB43" s="150">
        <v>0</v>
      </c>
      <c r="AD43" s="150">
        <v>0</v>
      </c>
      <c r="AG43" s="150">
        <v>0</v>
      </c>
      <c r="AI43" s="150">
        <v>0</v>
      </c>
      <c r="AL43" s="150">
        <v>0</v>
      </c>
      <c r="AN43" s="150">
        <v>0</v>
      </c>
      <c r="AQ43" s="150">
        <v>1834701353</v>
      </c>
      <c r="AS43" s="150">
        <v>1241876995</v>
      </c>
    </row>
    <row r="44" spans="1:45" ht="11.25" customHeight="1">
      <c r="AQ44" s="150">
        <v>839041298</v>
      </c>
      <c r="AS44" s="150">
        <v>440387617</v>
      </c>
    </row>
    <row r="45" spans="1:45" ht="11.25" customHeight="1">
      <c r="AQ45" s="150">
        <v>976543638</v>
      </c>
      <c r="AS45" s="150">
        <v>782372961</v>
      </c>
    </row>
    <row r="46" spans="1:45" ht="11.25" customHeight="1">
      <c r="AQ46" s="150">
        <v>19116417</v>
      </c>
      <c r="AS46" s="150">
        <v>19116417</v>
      </c>
    </row>
    <row r="47" spans="1:45" ht="11.25" customHeight="1">
      <c r="AQ47" s="150">
        <v>2273706353</v>
      </c>
      <c r="AS47" s="150">
        <v>1781319195</v>
      </c>
    </row>
    <row r="48" spans="1:45" ht="11.25" customHeight="1">
      <c r="AQ48" s="150">
        <v>180259232</v>
      </c>
      <c r="AS48" s="150">
        <v>140396729</v>
      </c>
    </row>
    <row r="49" spans="43:45" ht="11.25" customHeight="1">
      <c r="AQ49" s="150">
        <v>125005000</v>
      </c>
      <c r="AS49" s="150">
        <v>100442200</v>
      </c>
    </row>
    <row r="50" spans="43:45" ht="11.25" customHeight="1">
      <c r="AQ50" s="150">
        <v>40341797</v>
      </c>
      <c r="AS50" s="150">
        <v>38954529</v>
      </c>
    </row>
    <row r="51" spans="43:45" ht="11.25" customHeight="1">
      <c r="AQ51" s="150">
        <v>14912435</v>
      </c>
      <c r="AS51" s="150">
        <v>1000000</v>
      </c>
    </row>
    <row r="52" spans="43:45" ht="11.25" customHeight="1"/>
    <row r="53" spans="43:45" ht="11.25" customHeight="1"/>
    <row r="54" spans="43:45" ht="11.25" customHeight="1"/>
    <row r="55" spans="43:45" ht="11.25" customHeight="1"/>
    <row r="56" spans="43:45" ht="11.25" customHeight="1"/>
    <row r="57" spans="43:45" ht="11.25" customHeight="1"/>
    <row r="58" spans="43:45" ht="11.25" customHeight="1"/>
    <row r="59" spans="43:45" ht="11.25" customHeight="1"/>
    <row r="60" spans="43:45" ht="11.25" customHeight="1"/>
    <row r="61" spans="43:45" ht="11.25" customHeight="1"/>
    <row r="62" spans="43:45" ht="11.25" customHeight="1"/>
    <row r="63" spans="43:45" ht="11.25" customHeight="1"/>
    <row r="64" spans="43:45" ht="11.25" customHeight="1"/>
    <row r="65" ht="11.25" customHeight="1"/>
    <row r="66" ht="11.25" customHeight="1"/>
    <row r="67" ht="11.25" customHeight="1"/>
    <row r="68" ht="11.25" customHeight="1"/>
    <row r="69" ht="11.25" customHeight="1"/>
    <row r="70" ht="11.25" customHeight="1"/>
    <row r="71" ht="11.25" customHeight="1"/>
    <row r="72"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I17" sqref="I17:K17"/>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 TableA18</f>
        <v>KZN225 Msunduzi - Supporting Table SA18 Transfers and grant receipts</v>
      </c>
      <c r="B1" s="148"/>
      <c r="C1" s="148"/>
      <c r="D1" s="148"/>
      <c r="E1" s="148"/>
      <c r="F1" s="148"/>
      <c r="G1" s="148"/>
      <c r="H1" s="148"/>
      <c r="I1" s="148"/>
      <c r="J1" s="148"/>
      <c r="K1" s="148"/>
    </row>
    <row r="2" spans="1:12" ht="28.5" customHeight="1">
      <c r="A2" s="1011" t="str">
        <f>desc</f>
        <v>Description</v>
      </c>
      <c r="B2" s="422" t="str">
        <f>head27</f>
        <v>Ref</v>
      </c>
      <c r="C2" s="151" t="str">
        <f>head1b</f>
        <v>2007/8</v>
      </c>
      <c r="D2" s="769" t="str">
        <f>head1A</f>
        <v>2008/9</v>
      </c>
      <c r="E2" s="147" t="str">
        <f>Head1</f>
        <v>2009/10</v>
      </c>
      <c r="F2" s="2415" t="str">
        <f>Head2</f>
        <v>Current Year 2010/11</v>
      </c>
      <c r="G2" s="2416"/>
      <c r="H2" s="2420"/>
      <c r="I2" s="2412" t="str">
        <f>Head3</f>
        <v>2011/12 Medium Term Revenue &amp; Expenditure Framework</v>
      </c>
      <c r="J2" s="2413"/>
      <c r="K2" s="2414"/>
    </row>
    <row r="3" spans="1:12" ht="25.5">
      <c r="A3" s="181" t="s">
        <v>703</v>
      </c>
      <c r="B3" s="1016"/>
      <c r="C3" s="393" t="str">
        <f>Head5</f>
        <v>Audited Outcome</v>
      </c>
      <c r="D3" s="1025"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2" ht="11.25" customHeight="1">
      <c r="A4" s="266" t="s">
        <v>1389</v>
      </c>
      <c r="B4" s="762" t="s">
        <v>1673</v>
      </c>
      <c r="C4" s="770"/>
      <c r="D4" s="770"/>
      <c r="E4" s="771"/>
      <c r="F4" s="772"/>
      <c r="G4" s="770"/>
      <c r="H4" s="773"/>
      <c r="I4" s="774"/>
      <c r="J4" s="770"/>
      <c r="K4" s="771"/>
    </row>
    <row r="5" spans="1:12" ht="5.0999999999999996" customHeight="1">
      <c r="A5" s="250"/>
      <c r="B5" s="183"/>
      <c r="C5" s="764"/>
      <c r="D5" s="764"/>
      <c r="E5" s="765"/>
      <c r="F5" s="766"/>
      <c r="G5" s="764"/>
      <c r="H5" s="767"/>
      <c r="I5" s="768"/>
      <c r="J5" s="764"/>
      <c r="K5" s="765"/>
    </row>
    <row r="6" spans="1:12" ht="11.25" customHeight="1">
      <c r="A6" s="250" t="s">
        <v>379</v>
      </c>
      <c r="B6" s="183"/>
      <c r="C6" s="764"/>
      <c r="D6" s="764"/>
      <c r="E6" s="765"/>
      <c r="F6" s="766"/>
      <c r="G6" s="764"/>
      <c r="H6" s="767"/>
      <c r="I6" s="768"/>
      <c r="J6" s="764"/>
      <c r="K6" s="765"/>
    </row>
    <row r="7" spans="1:12" ht="18" customHeight="1">
      <c r="A7" s="376" t="s">
        <v>1110</v>
      </c>
      <c r="B7" s="183"/>
      <c r="C7" s="764">
        <f>SUM(C8:C14)</f>
        <v>145486069.20000002</v>
      </c>
      <c r="D7" s="764">
        <f t="shared" ref="D7:K7" si="0">SUM(D8:D14)</f>
        <v>179762639</v>
      </c>
      <c r="E7" s="765">
        <f t="shared" si="0"/>
        <v>203378250</v>
      </c>
      <c r="F7" s="766">
        <f t="shared" si="0"/>
        <v>271790000</v>
      </c>
      <c r="G7" s="764">
        <f t="shared" si="0"/>
        <v>271790000</v>
      </c>
      <c r="H7" s="767">
        <f t="shared" si="0"/>
        <v>271790000</v>
      </c>
      <c r="I7" s="768">
        <f t="shared" si="0"/>
        <v>312242000</v>
      </c>
      <c r="J7" s="764">
        <f t="shared" si="0"/>
        <v>344379160</v>
      </c>
      <c r="K7" s="765">
        <f t="shared" si="0"/>
        <v>367303300</v>
      </c>
    </row>
    <row r="8" spans="1:12" ht="11.25" customHeight="1">
      <c r="A8" s="1315" t="s">
        <v>2107</v>
      </c>
      <c r="B8" s="183" t="str">
        <f t="shared" ref="B8:B13" si="1">IF(A8="  Levy replacement",3,"")</f>
        <v/>
      </c>
      <c r="C8" s="1995">
        <v>142974380</v>
      </c>
      <c r="D8" s="1996">
        <v>176116601</v>
      </c>
      <c r="E8" s="1998">
        <v>199824000</v>
      </c>
      <c r="F8" s="1715">
        <v>267211000</v>
      </c>
      <c r="G8" s="1994">
        <v>267211000</v>
      </c>
      <c r="H8" s="1997">
        <v>267211000</v>
      </c>
      <c r="I8" s="1995">
        <v>304835000</v>
      </c>
      <c r="J8" s="1994">
        <v>339004000</v>
      </c>
      <c r="K8" s="1995">
        <v>361409000</v>
      </c>
    </row>
    <row r="9" spans="1:12" ht="11.25" customHeight="1">
      <c r="A9" s="2212" t="s">
        <v>2131</v>
      </c>
      <c r="B9" s="183" t="str">
        <f t="shared" si="1"/>
        <v/>
      </c>
      <c r="C9" s="1985">
        <v>510543.87</v>
      </c>
      <c r="D9" s="1986">
        <v>500000</v>
      </c>
      <c r="E9" s="1988">
        <v>750000</v>
      </c>
      <c r="F9" s="1084">
        <v>1200000</v>
      </c>
      <c r="G9" s="1984">
        <v>1200000</v>
      </c>
      <c r="H9" s="1987">
        <v>1200000</v>
      </c>
      <c r="I9" s="1985">
        <v>1441000</v>
      </c>
      <c r="J9" s="1984">
        <v>1500000</v>
      </c>
      <c r="K9" s="1985">
        <v>1750000</v>
      </c>
    </row>
    <row r="10" spans="1:12" ht="11.25" customHeight="1">
      <c r="A10" s="2212" t="s">
        <v>2132</v>
      </c>
      <c r="B10" s="183" t="str">
        <f t="shared" si="1"/>
        <v/>
      </c>
      <c r="C10" s="1985"/>
      <c r="D10" s="1986">
        <v>400000</v>
      </c>
      <c r="E10" s="1988">
        <v>400000</v>
      </c>
      <c r="F10" s="1084">
        <v>750000</v>
      </c>
      <c r="G10" s="1984">
        <v>750000</v>
      </c>
      <c r="H10" s="1987">
        <v>750000</v>
      </c>
      <c r="I10" s="1985">
        <v>790000</v>
      </c>
      <c r="J10" s="1984">
        <v>800000</v>
      </c>
      <c r="K10" s="1985">
        <v>900000</v>
      </c>
    </row>
    <row r="11" spans="1:12" ht="11.25" customHeight="1">
      <c r="A11" s="2212" t="s">
        <v>2133</v>
      </c>
      <c r="B11" s="183" t="str">
        <f t="shared" si="1"/>
        <v/>
      </c>
      <c r="C11" s="1985">
        <v>771258.02</v>
      </c>
      <c r="D11" s="1986"/>
      <c r="E11" s="1988"/>
      <c r="F11" s="1986"/>
      <c r="G11" s="1984"/>
      <c r="H11" s="1987"/>
      <c r="I11" s="1985"/>
      <c r="J11" s="1984"/>
      <c r="K11" s="1985"/>
    </row>
    <row r="12" spans="1:12" ht="11.25" customHeight="1">
      <c r="A12" s="2227" t="str">
        <f>[5]SB7!A12</f>
        <v>Municipal Systems Improvement</v>
      </c>
      <c r="B12" s="183" t="str">
        <f t="shared" si="1"/>
        <v/>
      </c>
      <c r="C12" s="1985"/>
      <c r="D12" s="1986">
        <v>2746038</v>
      </c>
      <c r="E12" s="1988">
        <v>2404250</v>
      </c>
      <c r="F12" s="1084">
        <v>2629000</v>
      </c>
      <c r="G12" s="1984">
        <v>2629000</v>
      </c>
      <c r="H12" s="1987">
        <v>2629000</v>
      </c>
      <c r="I12" s="1985"/>
      <c r="J12" s="1984"/>
      <c r="K12" s="1985"/>
    </row>
    <row r="13" spans="1:12" ht="11.25" customHeight="1">
      <c r="A13" s="1993"/>
      <c r="B13" s="183" t="str">
        <f t="shared" si="1"/>
        <v/>
      </c>
      <c r="C13" s="1985">
        <v>1229887.31</v>
      </c>
      <c r="D13" s="1986"/>
      <c r="E13" s="1988"/>
      <c r="F13" s="1986"/>
      <c r="G13" s="1984"/>
      <c r="H13" s="1987"/>
      <c r="I13" s="1985"/>
      <c r="J13" s="1984"/>
      <c r="K13" s="1985"/>
    </row>
    <row r="14" spans="1:12" ht="18" customHeight="1">
      <c r="A14" s="1993" t="s">
        <v>2251</v>
      </c>
      <c r="B14" s="183"/>
      <c r="C14" s="2000"/>
      <c r="D14" s="2001"/>
      <c r="E14" s="2003"/>
      <c r="F14" s="2001"/>
      <c r="G14" s="1999"/>
      <c r="H14" s="2002"/>
      <c r="I14" s="2000">
        <f>2908000+2268000</f>
        <v>5176000</v>
      </c>
      <c r="J14" s="1999">
        <f>3075160</f>
        <v>3075160</v>
      </c>
      <c r="K14" s="2000">
        <f>3244300</f>
        <v>3244300</v>
      </c>
    </row>
    <row r="15" spans="1:12" ht="18" customHeight="1">
      <c r="A15" s="376" t="s">
        <v>1111</v>
      </c>
      <c r="B15" s="183"/>
      <c r="C15" s="764">
        <f>SUM(C16:C20)</f>
        <v>48169179.210000001</v>
      </c>
      <c r="D15" s="764">
        <f t="shared" ref="D15:K15" si="2">SUM(D16:D20)</f>
        <v>2075000</v>
      </c>
      <c r="E15" s="765">
        <f t="shared" si="2"/>
        <v>10547915</v>
      </c>
      <c r="F15" s="766">
        <f t="shared" si="2"/>
        <v>27541000</v>
      </c>
      <c r="G15" s="764">
        <f t="shared" si="2"/>
        <v>27541000</v>
      </c>
      <c r="H15" s="767">
        <f t="shared" si="2"/>
        <v>27541000</v>
      </c>
      <c r="I15" s="768">
        <f t="shared" si="2"/>
        <v>13889000</v>
      </c>
      <c r="J15" s="764">
        <f t="shared" si="2"/>
        <v>21333000</v>
      </c>
      <c r="K15" s="765">
        <f t="shared" si="2"/>
        <v>31826000</v>
      </c>
      <c r="L15" s="373"/>
    </row>
    <row r="16" spans="1:12" ht="11.25" customHeight="1">
      <c r="A16" s="2227" t="str">
        <f>[5]SB7!A16</f>
        <v>Other transfers and grants [insert description]</v>
      </c>
      <c r="B16" s="183" t="str">
        <f>IF(A16="  Housing",4,"")</f>
        <v/>
      </c>
      <c r="C16" s="1995"/>
      <c r="D16" s="1996"/>
      <c r="E16" s="1998">
        <v>9160915</v>
      </c>
      <c r="F16" s="1715">
        <v>700000</v>
      </c>
      <c r="G16" s="1994">
        <v>700000</v>
      </c>
      <c r="H16" s="1997">
        <v>700000</v>
      </c>
      <c r="I16" s="1995"/>
      <c r="J16" s="1994"/>
      <c r="K16" s="1995"/>
      <c r="L16" s="373"/>
    </row>
    <row r="17" spans="1:12" ht="11.25" customHeight="1">
      <c r="A17" s="2227" t="str">
        <f>[5]SB7!A17</f>
        <v>Provincial Government:</v>
      </c>
      <c r="B17" s="183" t="str">
        <f>IF(A17="  Housing",4,"")</f>
        <v/>
      </c>
      <c r="C17" s="1985"/>
      <c r="D17" s="1986"/>
      <c r="E17" s="1988"/>
      <c r="F17" s="1084">
        <v>1827000</v>
      </c>
      <c r="G17" s="1984">
        <v>1827000</v>
      </c>
      <c r="H17" s="1987">
        <v>1827000</v>
      </c>
      <c r="I17" s="2000">
        <f>10000000+1789000+2100000</f>
        <v>13889000</v>
      </c>
      <c r="J17" s="1999">
        <f>10000000+11333000</f>
        <v>21333000</v>
      </c>
      <c r="K17" s="2000">
        <f>10000000+21826000</f>
        <v>31826000</v>
      </c>
      <c r="L17" s="373"/>
    </row>
    <row r="18" spans="1:12" ht="11.25" customHeight="1">
      <c r="A18" s="2227" t="str">
        <f>[5]SB7!A18</f>
        <v>Neighbourhood Partnership Grant</v>
      </c>
      <c r="B18" s="183" t="str">
        <f>IF(A18="  Housing",4,"")</f>
        <v/>
      </c>
      <c r="C18" s="1985">
        <v>47863146.32</v>
      </c>
      <c r="D18" s="1986"/>
      <c r="E18" s="1988"/>
      <c r="F18" s="1084">
        <v>1800000</v>
      </c>
      <c r="G18" s="1984">
        <v>1800000</v>
      </c>
      <c r="H18" s="1987">
        <v>1800000</v>
      </c>
      <c r="I18" s="1985"/>
      <c r="J18" s="1984"/>
      <c r="K18" s="1985"/>
      <c r="L18" s="373"/>
    </row>
    <row r="19" spans="1:12" ht="11.25" customHeight="1">
      <c r="A19" s="2227" t="str">
        <f>[5]SB7!A19</f>
        <v>Expanded Public Works Grant</v>
      </c>
      <c r="B19" s="183" t="str">
        <f>IF(A19="  Housing",4,"")</f>
        <v/>
      </c>
      <c r="C19" s="1985"/>
      <c r="D19" s="1986"/>
      <c r="E19" s="1988"/>
      <c r="F19" s="1084">
        <v>10321000</v>
      </c>
      <c r="G19" s="1984">
        <v>10321000</v>
      </c>
      <c r="H19" s="1987">
        <v>10321000</v>
      </c>
      <c r="I19" s="1985"/>
      <c r="J19" s="1984"/>
      <c r="K19" s="1985"/>
      <c r="L19" s="373"/>
    </row>
    <row r="20" spans="1:12" ht="11.25" customHeight="1">
      <c r="A20" s="2227" t="str">
        <f>[5]SB7!A20</f>
        <v>Operating Grant - Property Rates</v>
      </c>
      <c r="B20" s="183"/>
      <c r="C20" s="2000">
        <v>306032.89</v>
      </c>
      <c r="D20" s="2001">
        <v>2075000</v>
      </c>
      <c r="E20" s="2003">
        <v>1387000</v>
      </c>
      <c r="F20" s="1758">
        <v>12893000</v>
      </c>
      <c r="G20" s="1999">
        <v>12893000</v>
      </c>
      <c r="H20" s="2002">
        <v>12893000</v>
      </c>
      <c r="I20" s="2000"/>
      <c r="J20" s="1999"/>
      <c r="K20" s="2000"/>
      <c r="L20" s="373"/>
    </row>
    <row r="21" spans="1:12" ht="18" customHeight="1">
      <c r="A21" s="376" t="s">
        <v>1147</v>
      </c>
      <c r="B21" s="183"/>
      <c r="C21" s="764">
        <f>SUM(C22:C23)</f>
        <v>0</v>
      </c>
      <c r="D21" s="764">
        <f t="shared" ref="D21:K21" si="3">SUM(D22:D23)</f>
        <v>0</v>
      </c>
      <c r="E21" s="765">
        <f t="shared" si="3"/>
        <v>0</v>
      </c>
      <c r="F21" s="766">
        <f t="shared" si="3"/>
        <v>0</v>
      </c>
      <c r="G21" s="764">
        <f t="shared" si="3"/>
        <v>0</v>
      </c>
      <c r="H21" s="767">
        <f t="shared" si="3"/>
        <v>0</v>
      </c>
      <c r="I21" s="768">
        <f t="shared" si="3"/>
        <v>0</v>
      </c>
      <c r="J21" s="764">
        <f t="shared" si="3"/>
        <v>0</v>
      </c>
      <c r="K21" s="765">
        <f t="shared" si="3"/>
        <v>0</v>
      </c>
      <c r="L21" s="373"/>
    </row>
    <row r="22" spans="1:12" ht="11.25" customHeight="1">
      <c r="A22" s="2004" t="s">
        <v>1183</v>
      </c>
      <c r="B22" s="183"/>
      <c r="C22" s="1994"/>
      <c r="D22" s="1994"/>
      <c r="E22" s="1995"/>
      <c r="F22" s="1996"/>
      <c r="G22" s="1994"/>
      <c r="H22" s="1997"/>
      <c r="I22" s="1998"/>
      <c r="J22" s="1994"/>
      <c r="K22" s="1995"/>
      <c r="L22" s="373"/>
    </row>
    <row r="23" spans="1:12" ht="11.25" customHeight="1">
      <c r="A23" s="2004"/>
      <c r="B23" s="183"/>
      <c r="C23" s="1999"/>
      <c r="D23" s="1999"/>
      <c r="E23" s="2000"/>
      <c r="F23" s="2001"/>
      <c r="G23" s="1999"/>
      <c r="H23" s="2002"/>
      <c r="I23" s="2003"/>
      <c r="J23" s="1999"/>
      <c r="K23" s="2000"/>
      <c r="L23" s="373"/>
    </row>
    <row r="24" spans="1:12" ht="18" customHeight="1">
      <c r="A24" s="376" t="s">
        <v>620</v>
      </c>
      <c r="B24" s="183"/>
      <c r="C24" s="764">
        <f>SUM(C25:C26)</f>
        <v>2662466.0099999998</v>
      </c>
      <c r="D24" s="764">
        <f t="shared" ref="D24:K24" si="4">SUM(D25:D26)</f>
        <v>0</v>
      </c>
      <c r="E24" s="765">
        <f t="shared" si="4"/>
        <v>0</v>
      </c>
      <c r="F24" s="766">
        <f t="shared" si="4"/>
        <v>0</v>
      </c>
      <c r="G24" s="764">
        <f t="shared" si="4"/>
        <v>0</v>
      </c>
      <c r="H24" s="767">
        <f t="shared" si="4"/>
        <v>0</v>
      </c>
      <c r="I24" s="768">
        <f t="shared" si="4"/>
        <v>0</v>
      </c>
      <c r="J24" s="764">
        <f t="shared" si="4"/>
        <v>0</v>
      </c>
      <c r="K24" s="765">
        <f t="shared" si="4"/>
        <v>0</v>
      </c>
      <c r="L24" s="373"/>
    </row>
    <row r="25" spans="1:12" ht="11.25" customHeight="1">
      <c r="A25" s="2313" t="s">
        <v>2220</v>
      </c>
      <c r="B25" s="183"/>
      <c r="C25" s="1995">
        <v>2662466.0099999998</v>
      </c>
      <c r="D25" s="1994"/>
      <c r="E25" s="1995"/>
      <c r="F25" s="1996"/>
      <c r="G25" s="1994"/>
      <c r="H25" s="1997"/>
      <c r="I25" s="1998"/>
      <c r="J25" s="1994"/>
      <c r="K25" s="1995"/>
      <c r="L25" s="373"/>
    </row>
    <row r="26" spans="1:12" ht="11.25" customHeight="1">
      <c r="A26" s="2004"/>
      <c r="B26" s="183"/>
      <c r="C26" s="1999"/>
      <c r="D26" s="1999"/>
      <c r="E26" s="2000"/>
      <c r="F26" s="2001"/>
      <c r="G26" s="1999"/>
      <c r="H26" s="2002"/>
      <c r="I26" s="2003"/>
      <c r="J26" s="1999"/>
      <c r="K26" s="2000"/>
      <c r="L26" s="373"/>
    </row>
    <row r="27" spans="1:12" s="782" customFormat="1" ht="15.75" customHeight="1">
      <c r="A27" s="775" t="s">
        <v>380</v>
      </c>
      <c r="B27" s="776">
        <v>5</v>
      </c>
      <c r="C27" s="777">
        <f>C7+C15+C21+C24</f>
        <v>196317714.42000002</v>
      </c>
      <c r="D27" s="777">
        <f t="shared" ref="D27:K27" si="5">D7+D15+D21+D24</f>
        <v>181837639</v>
      </c>
      <c r="E27" s="778">
        <f t="shared" si="5"/>
        <v>213926165</v>
      </c>
      <c r="F27" s="779">
        <f t="shared" si="5"/>
        <v>299331000</v>
      </c>
      <c r="G27" s="777">
        <f t="shared" si="5"/>
        <v>299331000</v>
      </c>
      <c r="H27" s="780">
        <f t="shared" si="5"/>
        <v>299331000</v>
      </c>
      <c r="I27" s="781">
        <f t="shared" si="5"/>
        <v>326131000</v>
      </c>
      <c r="J27" s="777">
        <f t="shared" si="5"/>
        <v>365712160</v>
      </c>
      <c r="K27" s="778">
        <f t="shared" si="5"/>
        <v>399129300</v>
      </c>
      <c r="L27" s="905"/>
    </row>
    <row r="28" spans="1:12" ht="5.0999999999999996" customHeight="1">
      <c r="A28" s="274"/>
      <c r="B28" s="183"/>
      <c r="C28" s="728"/>
      <c r="D28" s="728"/>
      <c r="E28" s="724"/>
      <c r="F28" s="725"/>
      <c r="G28" s="728"/>
      <c r="H28" s="726"/>
      <c r="I28" s="729"/>
      <c r="J28" s="728"/>
      <c r="K28" s="724"/>
      <c r="L28" s="373"/>
    </row>
    <row r="29" spans="1:12" ht="11.25" customHeight="1">
      <c r="A29" s="250" t="s">
        <v>381</v>
      </c>
      <c r="B29" s="183"/>
      <c r="C29" s="728"/>
      <c r="D29" s="728"/>
      <c r="E29" s="724"/>
      <c r="F29" s="725"/>
      <c r="G29" s="728"/>
      <c r="H29" s="726"/>
      <c r="I29" s="729"/>
      <c r="J29" s="728"/>
      <c r="K29" s="724"/>
      <c r="L29" s="373"/>
    </row>
    <row r="30" spans="1:12" ht="18" customHeight="1">
      <c r="A30" s="376" t="str">
        <f>A7</f>
        <v>National Government:</v>
      </c>
      <c r="B30" s="183"/>
      <c r="C30" s="764">
        <f>SUM(C31:C36)</f>
        <v>104948760.23999999</v>
      </c>
      <c r="D30" s="764">
        <f t="shared" ref="D30:K30" si="6">SUM(D31:D36)</f>
        <v>77647962</v>
      </c>
      <c r="E30" s="765">
        <f t="shared" si="6"/>
        <v>125648750</v>
      </c>
      <c r="F30" s="766">
        <f t="shared" si="6"/>
        <v>136513266</v>
      </c>
      <c r="G30" s="764">
        <f t="shared" si="6"/>
        <v>126513266</v>
      </c>
      <c r="H30" s="767">
        <f t="shared" si="6"/>
        <v>126513266</v>
      </c>
      <c r="I30" s="768">
        <f t="shared" si="6"/>
        <v>287122000</v>
      </c>
      <c r="J30" s="764">
        <f t="shared" si="6"/>
        <v>262257500</v>
      </c>
      <c r="K30" s="765">
        <f t="shared" si="6"/>
        <v>214215000</v>
      </c>
      <c r="L30" s="373"/>
    </row>
    <row r="31" spans="1:12" ht="11.25" customHeight="1">
      <c r="A31" s="1993" t="s">
        <v>2103</v>
      </c>
      <c r="B31" s="183"/>
      <c r="C31" s="1995">
        <v>101798760.23999999</v>
      </c>
      <c r="D31" s="1996">
        <v>75517962</v>
      </c>
      <c r="E31" s="1998">
        <v>91338750</v>
      </c>
      <c r="F31" s="1715">
        <v>102513266</v>
      </c>
      <c r="G31" s="1994">
        <v>102513266</v>
      </c>
      <c r="H31" s="1997">
        <v>102513266</v>
      </c>
      <c r="I31" s="1995">
        <v>123547000</v>
      </c>
      <c r="J31" s="1994">
        <v>153757500</v>
      </c>
      <c r="K31" s="1995">
        <v>162215000</v>
      </c>
      <c r="L31" s="373"/>
    </row>
    <row r="32" spans="1:12" ht="11.25" customHeight="1">
      <c r="A32" s="1993" t="s">
        <v>2102</v>
      </c>
      <c r="B32" s="183"/>
      <c r="C32" s="1985">
        <v>3150000</v>
      </c>
      <c r="D32" s="1986">
        <v>2130000</v>
      </c>
      <c r="E32" s="1988">
        <v>7737000</v>
      </c>
      <c r="F32" s="1084">
        <v>15000000</v>
      </c>
      <c r="G32" s="1984">
        <v>15000000</v>
      </c>
      <c r="H32" s="1987">
        <v>15000000</v>
      </c>
      <c r="I32" s="1985">
        <v>65000000</v>
      </c>
      <c r="J32" s="1984">
        <v>85000000</v>
      </c>
      <c r="K32" s="1985">
        <v>25000000</v>
      </c>
      <c r="L32" s="373"/>
    </row>
    <row r="33" spans="1:15" ht="11.25" customHeight="1">
      <c r="A33" s="2228" t="s">
        <v>2173</v>
      </c>
      <c r="B33" s="183"/>
      <c r="C33" s="1985"/>
      <c r="D33" s="1986"/>
      <c r="E33" s="1988"/>
      <c r="F33" s="1084">
        <v>15000000</v>
      </c>
      <c r="G33" s="1984">
        <v>5000000</v>
      </c>
      <c r="H33" s="1987">
        <v>5000000</v>
      </c>
      <c r="I33" s="1985">
        <v>4000000</v>
      </c>
      <c r="J33" s="1984">
        <v>19000000</v>
      </c>
      <c r="K33" s="1985">
        <v>20000000</v>
      </c>
      <c r="L33" s="373"/>
    </row>
    <row r="34" spans="1:15" ht="11.25" customHeight="1">
      <c r="A34" s="2228" t="s">
        <v>2174</v>
      </c>
      <c r="B34" s="183"/>
      <c r="C34" s="1985"/>
      <c r="D34" s="1986"/>
      <c r="E34" s="1988"/>
      <c r="F34" s="1084">
        <v>4000000</v>
      </c>
      <c r="G34" s="1984">
        <v>4000000</v>
      </c>
      <c r="H34" s="1987">
        <v>4000000</v>
      </c>
      <c r="I34" s="1985">
        <v>4000000</v>
      </c>
      <c r="J34" s="1984"/>
      <c r="K34" s="1985"/>
      <c r="L34" s="373"/>
    </row>
    <row r="35" spans="1:15" ht="11.25" customHeight="1">
      <c r="A35" s="1993" t="s">
        <v>2092</v>
      </c>
      <c r="B35" s="183"/>
      <c r="C35" s="1985"/>
      <c r="D35" s="1986"/>
      <c r="E35" s="1988"/>
      <c r="F35" s="1986"/>
      <c r="G35" s="1984"/>
      <c r="H35" s="1987"/>
      <c r="I35" s="1985">
        <v>2000000</v>
      </c>
      <c r="J35" s="1984">
        <v>4500000</v>
      </c>
      <c r="K35" s="1985">
        <v>7000000</v>
      </c>
      <c r="L35" s="373"/>
    </row>
    <row r="36" spans="1:15" ht="11.25" customHeight="1">
      <c r="A36" s="1993" t="s">
        <v>959</v>
      </c>
      <c r="B36" s="183"/>
      <c r="C36" s="2000"/>
      <c r="D36" s="2001"/>
      <c r="E36" s="2003">
        <v>26573000</v>
      </c>
      <c r="F36" s="2001"/>
      <c r="G36" s="1999"/>
      <c r="H36" s="2002"/>
      <c r="I36" s="2000">
        <v>88575000</v>
      </c>
      <c r="J36" s="1999"/>
      <c r="K36" s="2000"/>
      <c r="L36" s="373"/>
    </row>
    <row r="37" spans="1:15" ht="18" customHeight="1">
      <c r="A37" s="783" t="str">
        <f>A15</f>
        <v>Provincial Government:</v>
      </c>
      <c r="B37" s="183"/>
      <c r="C37" s="764">
        <f>SUM(C38)</f>
        <v>417748.71</v>
      </c>
      <c r="D37" s="764">
        <f t="shared" ref="D37:K37" si="7">SUM(D38)</f>
        <v>0</v>
      </c>
      <c r="E37" s="765">
        <f t="shared" si="7"/>
        <v>0</v>
      </c>
      <c r="F37" s="766">
        <f t="shared" si="7"/>
        <v>0</v>
      </c>
      <c r="G37" s="764">
        <f t="shared" si="7"/>
        <v>0</v>
      </c>
      <c r="H37" s="767">
        <f t="shared" si="7"/>
        <v>0</v>
      </c>
      <c r="I37" s="768">
        <f t="shared" si="7"/>
        <v>16000000</v>
      </c>
      <c r="J37" s="764">
        <f t="shared" si="7"/>
        <v>0</v>
      </c>
      <c r="K37" s="765">
        <f t="shared" si="7"/>
        <v>0</v>
      </c>
      <c r="L37" s="373"/>
      <c r="O37" s="373"/>
    </row>
    <row r="38" spans="1:15">
      <c r="A38" s="2314" t="s">
        <v>2308</v>
      </c>
      <c r="B38" s="183"/>
      <c r="C38" s="2007">
        <v>417748.71</v>
      </c>
      <c r="D38" s="2006"/>
      <c r="E38" s="2007"/>
      <c r="F38" s="2008"/>
      <c r="G38" s="2006"/>
      <c r="H38" s="2009"/>
      <c r="I38" s="2010">
        <v>16000000</v>
      </c>
      <c r="J38" s="2006"/>
      <c r="K38" s="2007"/>
      <c r="L38" s="373"/>
    </row>
    <row r="39" spans="1:15" ht="18" customHeight="1">
      <c r="A39" s="376" t="str">
        <f>A21</f>
        <v>District Municipality:</v>
      </c>
      <c r="B39" s="183"/>
      <c r="C39" s="764">
        <f t="shared" ref="C39:K39" si="8">SUM(C40:C41)</f>
        <v>0</v>
      </c>
      <c r="D39" s="764">
        <f t="shared" si="8"/>
        <v>0</v>
      </c>
      <c r="E39" s="765">
        <f t="shared" si="8"/>
        <v>0</v>
      </c>
      <c r="F39" s="766">
        <f t="shared" si="8"/>
        <v>0</v>
      </c>
      <c r="G39" s="764">
        <f t="shared" si="8"/>
        <v>0</v>
      </c>
      <c r="H39" s="767">
        <f t="shared" si="8"/>
        <v>0</v>
      </c>
      <c r="I39" s="768">
        <f t="shared" si="8"/>
        <v>0</v>
      </c>
      <c r="J39" s="764">
        <f t="shared" si="8"/>
        <v>0</v>
      </c>
      <c r="K39" s="765">
        <f t="shared" si="8"/>
        <v>0</v>
      </c>
      <c r="L39" s="373"/>
    </row>
    <row r="40" spans="1:15" ht="11.25" customHeight="1">
      <c r="A40" s="2004" t="str">
        <f>A22</f>
        <v xml:space="preserve">  [insert description]</v>
      </c>
      <c r="B40" s="183"/>
      <c r="C40" s="1994"/>
      <c r="D40" s="1994"/>
      <c r="E40" s="1995"/>
      <c r="F40" s="1996"/>
      <c r="G40" s="1994"/>
      <c r="H40" s="1997"/>
      <c r="I40" s="1998"/>
      <c r="J40" s="1994"/>
      <c r="K40" s="1995"/>
      <c r="L40" s="373"/>
    </row>
    <row r="41" spans="1:15" ht="11.25" customHeight="1">
      <c r="A41" s="2004"/>
      <c r="B41" s="183"/>
      <c r="C41" s="1999"/>
      <c r="D41" s="1999"/>
      <c r="E41" s="2000"/>
      <c r="F41" s="2001"/>
      <c r="G41" s="1999"/>
      <c r="H41" s="2002"/>
      <c r="I41" s="2003"/>
      <c r="J41" s="1999"/>
      <c r="K41" s="2000"/>
      <c r="L41" s="373"/>
    </row>
    <row r="42" spans="1:15" ht="18" customHeight="1">
      <c r="A42" s="376" t="str">
        <f>A24</f>
        <v>Other grant providers:</v>
      </c>
      <c r="B42" s="183"/>
      <c r="C42" s="764">
        <f>SUM(C43:C44)</f>
        <v>8974811.4000000004</v>
      </c>
      <c r="D42" s="764">
        <f t="shared" ref="D42:K42" si="9">SUM(D43:D44)</f>
        <v>0</v>
      </c>
      <c r="E42" s="765">
        <f t="shared" si="9"/>
        <v>0</v>
      </c>
      <c r="F42" s="766">
        <f t="shared" si="9"/>
        <v>0</v>
      </c>
      <c r="G42" s="764">
        <f t="shared" si="9"/>
        <v>0</v>
      </c>
      <c r="H42" s="767">
        <f t="shared" si="9"/>
        <v>0</v>
      </c>
      <c r="I42" s="768">
        <f t="shared" si="9"/>
        <v>0</v>
      </c>
      <c r="J42" s="764">
        <f t="shared" si="9"/>
        <v>0</v>
      </c>
      <c r="K42" s="765">
        <f t="shared" si="9"/>
        <v>0</v>
      </c>
      <c r="L42" s="373"/>
    </row>
    <row r="43" spans="1:15" ht="11.25" customHeight="1">
      <c r="A43" s="2313" t="s">
        <v>2221</v>
      </c>
      <c r="B43" s="183"/>
      <c r="C43" s="2007">
        <v>8974811.4000000004</v>
      </c>
      <c r="D43" s="1994"/>
      <c r="E43" s="1995"/>
      <c r="F43" s="1996"/>
      <c r="G43" s="1994"/>
      <c r="H43" s="1997"/>
      <c r="I43" s="1998"/>
      <c r="J43" s="1994"/>
      <c r="K43" s="1995"/>
      <c r="L43" s="373"/>
    </row>
    <row r="44" spans="1:15" ht="11.25" customHeight="1">
      <c r="A44" s="2004"/>
      <c r="B44" s="183"/>
      <c r="C44" s="1999"/>
      <c r="D44" s="1999"/>
      <c r="E44" s="2000"/>
      <c r="F44" s="2001"/>
      <c r="G44" s="1999"/>
      <c r="H44" s="2002"/>
      <c r="I44" s="2003"/>
      <c r="J44" s="1999"/>
      <c r="K44" s="2000"/>
      <c r="L44" s="373"/>
    </row>
    <row r="45" spans="1:15" ht="15.75" customHeight="1">
      <c r="A45" s="784" t="s">
        <v>382</v>
      </c>
      <c r="B45" s="785">
        <v>5</v>
      </c>
      <c r="C45" s="764">
        <f t="shared" ref="C45:K45" si="10">C30+C37+C39+C42</f>
        <v>114341320.34999999</v>
      </c>
      <c r="D45" s="764">
        <f t="shared" si="10"/>
        <v>77647962</v>
      </c>
      <c r="E45" s="765">
        <f t="shared" si="10"/>
        <v>125648750</v>
      </c>
      <c r="F45" s="766">
        <f t="shared" si="10"/>
        <v>136513266</v>
      </c>
      <c r="G45" s="764">
        <f t="shared" si="10"/>
        <v>126513266</v>
      </c>
      <c r="H45" s="767">
        <f t="shared" si="10"/>
        <v>126513266</v>
      </c>
      <c r="I45" s="768">
        <f t="shared" si="10"/>
        <v>303122000</v>
      </c>
      <c r="J45" s="764">
        <f t="shared" si="10"/>
        <v>262257500</v>
      </c>
      <c r="K45" s="765">
        <f t="shared" si="10"/>
        <v>214215000</v>
      </c>
      <c r="L45" s="373"/>
    </row>
    <row r="46" spans="1:15" s="782" customFormat="1" ht="16.5" customHeight="1">
      <c r="A46" s="786" t="s">
        <v>383</v>
      </c>
      <c r="B46" s="787"/>
      <c r="C46" s="788">
        <f t="shared" ref="C46:K46" si="11">C27+C45</f>
        <v>310659034.76999998</v>
      </c>
      <c r="D46" s="788">
        <f t="shared" si="11"/>
        <v>259485601</v>
      </c>
      <c r="E46" s="789">
        <f t="shared" si="11"/>
        <v>339574915</v>
      </c>
      <c r="F46" s="790">
        <f t="shared" si="11"/>
        <v>435844266</v>
      </c>
      <c r="G46" s="788">
        <f t="shared" si="11"/>
        <v>425844266</v>
      </c>
      <c r="H46" s="791">
        <f t="shared" si="11"/>
        <v>425844266</v>
      </c>
      <c r="I46" s="792">
        <f t="shared" si="11"/>
        <v>629253000</v>
      </c>
      <c r="J46" s="788">
        <f t="shared" si="11"/>
        <v>627969660</v>
      </c>
      <c r="K46" s="789">
        <f t="shared" si="11"/>
        <v>613344300</v>
      </c>
      <c r="L46" s="905"/>
    </row>
    <row r="47" spans="1:15" s="722" customFormat="1">
      <c r="A47" s="1276" t="str">
        <f>head27a</f>
        <v>References</v>
      </c>
      <c r="B47" s="1065"/>
      <c r="C47" s="1069"/>
      <c r="D47" s="1069"/>
      <c r="E47" s="1069"/>
      <c r="F47" s="1069"/>
      <c r="G47" s="1069"/>
      <c r="H47" s="1069"/>
      <c r="I47" s="1069"/>
      <c r="J47" s="1069"/>
      <c r="K47" s="1069"/>
      <c r="L47" s="1114"/>
    </row>
    <row r="48" spans="1:15" s="722" customFormat="1" ht="11.25" customHeight="1">
      <c r="A48" s="1241" t="s">
        <v>317</v>
      </c>
      <c r="B48" s="1065"/>
      <c r="C48" s="1068"/>
      <c r="D48" s="1068"/>
      <c r="E48" s="1069"/>
      <c r="F48" s="1069"/>
      <c r="G48" s="1069"/>
      <c r="H48" s="1069"/>
      <c r="I48" s="1069"/>
      <c r="J48" s="1069"/>
      <c r="K48" s="1069"/>
    </row>
    <row r="49" spans="1:11" s="722" customFormat="1" ht="11.25" customHeight="1">
      <c r="A49" s="1238" t="s">
        <v>1536</v>
      </c>
      <c r="B49" s="1065"/>
      <c r="C49" s="1068"/>
      <c r="D49" s="1068"/>
      <c r="E49" s="1069"/>
      <c r="F49" s="1069"/>
      <c r="G49" s="1069"/>
      <c r="H49" s="1069"/>
      <c r="I49" s="1069"/>
      <c r="J49" s="1069"/>
      <c r="K49" s="1069"/>
    </row>
    <row r="50" spans="1:11" s="722" customFormat="1" ht="11.25" customHeight="1">
      <c r="A50" s="1238" t="s">
        <v>619</v>
      </c>
      <c r="B50" s="1065"/>
      <c r="C50" s="1068"/>
      <c r="D50" s="1068"/>
      <c r="E50" s="1069"/>
      <c r="F50" s="1069"/>
      <c r="G50" s="1069"/>
      <c r="H50" s="1069"/>
      <c r="I50" s="1069"/>
      <c r="J50" s="1069"/>
      <c r="K50" s="1069"/>
    </row>
    <row r="51" spans="1:11" s="722" customFormat="1" ht="11.25" customHeight="1">
      <c r="A51" s="1241" t="s">
        <v>1499</v>
      </c>
      <c r="B51" s="1065"/>
      <c r="C51" s="1068"/>
      <c r="D51" s="1068"/>
      <c r="E51" s="1069"/>
      <c r="F51" s="1069"/>
      <c r="G51" s="1069"/>
      <c r="H51" s="1069"/>
      <c r="I51" s="1069"/>
      <c r="J51" s="1069"/>
      <c r="K51" s="1069"/>
    </row>
    <row r="52" spans="1:11" s="722" customFormat="1" ht="11.25" customHeight="1">
      <c r="A52" s="1453" t="s">
        <v>315</v>
      </c>
      <c r="B52" s="1070"/>
      <c r="C52" s="1107"/>
      <c r="D52" s="1108"/>
      <c r="E52" s="1107"/>
      <c r="F52" s="1108"/>
      <c r="G52" s="1107"/>
      <c r="H52" s="1107"/>
      <c r="I52" s="1107"/>
      <c r="J52" s="1107"/>
      <c r="K52" s="1107"/>
    </row>
    <row r="53" spans="1:11" s="722" customFormat="1" ht="11.25" customHeight="1">
      <c r="A53" s="1453" t="s">
        <v>978</v>
      </c>
      <c r="B53" s="1075"/>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I17" sqref="I17:K17"/>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ustomHeight="1">
      <c r="A1" s="148" t="str">
        <f>muni&amp;" - "&amp; TableA19</f>
        <v>KZN225 Msunduzi - Supporting Table SA19 Expenditure on transfers and grant programme</v>
      </c>
      <c r="B1" s="148"/>
      <c r="C1" s="148"/>
      <c r="D1" s="148"/>
      <c r="E1" s="148"/>
      <c r="F1" s="148"/>
      <c r="G1" s="148"/>
      <c r="H1" s="148"/>
      <c r="I1" s="148"/>
      <c r="J1" s="148"/>
      <c r="K1" s="148"/>
    </row>
    <row r="2" spans="1:11" ht="28.5" customHeight="1">
      <c r="A2" s="1011" t="str">
        <f>desc</f>
        <v>Description</v>
      </c>
      <c r="B2" s="422" t="str">
        <f>head27</f>
        <v>Ref</v>
      </c>
      <c r="C2" s="151" t="str">
        <f>head1b</f>
        <v>2007/8</v>
      </c>
      <c r="D2" s="769" t="str">
        <f>head1A</f>
        <v>2008/9</v>
      </c>
      <c r="E2" s="147" t="str">
        <f>Head1</f>
        <v>2009/10</v>
      </c>
      <c r="F2" s="2415" t="str">
        <f>Head2</f>
        <v>Current Year 2010/11</v>
      </c>
      <c r="G2" s="2416"/>
      <c r="H2" s="2420"/>
      <c r="I2" s="2412" t="str">
        <f>Head3</f>
        <v>2011/12 Medium Term Revenue &amp; Expenditure Framework</v>
      </c>
      <c r="J2" s="2413"/>
      <c r="K2" s="2414"/>
    </row>
    <row r="3" spans="1:11" ht="25.5">
      <c r="A3" s="181" t="s">
        <v>703</v>
      </c>
      <c r="B3" s="1016"/>
      <c r="C3" s="393" t="str">
        <f>Head5</f>
        <v>Audited Outcome</v>
      </c>
      <c r="D3" s="1025"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1.25" customHeight="1">
      <c r="A4" s="266" t="s">
        <v>318</v>
      </c>
      <c r="B4" s="762">
        <v>1</v>
      </c>
      <c r="C4" s="770"/>
      <c r="D4" s="770"/>
      <c r="E4" s="771"/>
      <c r="F4" s="772"/>
      <c r="G4" s="770"/>
      <c r="H4" s="773"/>
      <c r="I4" s="774"/>
      <c r="J4" s="770"/>
      <c r="K4" s="771"/>
    </row>
    <row r="5" spans="1:11" ht="5.0999999999999996" customHeight="1">
      <c r="A5" s="250"/>
      <c r="B5" s="183"/>
      <c r="C5" s="764"/>
      <c r="D5" s="764"/>
      <c r="E5" s="765"/>
      <c r="F5" s="766"/>
      <c r="G5" s="764"/>
      <c r="H5" s="767"/>
      <c r="I5" s="768"/>
      <c r="J5" s="764"/>
      <c r="K5" s="765"/>
    </row>
    <row r="6" spans="1:11" ht="11.25" customHeight="1">
      <c r="A6" s="250" t="s">
        <v>375</v>
      </c>
      <c r="B6" s="183"/>
      <c r="C6" s="764"/>
      <c r="D6" s="764"/>
      <c r="E6" s="765"/>
      <c r="F6" s="766"/>
      <c r="G6" s="764"/>
      <c r="H6" s="767"/>
      <c r="I6" s="768"/>
      <c r="J6" s="764"/>
      <c r="K6" s="765"/>
    </row>
    <row r="7" spans="1:11" ht="18" customHeight="1">
      <c r="A7" s="376" t="str">
        <f>'SA18'!A7</f>
        <v>National Government:</v>
      </c>
      <c r="B7" s="183"/>
      <c r="C7" s="764">
        <f t="shared" ref="C7:K7" si="0">SUM(C8:C14)</f>
        <v>147202866.57999998</v>
      </c>
      <c r="D7" s="764">
        <f t="shared" si="0"/>
        <v>179411875</v>
      </c>
      <c r="E7" s="765">
        <f t="shared" si="0"/>
        <v>202978000</v>
      </c>
      <c r="F7" s="766">
        <f t="shared" si="0"/>
        <v>271790000</v>
      </c>
      <c r="G7" s="764">
        <f t="shared" si="0"/>
        <v>271790000</v>
      </c>
      <c r="H7" s="767">
        <f t="shared" si="0"/>
        <v>271790000</v>
      </c>
      <c r="I7" s="768">
        <f t="shared" si="0"/>
        <v>312242000</v>
      </c>
      <c r="J7" s="764">
        <f t="shared" si="0"/>
        <v>344379160</v>
      </c>
      <c r="K7" s="765">
        <f t="shared" si="0"/>
        <v>367303300</v>
      </c>
    </row>
    <row r="8" spans="1:11" ht="11.25" customHeight="1">
      <c r="A8" s="371" t="str">
        <f>IF('SA18'!A8="","",'SA18'!A8)</f>
        <v>Local Government Equitable Share</v>
      </c>
      <c r="B8" s="183"/>
      <c r="C8" s="1995">
        <v>142974380</v>
      </c>
      <c r="D8" s="1996">
        <v>176117000</v>
      </c>
      <c r="E8" s="1998">
        <v>199824000</v>
      </c>
      <c r="F8" s="1715">
        <v>267211000</v>
      </c>
      <c r="G8" s="1715">
        <v>267211000</v>
      </c>
      <c r="H8" s="1715">
        <v>267211000</v>
      </c>
      <c r="I8" s="1995">
        <v>304835000</v>
      </c>
      <c r="J8" s="1994">
        <v>339004000</v>
      </c>
      <c r="K8" s="1995">
        <v>361409000</v>
      </c>
    </row>
    <row r="9" spans="1:11" ht="11.25" customHeight="1">
      <c r="A9" s="371" t="str">
        <f>IF('SA18'!A9="","",'SA18'!A9)</f>
        <v xml:space="preserve">  Finance Management</v>
      </c>
      <c r="B9" s="183"/>
      <c r="C9" s="1985">
        <v>726538.04</v>
      </c>
      <c r="D9" s="1986">
        <v>500000</v>
      </c>
      <c r="E9" s="1988">
        <v>750000</v>
      </c>
      <c r="F9" s="1084">
        <v>1200000</v>
      </c>
      <c r="G9" s="1084">
        <v>1200000</v>
      </c>
      <c r="H9" s="1084">
        <v>1200000</v>
      </c>
      <c r="I9" s="1985">
        <v>1441000</v>
      </c>
      <c r="J9" s="1984">
        <v>1500000</v>
      </c>
      <c r="K9" s="1985">
        <v>1750000</v>
      </c>
    </row>
    <row r="10" spans="1:11" ht="11.25" customHeight="1">
      <c r="A10" s="371" t="str">
        <f>IF('SA18'!A10="","",'SA18'!A10)</f>
        <v xml:space="preserve">  Municipal Systems Improvement</v>
      </c>
      <c r="B10" s="183"/>
      <c r="C10" s="1985"/>
      <c r="D10" s="1986"/>
      <c r="E10" s="1988"/>
      <c r="F10" s="1084">
        <v>750000</v>
      </c>
      <c r="G10" s="1084">
        <v>750000</v>
      </c>
      <c r="H10" s="1084">
        <v>750000</v>
      </c>
      <c r="I10" s="1985">
        <v>790000</v>
      </c>
      <c r="J10" s="1984">
        <v>800000</v>
      </c>
      <c r="K10" s="1985">
        <v>900000</v>
      </c>
    </row>
    <row r="11" spans="1:11" ht="11.25" customHeight="1">
      <c r="A11" s="371" t="str">
        <f>IF('SA18'!A11="","",'SA18'!A11)</f>
        <v xml:space="preserve">  Restructuring</v>
      </c>
      <c r="B11" s="183"/>
      <c r="C11" s="1985">
        <v>2375327.0099999998</v>
      </c>
      <c r="D11" s="1986"/>
      <c r="E11" s="1988"/>
      <c r="F11" s="1084">
        <v>0</v>
      </c>
      <c r="G11" s="1984"/>
      <c r="H11" s="1987"/>
      <c r="I11" s="1985"/>
      <c r="J11" s="1984"/>
      <c r="K11" s="1985"/>
    </row>
    <row r="12" spans="1:11" ht="11.25" customHeight="1">
      <c r="A12" s="371" t="str">
        <f>IF('SA18'!A12="","",'SA18'!A12)</f>
        <v>Municipal Systems Improvement</v>
      </c>
      <c r="B12" s="183"/>
      <c r="C12" s="1985"/>
      <c r="D12" s="1986"/>
      <c r="E12" s="1988"/>
      <c r="F12" s="1084">
        <v>0</v>
      </c>
      <c r="G12" s="1984"/>
      <c r="H12" s="1987"/>
      <c r="I12" s="1985"/>
      <c r="J12" s="1984"/>
      <c r="K12" s="1985"/>
    </row>
    <row r="13" spans="1:11" ht="11.25" customHeight="1">
      <c r="A13" s="371" t="str">
        <f>IF('SA18'!A13="","",'SA18'!A13)</f>
        <v/>
      </c>
      <c r="B13" s="183"/>
      <c r="C13" s="1985"/>
      <c r="D13" s="1986">
        <v>2794875</v>
      </c>
      <c r="E13" s="1988">
        <v>2404000</v>
      </c>
      <c r="F13" s="1986"/>
      <c r="G13" s="1984"/>
      <c r="H13" s="1987"/>
      <c r="I13" s="1985"/>
      <c r="J13" s="1984"/>
      <c r="K13" s="1985"/>
    </row>
    <row r="14" spans="1:11" ht="11.25" customHeight="1">
      <c r="A14" s="1727" t="s">
        <v>2175</v>
      </c>
      <c r="B14" s="183"/>
      <c r="C14" s="2000">
        <v>1126621.53</v>
      </c>
      <c r="D14" s="2001"/>
      <c r="E14" s="2000"/>
      <c r="F14" s="2001">
        <v>2629000</v>
      </c>
      <c r="G14" s="2001">
        <v>2629000</v>
      </c>
      <c r="H14" s="2001">
        <v>2629000</v>
      </c>
      <c r="I14" s="2000">
        <f>2908000+2268000</f>
        <v>5176000</v>
      </c>
      <c r="J14" s="1999">
        <f>3075160</f>
        <v>3075160</v>
      </c>
      <c r="K14" s="2000">
        <f>3244300</f>
        <v>3244300</v>
      </c>
    </row>
    <row r="15" spans="1:11" ht="18" customHeight="1">
      <c r="A15" s="376" t="str">
        <f>'SA18'!A15</f>
        <v>Provincial Government:</v>
      </c>
      <c r="B15" s="183"/>
      <c r="C15" s="764">
        <f>SUM(C16:C20)</f>
        <v>10336650.050000001</v>
      </c>
      <c r="D15" s="764">
        <f t="shared" ref="D15:K15" si="1">SUM(D16:D20)</f>
        <v>9267648</v>
      </c>
      <c r="E15" s="765">
        <f t="shared" si="1"/>
        <v>9160915</v>
      </c>
      <c r="F15" s="766">
        <f t="shared" si="1"/>
        <v>27541000</v>
      </c>
      <c r="G15" s="764">
        <f t="shared" si="1"/>
        <v>27541000</v>
      </c>
      <c r="H15" s="767">
        <f t="shared" si="1"/>
        <v>27541000</v>
      </c>
      <c r="I15" s="768">
        <f t="shared" si="1"/>
        <v>13889000</v>
      </c>
      <c r="J15" s="764">
        <f t="shared" si="1"/>
        <v>21333000</v>
      </c>
      <c r="K15" s="765">
        <f t="shared" si="1"/>
        <v>31826000</v>
      </c>
    </row>
    <row r="16" spans="1:11" ht="11.25" customHeight="1">
      <c r="A16" s="371" t="str">
        <f>IF('SA18'!A16="","",'SA18'!A16)</f>
        <v>Other transfers and grants [insert description]</v>
      </c>
      <c r="B16" s="183"/>
      <c r="C16" s="1995"/>
      <c r="D16" s="1996">
        <v>9109148</v>
      </c>
      <c r="E16" s="1998">
        <v>9160915</v>
      </c>
      <c r="F16" s="1996">
        <f>12893000+10321000</f>
        <v>23214000</v>
      </c>
      <c r="G16" s="1996">
        <f>12893000+10321000</f>
        <v>23214000</v>
      </c>
      <c r="H16" s="1996">
        <f>12893000+10321000</f>
        <v>23214000</v>
      </c>
      <c r="I16" s="1995"/>
      <c r="J16" s="1994"/>
      <c r="K16" s="1995"/>
    </row>
    <row r="17" spans="1:12" ht="11.25" customHeight="1">
      <c r="A17" s="371" t="str">
        <f>IF('SA18'!A17="","",'SA18'!A17)</f>
        <v>Provincial Government:</v>
      </c>
      <c r="B17" s="183"/>
      <c r="C17" s="1985"/>
      <c r="D17" s="1986"/>
      <c r="E17" s="1988"/>
      <c r="F17" s="1986"/>
      <c r="G17" s="1986"/>
      <c r="H17" s="1986"/>
      <c r="I17" s="2000">
        <f>10000000+1789000+2100000</f>
        <v>13889000</v>
      </c>
      <c r="J17" s="1999">
        <f>10000000+11333000</f>
        <v>21333000</v>
      </c>
      <c r="K17" s="2000">
        <f>10000000+21826000</f>
        <v>31826000</v>
      </c>
    </row>
    <row r="18" spans="1:12" ht="11.25" customHeight="1">
      <c r="A18" s="371" t="str">
        <f>IF('SA18'!A18="","",'SA18'!A18)</f>
        <v>Neighbourhood Partnership Grant</v>
      </c>
      <c r="B18" s="183"/>
      <c r="C18" s="1985">
        <v>9940460.8800000008</v>
      </c>
      <c r="D18" s="1986"/>
      <c r="E18" s="1988"/>
      <c r="F18" s="1986">
        <v>700000</v>
      </c>
      <c r="G18" s="1986">
        <v>700000</v>
      </c>
      <c r="H18" s="1986">
        <v>700000</v>
      </c>
      <c r="I18" s="1988"/>
      <c r="J18" s="1984"/>
      <c r="K18" s="1985"/>
    </row>
    <row r="19" spans="1:12" ht="11.25" customHeight="1">
      <c r="A19" s="371" t="str">
        <f>IF('SA18'!A19="","",'SA18'!A19)</f>
        <v>Expanded Public Works Grant</v>
      </c>
      <c r="B19" s="183"/>
      <c r="C19" s="1985"/>
      <c r="D19" s="1986"/>
      <c r="E19" s="1988"/>
      <c r="F19" s="1986">
        <v>1827000</v>
      </c>
      <c r="G19" s="1986">
        <v>1827000</v>
      </c>
      <c r="H19" s="1986">
        <v>1827000</v>
      </c>
      <c r="I19" s="1988"/>
      <c r="J19" s="1984"/>
      <c r="K19" s="1985"/>
    </row>
    <row r="20" spans="1:12" ht="11.25" customHeight="1">
      <c r="A20" s="1993" t="str">
        <f>'SA18'!A20</f>
        <v>Operating Grant - Property Rates</v>
      </c>
      <c r="B20" s="183"/>
      <c r="C20" s="2000">
        <v>396189.17000000004</v>
      </c>
      <c r="D20" s="2001">
        <f>89324+69176</f>
        <v>158500</v>
      </c>
      <c r="E20" s="2003"/>
      <c r="F20" s="2001">
        <v>1800000</v>
      </c>
      <c r="G20" s="2001">
        <v>1800000</v>
      </c>
      <c r="H20" s="2001">
        <v>1800000</v>
      </c>
      <c r="I20" s="2003"/>
      <c r="J20" s="1999"/>
      <c r="K20" s="2000"/>
      <c r="L20" s="373"/>
    </row>
    <row r="21" spans="1:12" ht="18" customHeight="1">
      <c r="A21" s="376" t="str">
        <f>'SA18'!A21</f>
        <v>District Municipality:</v>
      </c>
      <c r="B21" s="183"/>
      <c r="C21" s="764">
        <f>SUM(C22:C23)</f>
        <v>0</v>
      </c>
      <c r="D21" s="764">
        <f t="shared" ref="D21:K21" si="2">SUM(D22:D23)</f>
        <v>0</v>
      </c>
      <c r="E21" s="765">
        <f t="shared" si="2"/>
        <v>0</v>
      </c>
      <c r="F21" s="766">
        <f t="shared" si="2"/>
        <v>0</v>
      </c>
      <c r="G21" s="764">
        <f t="shared" si="2"/>
        <v>0</v>
      </c>
      <c r="H21" s="767">
        <f t="shared" si="2"/>
        <v>0</v>
      </c>
      <c r="I21" s="768">
        <f t="shared" si="2"/>
        <v>0</v>
      </c>
      <c r="J21" s="764">
        <f t="shared" si="2"/>
        <v>0</v>
      </c>
      <c r="K21" s="765">
        <f t="shared" si="2"/>
        <v>0</v>
      </c>
      <c r="L21" s="373"/>
    </row>
    <row r="22" spans="1:12" ht="11.25" customHeight="1">
      <c r="A22" s="2004" t="str">
        <f>'SA18'!A22</f>
        <v xml:space="preserve">  [insert description]</v>
      </c>
      <c r="B22" s="183"/>
      <c r="C22" s="1994"/>
      <c r="D22" s="1994"/>
      <c r="E22" s="1995"/>
      <c r="F22" s="1996"/>
      <c r="G22" s="1994"/>
      <c r="H22" s="1997"/>
      <c r="I22" s="1998"/>
      <c r="J22" s="1994"/>
      <c r="K22" s="1995"/>
      <c r="L22" s="373"/>
    </row>
    <row r="23" spans="1:12" ht="11.25" customHeight="1">
      <c r="A23" s="2004"/>
      <c r="B23" s="183"/>
      <c r="C23" s="1999"/>
      <c r="D23" s="1999"/>
      <c r="E23" s="2000"/>
      <c r="F23" s="2001"/>
      <c r="G23" s="1999"/>
      <c r="H23" s="2002"/>
      <c r="I23" s="2003"/>
      <c r="J23" s="1999"/>
      <c r="K23" s="2000"/>
      <c r="L23" s="373"/>
    </row>
    <row r="24" spans="1:12" ht="18" customHeight="1">
      <c r="A24" s="376" t="str">
        <f>'SA18'!A24</f>
        <v>Other grant providers:</v>
      </c>
      <c r="B24" s="183"/>
      <c r="C24" s="764">
        <f>SUM(C25:C26)</f>
        <v>1523328.03</v>
      </c>
      <c r="D24" s="764">
        <f>SUM(D25:D26)</f>
        <v>1964655</v>
      </c>
      <c r="E24" s="765">
        <f t="shared" ref="E24:K24" si="3">SUM(E25:E26)</f>
        <v>0</v>
      </c>
      <c r="F24" s="766">
        <f t="shared" si="3"/>
        <v>0</v>
      </c>
      <c r="G24" s="764">
        <f t="shared" si="3"/>
        <v>0</v>
      </c>
      <c r="H24" s="767">
        <f t="shared" si="3"/>
        <v>0</v>
      </c>
      <c r="I24" s="768">
        <f t="shared" si="3"/>
        <v>0</v>
      </c>
      <c r="J24" s="764">
        <f t="shared" si="3"/>
        <v>0</v>
      </c>
      <c r="K24" s="765">
        <f t="shared" si="3"/>
        <v>0</v>
      </c>
      <c r="L24" s="373"/>
    </row>
    <row r="25" spans="1:12" ht="11.25" customHeight="1">
      <c r="A25" s="2313" t="str">
        <f>[6]SA18!A25</f>
        <v>Total Transfers and Grants</v>
      </c>
      <c r="B25" s="183"/>
      <c r="C25" s="1995">
        <v>1523328.03</v>
      </c>
      <c r="D25" s="1996">
        <v>1964655</v>
      </c>
      <c r="E25" s="1995"/>
      <c r="F25" s="1996"/>
      <c r="G25" s="1994"/>
      <c r="H25" s="1997"/>
      <c r="I25" s="1998"/>
      <c r="J25" s="1994"/>
      <c r="K25" s="1995"/>
      <c r="L25" s="373"/>
    </row>
    <row r="26" spans="1:12" ht="11.25" customHeight="1">
      <c r="A26" s="2004"/>
      <c r="B26" s="183"/>
      <c r="C26" s="2000"/>
      <c r="D26" s="2001"/>
      <c r="E26" s="2000"/>
      <c r="F26" s="2001"/>
      <c r="G26" s="1999"/>
      <c r="H26" s="2002"/>
      <c r="I26" s="2003"/>
      <c r="J26" s="1999"/>
      <c r="K26" s="2000"/>
      <c r="L26" s="373"/>
    </row>
    <row r="27" spans="1:12" s="782" customFormat="1" ht="15.75" customHeight="1">
      <c r="A27" s="775" t="s">
        <v>376</v>
      </c>
      <c r="B27" s="776"/>
      <c r="C27" s="777">
        <f t="shared" ref="C27:K27" si="4">C7+C15+C21+C24</f>
        <v>159062844.66</v>
      </c>
      <c r="D27" s="777">
        <f>D7+D15+D21+D24</f>
        <v>190644178</v>
      </c>
      <c r="E27" s="778">
        <f t="shared" si="4"/>
        <v>212138915</v>
      </c>
      <c r="F27" s="779">
        <f t="shared" si="4"/>
        <v>299331000</v>
      </c>
      <c r="G27" s="777">
        <f t="shared" si="4"/>
        <v>299331000</v>
      </c>
      <c r="H27" s="780">
        <f t="shared" si="4"/>
        <v>299331000</v>
      </c>
      <c r="I27" s="781">
        <f>I7+I15+I21+I24</f>
        <v>326131000</v>
      </c>
      <c r="J27" s="777">
        <f t="shared" si="4"/>
        <v>365712160</v>
      </c>
      <c r="K27" s="778">
        <f t="shared" si="4"/>
        <v>399129300</v>
      </c>
      <c r="L27" s="905"/>
    </row>
    <row r="28" spans="1:12" ht="5.0999999999999996" customHeight="1">
      <c r="A28" s="274"/>
      <c r="B28" s="183"/>
      <c r="C28" s="728"/>
      <c r="D28" s="728"/>
      <c r="E28" s="724"/>
      <c r="F28" s="725"/>
      <c r="G28" s="728"/>
      <c r="H28" s="726"/>
      <c r="I28" s="729"/>
      <c r="J28" s="728"/>
      <c r="K28" s="724"/>
      <c r="L28" s="373"/>
    </row>
    <row r="29" spans="1:12" ht="11.25" customHeight="1">
      <c r="A29" s="250" t="s">
        <v>377</v>
      </c>
      <c r="B29" s="183"/>
      <c r="C29" s="728"/>
      <c r="D29" s="728"/>
      <c r="E29" s="724"/>
      <c r="F29" s="725"/>
      <c r="G29" s="728"/>
      <c r="H29" s="726"/>
      <c r="I29" s="729"/>
      <c r="J29" s="728"/>
      <c r="K29" s="724"/>
      <c r="L29" s="373"/>
    </row>
    <row r="30" spans="1:12" ht="18" customHeight="1">
      <c r="A30" s="376" t="str">
        <f>'SA18'!A30</f>
        <v>National Government:</v>
      </c>
      <c r="B30" s="183"/>
      <c r="C30" s="764">
        <f>SUM(C31:C36)</f>
        <v>98975656.319999993</v>
      </c>
      <c r="D30" s="764">
        <f t="shared" ref="D30:K30" si="5">SUM(D31:D36)</f>
        <v>0</v>
      </c>
      <c r="E30" s="765">
        <f>SUM(E31:E36)</f>
        <v>125915682</v>
      </c>
      <c r="F30" s="766">
        <f t="shared" si="5"/>
        <v>136513266</v>
      </c>
      <c r="G30" s="764">
        <f t="shared" si="5"/>
        <v>126513266</v>
      </c>
      <c r="H30" s="767">
        <f t="shared" si="5"/>
        <v>126513266</v>
      </c>
      <c r="I30" s="768">
        <f t="shared" si="5"/>
        <v>287122000</v>
      </c>
      <c r="J30" s="764">
        <f t="shared" si="5"/>
        <v>262257500</v>
      </c>
      <c r="K30" s="765">
        <f t="shared" si="5"/>
        <v>214215000</v>
      </c>
      <c r="L30" s="373"/>
    </row>
    <row r="31" spans="1:12" ht="11.25" customHeight="1">
      <c r="A31" s="371" t="str">
        <f>IF('SA18'!A31="","",'SA18'!A31)</f>
        <v xml:space="preserve"> Municipal Infrastructure Grant (MIG)</v>
      </c>
      <c r="B31" s="183"/>
      <c r="C31" s="1995">
        <v>94789239.659999996</v>
      </c>
      <c r="D31" s="1996"/>
      <c r="E31" s="1998">
        <v>91605682</v>
      </c>
      <c r="F31" s="1715">
        <v>102513266</v>
      </c>
      <c r="G31" s="1994">
        <v>102513266</v>
      </c>
      <c r="H31" s="1994">
        <v>102513266</v>
      </c>
      <c r="I31" s="1995">
        <v>123547000</v>
      </c>
      <c r="J31" s="1994">
        <v>153757500</v>
      </c>
      <c r="K31" s="1995">
        <v>162215000</v>
      </c>
      <c r="L31" s="373"/>
    </row>
    <row r="32" spans="1:12" ht="11.25" customHeight="1">
      <c r="A32" s="371" t="str">
        <f>IF('SA18'!A32="","",'SA18'!A32)</f>
        <v xml:space="preserve"> Public Transport and Systems</v>
      </c>
      <c r="B32" s="183"/>
      <c r="C32" s="1985">
        <v>696365.66</v>
      </c>
      <c r="D32" s="1986"/>
      <c r="E32" s="1988">
        <v>7737000</v>
      </c>
      <c r="F32" s="1084">
        <v>15000000</v>
      </c>
      <c r="G32" s="1084">
        <v>15000000</v>
      </c>
      <c r="H32" s="1084">
        <v>15000000</v>
      </c>
      <c r="I32" s="1985">
        <v>65000000</v>
      </c>
      <c r="J32" s="1984">
        <v>85000000</v>
      </c>
      <c r="K32" s="1985">
        <v>25000000</v>
      </c>
      <c r="L32" s="373"/>
    </row>
    <row r="33" spans="1:15" ht="11.25" customHeight="1">
      <c r="A33" s="371" t="str">
        <f>IF('SA18'!A33="","",'SA18'!A33)</f>
        <v>Neighbourhood Partnership Grant</v>
      </c>
      <c r="B33" s="183"/>
      <c r="C33" s="1985"/>
      <c r="D33" s="1986"/>
      <c r="E33" s="1988"/>
      <c r="F33" s="1084">
        <v>15000000</v>
      </c>
      <c r="G33" s="1984">
        <v>5000000</v>
      </c>
      <c r="H33" s="1984">
        <v>5000000</v>
      </c>
      <c r="I33" s="1985">
        <v>4000000</v>
      </c>
      <c r="J33" s="1984">
        <v>19000000</v>
      </c>
      <c r="K33" s="1985">
        <v>20000000</v>
      </c>
      <c r="L33" s="373"/>
    </row>
    <row r="34" spans="1:15" ht="11.25" customHeight="1">
      <c r="A34" s="371" t="str">
        <f>IF('SA18'!A34="","",'SA18'!A34)</f>
        <v>Dept of Mineral/Electricty</v>
      </c>
      <c r="B34" s="183"/>
      <c r="C34" s="1985"/>
      <c r="D34" s="1986"/>
      <c r="E34" s="1988"/>
      <c r="F34" s="1084">
        <v>4000000</v>
      </c>
      <c r="G34" s="1084">
        <v>4000000</v>
      </c>
      <c r="H34" s="1084">
        <v>4000000</v>
      </c>
      <c r="I34" s="1985">
        <v>4000000</v>
      </c>
      <c r="J34" s="1984"/>
      <c r="K34" s="1985"/>
      <c r="L34" s="373"/>
    </row>
    <row r="35" spans="1:15" ht="11.25" customHeight="1">
      <c r="A35" s="371" t="str">
        <f>IF('SA18'!A35="","",'SA18'!A35)</f>
        <v xml:space="preserve">Rural Households Infrastructure </v>
      </c>
      <c r="B35" s="183"/>
      <c r="C35" s="1985"/>
      <c r="D35" s="1986"/>
      <c r="E35" s="1988"/>
      <c r="F35" s="1986"/>
      <c r="G35" s="1984"/>
      <c r="H35" s="1987"/>
      <c r="I35" s="1985">
        <v>2000000</v>
      </c>
      <c r="J35" s="1984">
        <v>4500000</v>
      </c>
      <c r="K35" s="1985">
        <v>7000000</v>
      </c>
      <c r="L35" s="373"/>
    </row>
    <row r="36" spans="1:15" ht="11.25" customHeight="1">
      <c r="A36" s="1993" t="str">
        <f>'SA18'!A36</f>
        <v xml:space="preserve">  Other capital transfers/grants [insert desc]</v>
      </c>
      <c r="B36" s="183"/>
      <c r="C36" s="2000">
        <v>3490051</v>
      </c>
      <c r="D36" s="2001"/>
      <c r="E36" s="2003">
        <v>26573000</v>
      </c>
      <c r="F36" s="2001"/>
      <c r="G36" s="1999"/>
      <c r="H36" s="2002"/>
      <c r="I36" s="2000">
        <v>88575000</v>
      </c>
      <c r="J36" s="1999"/>
      <c r="K36" s="2000"/>
      <c r="L36" s="373"/>
    </row>
    <row r="37" spans="1:15" ht="18" customHeight="1">
      <c r="A37" s="783" t="str">
        <f>'SA18'!A37</f>
        <v>Provincial Government:</v>
      </c>
      <c r="B37" s="183"/>
      <c r="C37" s="764">
        <f>SUM(C38)</f>
        <v>226549.13</v>
      </c>
      <c r="D37" s="764">
        <f t="shared" ref="D37:K37" si="6">SUM(D38)</f>
        <v>0</v>
      </c>
      <c r="E37" s="765">
        <f>SUM(E38)</f>
        <v>0</v>
      </c>
      <c r="F37" s="766">
        <f t="shared" si="6"/>
        <v>0</v>
      </c>
      <c r="G37" s="764">
        <f t="shared" si="6"/>
        <v>0</v>
      </c>
      <c r="H37" s="767">
        <f t="shared" si="6"/>
        <v>0</v>
      </c>
      <c r="I37" s="768">
        <f t="shared" si="6"/>
        <v>16000000</v>
      </c>
      <c r="J37" s="764">
        <f t="shared" si="6"/>
        <v>0</v>
      </c>
      <c r="K37" s="765">
        <f t="shared" si="6"/>
        <v>0</v>
      </c>
      <c r="L37" s="373"/>
      <c r="O37" s="373"/>
    </row>
    <row r="38" spans="1:15">
      <c r="A38" s="2005" t="str">
        <f>'SA18'!A38</f>
        <v>Airport Development Project</v>
      </c>
      <c r="B38" s="183"/>
      <c r="C38" s="2007">
        <v>226549.13</v>
      </c>
      <c r="D38" s="2008"/>
      <c r="E38" s="2007"/>
      <c r="F38" s="2008"/>
      <c r="G38" s="2006"/>
      <c r="H38" s="2009"/>
      <c r="I38" s="2010">
        <v>16000000</v>
      </c>
      <c r="J38" s="2006"/>
      <c r="K38" s="2007"/>
      <c r="L38" s="373"/>
    </row>
    <row r="39" spans="1:15" ht="18" customHeight="1">
      <c r="A39" s="376" t="str">
        <f>'SA18'!A39</f>
        <v>District Municipality:</v>
      </c>
      <c r="B39" s="183"/>
      <c r="C39" s="764">
        <f>SUM(C40:C41)</f>
        <v>0</v>
      </c>
      <c r="D39" s="764">
        <f t="shared" ref="D39:K39" si="7">SUM(D40:D41)</f>
        <v>0</v>
      </c>
      <c r="E39" s="765">
        <f t="shared" si="7"/>
        <v>0</v>
      </c>
      <c r="F39" s="766">
        <f t="shared" si="7"/>
        <v>0</v>
      </c>
      <c r="G39" s="764">
        <f t="shared" si="7"/>
        <v>0</v>
      </c>
      <c r="H39" s="767">
        <f t="shared" si="7"/>
        <v>0</v>
      </c>
      <c r="I39" s="768">
        <f t="shared" si="7"/>
        <v>0</v>
      </c>
      <c r="J39" s="764">
        <f t="shared" si="7"/>
        <v>0</v>
      </c>
      <c r="K39" s="765">
        <f t="shared" si="7"/>
        <v>0</v>
      </c>
      <c r="L39" s="373"/>
    </row>
    <row r="40" spans="1:15" ht="11.25" customHeight="1">
      <c r="A40" s="2004" t="str">
        <f>'SA18'!A40</f>
        <v xml:space="preserve">  [insert description]</v>
      </c>
      <c r="B40" s="183"/>
      <c r="C40" s="1994"/>
      <c r="D40" s="1994"/>
      <c r="E40" s="1995"/>
      <c r="F40" s="1996"/>
      <c r="G40" s="1994"/>
      <c r="H40" s="1997"/>
      <c r="I40" s="1998"/>
      <c r="J40" s="1994"/>
      <c r="K40" s="1995"/>
      <c r="L40" s="373"/>
    </row>
    <row r="41" spans="1:15" ht="11.25" customHeight="1">
      <c r="A41" s="2004"/>
      <c r="B41" s="183"/>
      <c r="C41" s="1999"/>
      <c r="D41" s="1999"/>
      <c r="E41" s="2000"/>
      <c r="F41" s="2001"/>
      <c r="G41" s="1999"/>
      <c r="H41" s="2002"/>
      <c r="I41" s="2003"/>
      <c r="J41" s="1999"/>
      <c r="K41" s="2000"/>
      <c r="L41" s="373"/>
    </row>
    <row r="42" spans="1:15" ht="18" customHeight="1">
      <c r="A42" s="376" t="str">
        <f>'SA18'!A42</f>
        <v>Other grant providers:</v>
      </c>
      <c r="B42" s="183"/>
      <c r="C42" s="764">
        <f>SUM(C43:C44)</f>
        <v>1414772.74</v>
      </c>
      <c r="D42" s="764">
        <f t="shared" ref="D42:K42" si="8">SUM(D43:D44)</f>
        <v>0</v>
      </c>
      <c r="E42" s="765">
        <f t="shared" si="8"/>
        <v>0</v>
      </c>
      <c r="F42" s="766">
        <f t="shared" si="8"/>
        <v>0</v>
      </c>
      <c r="G42" s="764">
        <f t="shared" si="8"/>
        <v>0</v>
      </c>
      <c r="H42" s="767">
        <f t="shared" si="8"/>
        <v>0</v>
      </c>
      <c r="I42" s="768">
        <f t="shared" si="8"/>
        <v>0</v>
      </c>
      <c r="J42" s="764">
        <f t="shared" si="8"/>
        <v>0</v>
      </c>
      <c r="K42" s="765">
        <f t="shared" si="8"/>
        <v>0</v>
      </c>
      <c r="L42" s="373"/>
    </row>
    <row r="43" spans="1:15" ht="11.25" customHeight="1">
      <c r="A43" s="2004" t="str">
        <f>'SA18'!A43</f>
        <v>Carnegie Corporation - Library</v>
      </c>
      <c r="B43" s="183"/>
      <c r="C43" s="2007">
        <v>1414772.74</v>
      </c>
      <c r="D43" s="1994"/>
      <c r="E43" s="1995"/>
      <c r="F43" s="1996"/>
      <c r="G43" s="1994"/>
      <c r="H43" s="1997"/>
      <c r="I43" s="1998"/>
      <c r="J43" s="1994"/>
      <c r="K43" s="1995"/>
      <c r="L43" s="373"/>
    </row>
    <row r="44" spans="1:15" ht="11.25" customHeight="1">
      <c r="A44" s="2004"/>
      <c r="B44" s="183"/>
      <c r="C44" s="1999"/>
      <c r="D44" s="1999"/>
      <c r="E44" s="2000"/>
      <c r="F44" s="2001"/>
      <c r="G44" s="1999"/>
      <c r="H44" s="2002"/>
      <c r="I44" s="2003"/>
      <c r="J44" s="1999"/>
      <c r="K44" s="2000"/>
      <c r="L44" s="373"/>
    </row>
    <row r="45" spans="1:15" ht="15.75" customHeight="1">
      <c r="A45" s="784" t="s">
        <v>378</v>
      </c>
      <c r="B45" s="785"/>
      <c r="C45" s="764">
        <f>C30+C37+C39+C42</f>
        <v>100616978.18999998</v>
      </c>
      <c r="D45" s="764">
        <f t="shared" ref="D45:K45" si="9">D30+D37+D39+D42</f>
        <v>0</v>
      </c>
      <c r="E45" s="765">
        <f t="shared" si="9"/>
        <v>125915682</v>
      </c>
      <c r="F45" s="766">
        <f t="shared" si="9"/>
        <v>136513266</v>
      </c>
      <c r="G45" s="764">
        <f t="shared" si="9"/>
        <v>126513266</v>
      </c>
      <c r="H45" s="767">
        <f t="shared" si="9"/>
        <v>126513266</v>
      </c>
      <c r="I45" s="768">
        <f t="shared" si="9"/>
        <v>303122000</v>
      </c>
      <c r="J45" s="764">
        <f t="shared" si="9"/>
        <v>262257500</v>
      </c>
      <c r="K45" s="765">
        <f t="shared" si="9"/>
        <v>214215000</v>
      </c>
      <c r="L45" s="373"/>
    </row>
    <row r="46" spans="1:15" ht="3.75" customHeight="1">
      <c r="A46" s="274"/>
      <c r="B46" s="183"/>
      <c r="C46" s="728"/>
      <c r="D46" s="728"/>
      <c r="E46" s="724"/>
      <c r="F46" s="725"/>
      <c r="G46" s="728"/>
      <c r="H46" s="726"/>
      <c r="I46" s="729"/>
      <c r="J46" s="728"/>
      <c r="K46" s="724"/>
      <c r="L46" s="373"/>
    </row>
    <row r="47" spans="1:15" s="782" customFormat="1" ht="16.5" customHeight="1">
      <c r="A47" s="1625" t="s">
        <v>597</v>
      </c>
      <c r="B47" s="1392"/>
      <c r="C47" s="788">
        <f>C27+C45</f>
        <v>259679822.84999996</v>
      </c>
      <c r="D47" s="788">
        <f t="shared" ref="D47:K47" si="10">D27+D45</f>
        <v>190644178</v>
      </c>
      <c r="E47" s="789">
        <f t="shared" si="10"/>
        <v>338054597</v>
      </c>
      <c r="F47" s="790">
        <f t="shared" si="10"/>
        <v>435844266</v>
      </c>
      <c r="G47" s="788">
        <f t="shared" si="10"/>
        <v>425844266</v>
      </c>
      <c r="H47" s="791">
        <f t="shared" si="10"/>
        <v>425844266</v>
      </c>
      <c r="I47" s="792">
        <f t="shared" si="10"/>
        <v>629253000</v>
      </c>
      <c r="J47" s="788">
        <f t="shared" si="10"/>
        <v>627969660</v>
      </c>
      <c r="K47" s="789">
        <f t="shared" si="10"/>
        <v>613344300</v>
      </c>
      <c r="L47" s="905"/>
    </row>
    <row r="48" spans="1:15" s="722" customFormat="1" ht="11.25" customHeight="1">
      <c r="A48" s="1276" t="str">
        <f>head27a</f>
        <v>References</v>
      </c>
      <c r="B48" s="1075"/>
      <c r="L48" s="1114"/>
    </row>
    <row r="49" spans="1:12" s="722" customFormat="1" ht="11.25" customHeight="1">
      <c r="A49" s="1238" t="s">
        <v>1537</v>
      </c>
      <c r="B49" s="1075"/>
      <c r="L49" s="1114"/>
    </row>
    <row r="50" spans="1:12" ht="11.25" customHeight="1">
      <c r="L50" s="373"/>
    </row>
    <row r="51" spans="1:12" ht="11.25" customHeight="1">
      <c r="L51" s="373"/>
    </row>
    <row r="52" spans="1:12" ht="11.25" customHeight="1">
      <c r="L52" s="373"/>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workbookViewId="0">
      <pane xSplit="2" ySplit="3" topLeftCell="C40" activePane="bottomRight" state="frozen"/>
      <selection activeCell="O37" sqref="A1:IV65536"/>
      <selection pane="topRight" activeCell="O37" sqref="A1:IV65536"/>
      <selection pane="bottomLeft" activeCell="O37" sqref="A1:IV65536"/>
      <selection pane="bottomRight" activeCell="I12" sqref="I12:K12"/>
    </sheetView>
  </sheetViews>
  <sheetFormatPr defaultRowHeight="12.75"/>
  <cols>
    <col min="1" max="1" width="32.2851562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ustomHeight="1">
      <c r="A1" s="148" t="str">
        <f>muni&amp;" - "&amp; TableA20</f>
        <v>KZN225 Msunduzi - Supporting Table SA20 Reconciliation of transfers, grant receipts and unspent funds</v>
      </c>
      <c r="B1" s="148"/>
      <c r="C1" s="148"/>
      <c r="D1" s="148"/>
      <c r="E1" s="148"/>
      <c r="F1" s="148"/>
      <c r="G1" s="148"/>
      <c r="H1" s="148"/>
      <c r="I1" s="148"/>
      <c r="J1" s="148"/>
      <c r="K1" s="148"/>
    </row>
    <row r="2" spans="1:11" ht="28.5" customHeight="1">
      <c r="A2" s="1011" t="str">
        <f>desc</f>
        <v>Description</v>
      </c>
      <c r="B2" s="422" t="str">
        <f>head27</f>
        <v>Ref</v>
      </c>
      <c r="C2" s="151" t="str">
        <f>head1b</f>
        <v>2007/8</v>
      </c>
      <c r="D2" s="769" t="str">
        <f>head1A</f>
        <v>2008/9</v>
      </c>
      <c r="E2" s="147" t="str">
        <f>Head1</f>
        <v>2009/10</v>
      </c>
      <c r="F2" s="2415" t="str">
        <f>Head2</f>
        <v>Current Year 2010/11</v>
      </c>
      <c r="G2" s="2416"/>
      <c r="H2" s="2420"/>
      <c r="I2" s="2412" t="str">
        <f>Head3</f>
        <v>2011/12 Medium Term Revenue &amp; Expenditure Framework</v>
      </c>
      <c r="J2" s="2413"/>
      <c r="K2" s="2414"/>
    </row>
    <row r="3" spans="1:11" ht="25.5">
      <c r="A3" s="181" t="s">
        <v>703</v>
      </c>
      <c r="B3" s="1016"/>
      <c r="C3" s="393" t="str">
        <f>Head5</f>
        <v>Audited Outcome</v>
      </c>
      <c r="D3" s="1025"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1.25" customHeight="1">
      <c r="A4" s="250" t="s">
        <v>320</v>
      </c>
      <c r="B4" s="183" t="s">
        <v>549</v>
      </c>
      <c r="C4" s="764"/>
      <c r="D4" s="764"/>
      <c r="E4" s="765"/>
      <c r="F4" s="766"/>
      <c r="G4" s="764"/>
      <c r="H4" s="767"/>
      <c r="I4" s="768"/>
      <c r="J4" s="764"/>
      <c r="K4" s="765"/>
    </row>
    <row r="5" spans="1:11" ht="11.25" customHeight="1">
      <c r="A5" s="376" t="str">
        <f>'SA18'!A7</f>
        <v>National Government:</v>
      </c>
      <c r="B5" s="183"/>
      <c r="C5" s="764"/>
      <c r="D5" s="764"/>
      <c r="E5" s="765"/>
      <c r="F5" s="766"/>
      <c r="G5" s="764"/>
      <c r="H5" s="767"/>
      <c r="I5" s="768"/>
      <c r="J5" s="764"/>
      <c r="K5" s="765"/>
    </row>
    <row r="6" spans="1:11" ht="11.25" customHeight="1">
      <c r="A6" s="371" t="s">
        <v>1319</v>
      </c>
      <c r="B6" s="183"/>
      <c r="C6" s="2315">
        <v>37560831.75</v>
      </c>
      <c r="D6" s="2316">
        <v>73766791.810000002</v>
      </c>
      <c r="E6" s="2315">
        <v>66011076.810000002</v>
      </c>
      <c r="F6" s="1084">
        <v>1206000</v>
      </c>
      <c r="G6" s="2011"/>
      <c r="H6" s="2012"/>
      <c r="I6" s="2342"/>
      <c r="J6" s="2011"/>
      <c r="K6" s="2015"/>
    </row>
    <row r="7" spans="1:11" ht="11.25" customHeight="1">
      <c r="A7" s="371" t="s">
        <v>1320</v>
      </c>
      <c r="B7" s="183"/>
      <c r="C7" s="2315">
        <v>50374835.520000003</v>
      </c>
      <c r="D7" s="2316">
        <v>179762639</v>
      </c>
      <c r="E7" s="2318">
        <v>203378250</v>
      </c>
      <c r="F7" s="1084">
        <v>271790000</v>
      </c>
      <c r="G7" s="2011"/>
      <c r="H7" s="2012"/>
      <c r="I7" s="2000">
        <f>2908000+2268000</f>
        <v>5176000</v>
      </c>
      <c r="J7" s="1999">
        <f>3075160</f>
        <v>3075160</v>
      </c>
      <c r="K7" s="2000">
        <f>3244300</f>
        <v>3244300</v>
      </c>
    </row>
    <row r="8" spans="1:11" ht="11.25" customHeight="1">
      <c r="A8" s="799" t="s">
        <v>1318</v>
      </c>
      <c r="B8" s="183"/>
      <c r="C8" s="800">
        <f t="shared" ref="C8:K8" si="0">C6+C7-C9</f>
        <v>14168875.460000008</v>
      </c>
      <c r="D8" s="801">
        <f t="shared" si="0"/>
        <v>172629430.81</v>
      </c>
      <c r="E8" s="802">
        <f t="shared" si="0"/>
        <v>202978000</v>
      </c>
      <c r="F8" s="803">
        <f t="shared" si="0"/>
        <v>271790000</v>
      </c>
      <c r="G8" s="801">
        <f t="shared" si="0"/>
        <v>0</v>
      </c>
      <c r="H8" s="804">
        <f t="shared" si="0"/>
        <v>0</v>
      </c>
      <c r="I8" s="805">
        <f t="shared" si="0"/>
        <v>5176000</v>
      </c>
      <c r="J8" s="801">
        <f t="shared" si="0"/>
        <v>3075160</v>
      </c>
      <c r="K8" s="802">
        <f t="shared" si="0"/>
        <v>3244300</v>
      </c>
    </row>
    <row r="9" spans="1:11" ht="11.25" customHeight="1">
      <c r="A9" s="371" t="s">
        <v>494</v>
      </c>
      <c r="B9" s="183"/>
      <c r="C9" s="2315">
        <v>73766791.810000002</v>
      </c>
      <c r="D9" s="2316">
        <v>80900000</v>
      </c>
      <c r="E9" s="2318">
        <v>66411326.810000002</v>
      </c>
      <c r="F9" s="1084">
        <v>1206000</v>
      </c>
      <c r="G9" s="2011"/>
      <c r="H9" s="2012"/>
      <c r="I9" s="2317"/>
      <c r="J9" s="2011"/>
      <c r="K9" s="2015"/>
    </row>
    <row r="10" spans="1:11" ht="11.25" customHeight="1">
      <c r="A10" s="783" t="s">
        <v>1111</v>
      </c>
      <c r="B10" s="183"/>
      <c r="C10" s="806"/>
      <c r="D10" s="806"/>
      <c r="E10" s="767"/>
      <c r="F10" s="766"/>
      <c r="G10" s="764"/>
      <c r="H10" s="767"/>
      <c r="I10" s="768"/>
      <c r="J10" s="764"/>
      <c r="K10" s="765"/>
    </row>
    <row r="11" spans="1:11" ht="11.25" customHeight="1">
      <c r="A11" s="371" t="s">
        <v>1319</v>
      </c>
      <c r="B11" s="183"/>
      <c r="C11" s="2315">
        <v>2413508.41</v>
      </c>
      <c r="D11" s="2316">
        <v>3459725.92</v>
      </c>
      <c r="E11" s="2318">
        <v>4647355.9200000018</v>
      </c>
      <c r="F11" s="1084">
        <v>12744000</v>
      </c>
      <c r="G11" s="2011"/>
      <c r="H11" s="2012"/>
      <c r="I11" s="2317"/>
      <c r="J11" s="2011"/>
      <c r="K11" s="2015"/>
    </row>
    <row r="12" spans="1:11" ht="11.25" customHeight="1">
      <c r="A12" s="807" t="str">
        <f>A7</f>
        <v>Current year receipts</v>
      </c>
      <c r="B12" s="183"/>
      <c r="C12" s="2315">
        <v>2732691.92</v>
      </c>
      <c r="D12" s="2316">
        <v>2075000</v>
      </c>
      <c r="E12" s="2318">
        <v>10547915</v>
      </c>
      <c r="F12" s="1084">
        <v>27541000</v>
      </c>
      <c r="G12" s="2011"/>
      <c r="H12" s="2012"/>
      <c r="I12" s="2000">
        <f>10000000+1789000+2100000</f>
        <v>13889000</v>
      </c>
      <c r="J12" s="1999">
        <f>10000000+11333000</f>
        <v>21333000</v>
      </c>
      <c r="K12" s="2000">
        <f>10000000+21826000</f>
        <v>31826000</v>
      </c>
    </row>
    <row r="13" spans="1:11" ht="11.25" customHeight="1">
      <c r="A13" s="809" t="str">
        <f>A8</f>
        <v>Conditions met - transferred to revenue</v>
      </c>
      <c r="B13" s="183"/>
      <c r="C13" s="800">
        <f t="shared" ref="C13:K13" si="1">C11+C12-C14</f>
        <v>1686474.4100000001</v>
      </c>
      <c r="D13" s="801">
        <f t="shared" si="1"/>
        <v>5534725.9199999999</v>
      </c>
      <c r="E13" s="802">
        <f t="shared" si="1"/>
        <v>9160915</v>
      </c>
      <c r="F13" s="803">
        <f t="shared" si="1"/>
        <v>27541000</v>
      </c>
      <c r="G13" s="801">
        <f t="shared" si="1"/>
        <v>0</v>
      </c>
      <c r="H13" s="804">
        <f t="shared" si="1"/>
        <v>0</v>
      </c>
      <c r="I13" s="805">
        <f t="shared" si="1"/>
        <v>13889000</v>
      </c>
      <c r="J13" s="801">
        <f t="shared" si="1"/>
        <v>21333000</v>
      </c>
      <c r="K13" s="802">
        <f t="shared" si="1"/>
        <v>31826000</v>
      </c>
    </row>
    <row r="14" spans="1:11" ht="11.25" customHeight="1">
      <c r="A14" s="807" t="str">
        <f>A9</f>
        <v>Conditions still to be met - transferred to liabilities</v>
      </c>
      <c r="B14" s="183"/>
      <c r="C14" s="2315">
        <v>3459725.92</v>
      </c>
      <c r="D14" s="2316">
        <v>0</v>
      </c>
      <c r="E14" s="2318">
        <v>6034355.9200000018</v>
      </c>
      <c r="F14" s="1084">
        <v>12744000</v>
      </c>
      <c r="G14" s="2011"/>
      <c r="H14" s="2012"/>
      <c r="I14" s="2317"/>
      <c r="J14" s="2011"/>
      <c r="K14" s="2015"/>
    </row>
    <row r="15" spans="1:11" ht="11.25" customHeight="1">
      <c r="A15" s="783" t="s">
        <v>1147</v>
      </c>
      <c r="B15" s="183"/>
      <c r="C15" s="798"/>
      <c r="D15" s="798"/>
      <c r="E15" s="808"/>
      <c r="F15" s="795"/>
      <c r="G15" s="793"/>
      <c r="H15" s="794"/>
      <c r="I15" s="796"/>
      <c r="J15" s="793"/>
      <c r="K15" s="797"/>
    </row>
    <row r="16" spans="1:11" ht="11.25" customHeight="1">
      <c r="A16" s="371" t="str">
        <f>A11</f>
        <v>Balance unspent at beginning of the year</v>
      </c>
      <c r="B16" s="183"/>
      <c r="C16" s="2011"/>
      <c r="D16" s="2011"/>
      <c r="E16" s="2012"/>
      <c r="F16" s="2013"/>
      <c r="G16" s="2011"/>
      <c r="H16" s="2012"/>
      <c r="I16" s="2014"/>
      <c r="J16" s="2011"/>
      <c r="K16" s="2015"/>
    </row>
    <row r="17" spans="1:11" ht="11.25" customHeight="1">
      <c r="A17" s="807" t="str">
        <f>A12</f>
        <v>Current year receipts</v>
      </c>
      <c r="B17" s="183"/>
      <c r="C17" s="2011"/>
      <c r="D17" s="2011"/>
      <c r="E17" s="2012"/>
      <c r="F17" s="2013"/>
      <c r="G17" s="2011"/>
      <c r="H17" s="2012"/>
      <c r="I17" s="2014"/>
      <c r="J17" s="2011"/>
      <c r="K17" s="2015"/>
    </row>
    <row r="18" spans="1:11" ht="11.25" customHeight="1">
      <c r="A18" s="809" t="str">
        <f>A13</f>
        <v>Conditions met - transferred to revenue</v>
      </c>
      <c r="B18" s="183"/>
      <c r="C18" s="800">
        <f t="shared" ref="C18:K18" si="2">C16+C17-C19</f>
        <v>0</v>
      </c>
      <c r="D18" s="801">
        <f t="shared" si="2"/>
        <v>0</v>
      </c>
      <c r="E18" s="802">
        <f t="shared" si="2"/>
        <v>0</v>
      </c>
      <c r="F18" s="803">
        <f t="shared" si="2"/>
        <v>0</v>
      </c>
      <c r="G18" s="801">
        <f t="shared" si="2"/>
        <v>0</v>
      </c>
      <c r="H18" s="804">
        <f t="shared" si="2"/>
        <v>0</v>
      </c>
      <c r="I18" s="805">
        <f t="shared" si="2"/>
        <v>0</v>
      </c>
      <c r="J18" s="801">
        <f t="shared" si="2"/>
        <v>0</v>
      </c>
      <c r="K18" s="802">
        <f t="shared" si="2"/>
        <v>0</v>
      </c>
    </row>
    <row r="19" spans="1:11" ht="11.25" customHeight="1">
      <c r="A19" s="807" t="str">
        <f>A14</f>
        <v>Conditions still to be met - transferred to liabilities</v>
      </c>
      <c r="B19" s="183"/>
      <c r="C19" s="2011"/>
      <c r="D19" s="2011"/>
      <c r="E19" s="2012"/>
      <c r="F19" s="2013"/>
      <c r="G19" s="2011"/>
      <c r="H19" s="2012"/>
      <c r="I19" s="2014"/>
      <c r="J19" s="2011"/>
      <c r="K19" s="2015"/>
    </row>
    <row r="20" spans="1:11" ht="11.25" customHeight="1">
      <c r="A20" s="783" t="s">
        <v>620</v>
      </c>
      <c r="B20" s="183"/>
      <c r="C20" s="798"/>
      <c r="D20" s="798"/>
      <c r="E20" s="808"/>
      <c r="F20" s="795"/>
      <c r="G20" s="793"/>
      <c r="H20" s="794"/>
      <c r="I20" s="796"/>
      <c r="J20" s="793"/>
      <c r="K20" s="797"/>
    </row>
    <row r="21" spans="1:11" ht="11.25" customHeight="1">
      <c r="A21" s="807" t="str">
        <f>A11</f>
        <v>Balance unspent at beginning of the year</v>
      </c>
      <c r="B21" s="183"/>
      <c r="C21" s="2315">
        <v>5444535.9900000002</v>
      </c>
      <c r="D21" s="2316">
        <v>5447300.1799999997</v>
      </c>
      <c r="E21" s="2318">
        <v>3483000</v>
      </c>
      <c r="F21" s="1084">
        <v>21864000</v>
      </c>
      <c r="G21" s="2011"/>
      <c r="H21" s="2012"/>
      <c r="I21" s="2318"/>
      <c r="J21" s="2011"/>
      <c r="K21" s="2015"/>
    </row>
    <row r="22" spans="1:11" ht="11.25" customHeight="1">
      <c r="A22" s="807" t="str">
        <f>A12</f>
        <v>Current year receipts</v>
      </c>
      <c r="B22" s="183"/>
      <c r="C22" s="2315">
        <v>235806.98</v>
      </c>
      <c r="D22" s="2316">
        <v>0</v>
      </c>
      <c r="E22" s="2012"/>
      <c r="F22" s="2013"/>
      <c r="G22" s="2011"/>
      <c r="H22" s="2012"/>
      <c r="I22" s="2014"/>
      <c r="J22" s="2011"/>
      <c r="K22" s="2015"/>
    </row>
    <row r="23" spans="1:11" ht="11.25" customHeight="1">
      <c r="A23" s="809" t="str">
        <f>A13</f>
        <v>Conditions met - transferred to revenue</v>
      </c>
      <c r="B23" s="183"/>
      <c r="C23" s="800">
        <f>C21+C22-C24</f>
        <v>233042.79000000097</v>
      </c>
      <c r="D23" s="801">
        <f>D21+D22-D24</f>
        <v>1965300.1799999997</v>
      </c>
      <c r="E23" s="802">
        <f>E21+E22-E24</f>
        <v>0</v>
      </c>
      <c r="F23" s="803">
        <f t="shared" ref="F23:K23" si="3">F21+F22-F24</f>
        <v>0</v>
      </c>
      <c r="G23" s="801">
        <f t="shared" si="3"/>
        <v>0</v>
      </c>
      <c r="H23" s="804">
        <f t="shared" si="3"/>
        <v>0</v>
      </c>
      <c r="I23" s="805">
        <f t="shared" si="3"/>
        <v>0</v>
      </c>
      <c r="J23" s="801">
        <f t="shared" si="3"/>
        <v>0</v>
      </c>
      <c r="K23" s="802">
        <f t="shared" si="3"/>
        <v>0</v>
      </c>
    </row>
    <row r="24" spans="1:11" ht="11.25" customHeight="1">
      <c r="A24" s="807" t="str">
        <f>A14</f>
        <v>Conditions still to be met - transferred to liabilities</v>
      </c>
      <c r="B24" s="183"/>
      <c r="C24" s="2317">
        <v>5447300.1799999997</v>
      </c>
      <c r="D24" s="2316">
        <v>3482000</v>
      </c>
      <c r="E24" s="2315">
        <v>3483000</v>
      </c>
      <c r="F24" s="1084">
        <v>21864000</v>
      </c>
      <c r="G24" s="2011"/>
      <c r="H24" s="2012"/>
      <c r="I24" s="2315"/>
      <c r="J24" s="2011"/>
      <c r="K24" s="2015"/>
    </row>
    <row r="25" spans="1:11" ht="11.25" customHeight="1">
      <c r="A25" s="810" t="s">
        <v>372</v>
      </c>
      <c r="B25" s="811"/>
      <c r="C25" s="801">
        <f>C8+C13+C18+C23</f>
        <v>16088392.660000009</v>
      </c>
      <c r="D25" s="801">
        <f>D8+D13+D18+D23</f>
        <v>180129456.91</v>
      </c>
      <c r="E25" s="802">
        <f t="shared" ref="C25:K26" si="4">E8+E13+E18+E23</f>
        <v>212138915</v>
      </c>
      <c r="F25" s="803">
        <f t="shared" si="4"/>
        <v>299331000</v>
      </c>
      <c r="G25" s="801">
        <f t="shared" si="4"/>
        <v>0</v>
      </c>
      <c r="H25" s="804">
        <f t="shared" si="4"/>
        <v>0</v>
      </c>
      <c r="I25" s="805">
        <f t="shared" si="4"/>
        <v>19065000</v>
      </c>
      <c r="J25" s="801">
        <f t="shared" si="4"/>
        <v>24408160</v>
      </c>
      <c r="K25" s="802">
        <f t="shared" si="4"/>
        <v>35070300</v>
      </c>
    </row>
    <row r="26" spans="1:11" ht="11.25" customHeight="1">
      <c r="A26" s="810" t="s">
        <v>373</v>
      </c>
      <c r="B26" s="811">
        <v>2</v>
      </c>
      <c r="C26" s="801">
        <f t="shared" si="4"/>
        <v>82673817.909999996</v>
      </c>
      <c r="D26" s="801">
        <f t="shared" si="4"/>
        <v>84382000</v>
      </c>
      <c r="E26" s="802">
        <f t="shared" si="4"/>
        <v>75928682.730000004</v>
      </c>
      <c r="F26" s="803">
        <f>F9+F14+F19+F24</f>
        <v>35814000</v>
      </c>
      <c r="G26" s="801">
        <f t="shared" si="4"/>
        <v>0</v>
      </c>
      <c r="H26" s="804">
        <f t="shared" si="4"/>
        <v>0</v>
      </c>
      <c r="I26" s="805">
        <f t="shared" si="4"/>
        <v>0</v>
      </c>
      <c r="J26" s="801">
        <f t="shared" si="4"/>
        <v>0</v>
      </c>
      <c r="K26" s="802">
        <f t="shared" si="4"/>
        <v>0</v>
      </c>
    </row>
    <row r="27" spans="1:11" ht="5.0999999999999996" customHeight="1">
      <c r="A27" s="274"/>
      <c r="B27" s="183"/>
      <c r="C27" s="728"/>
      <c r="D27" s="728"/>
      <c r="E27" s="724"/>
      <c r="F27" s="725"/>
      <c r="G27" s="728"/>
      <c r="H27" s="726"/>
      <c r="I27" s="729"/>
      <c r="J27" s="728"/>
      <c r="K27" s="724"/>
    </row>
    <row r="28" spans="1:11" ht="11.25" customHeight="1">
      <c r="A28" s="250" t="s">
        <v>319</v>
      </c>
      <c r="B28" s="183" t="s">
        <v>549</v>
      </c>
      <c r="C28" s="728"/>
      <c r="D28" s="728"/>
      <c r="E28" s="724"/>
      <c r="F28" s="725"/>
      <c r="G28" s="728"/>
      <c r="H28" s="726"/>
      <c r="I28" s="729"/>
      <c r="J28" s="728"/>
      <c r="K28" s="724"/>
    </row>
    <row r="29" spans="1:11" ht="11.25" customHeight="1">
      <c r="A29" s="783" t="str">
        <f>A5</f>
        <v>National Government:</v>
      </c>
      <c r="B29" s="183"/>
      <c r="C29" s="728"/>
      <c r="D29" s="728"/>
      <c r="E29" s="724"/>
      <c r="F29" s="725"/>
      <c r="G29" s="728"/>
      <c r="H29" s="726"/>
      <c r="I29" s="729"/>
      <c r="J29" s="728"/>
      <c r="K29" s="724"/>
    </row>
    <row r="30" spans="1:11" ht="11.25" customHeight="1">
      <c r="A30" s="371" t="s">
        <v>1319</v>
      </c>
      <c r="B30" s="183"/>
      <c r="C30" s="2315">
        <v>25189991.190000001</v>
      </c>
      <c r="D30" s="2316">
        <v>28709460.77</v>
      </c>
      <c r="E30" s="2318">
        <v>5606422.7699999958</v>
      </c>
      <c r="F30" s="1084">
        <v>23882000</v>
      </c>
      <c r="G30" s="2011"/>
      <c r="H30" s="2012"/>
      <c r="I30" s="2317"/>
      <c r="J30" s="2011"/>
      <c r="K30" s="2015"/>
    </row>
    <row r="31" spans="1:11" ht="11.25" customHeight="1">
      <c r="A31" s="371" t="s">
        <v>1320</v>
      </c>
      <c r="B31" s="183"/>
      <c r="C31" s="1987">
        <v>101798760.23999999</v>
      </c>
      <c r="D31" s="1986">
        <v>77647962</v>
      </c>
      <c r="E31" s="1988">
        <v>125648750</v>
      </c>
      <c r="F31" s="1084">
        <v>136513000</v>
      </c>
      <c r="G31" s="1984"/>
      <c r="H31" s="1987"/>
      <c r="I31" s="1985">
        <v>310267000</v>
      </c>
      <c r="J31" s="1984">
        <v>263057500</v>
      </c>
      <c r="K31" s="1985">
        <v>215115000</v>
      </c>
    </row>
    <row r="32" spans="1:11" ht="11.25" customHeight="1">
      <c r="A32" s="799" t="s">
        <v>1318</v>
      </c>
      <c r="B32" s="183"/>
      <c r="C32" s="800">
        <f t="shared" ref="C32:K32" si="5">C30+C31-C33</f>
        <v>98279290.659999996</v>
      </c>
      <c r="D32" s="801">
        <f t="shared" si="5"/>
        <v>89291422.769999996</v>
      </c>
      <c r="E32" s="802">
        <f t="shared" si="5"/>
        <v>125915682</v>
      </c>
      <c r="F32" s="803">
        <f t="shared" si="5"/>
        <v>136513000</v>
      </c>
      <c r="G32" s="801">
        <f t="shared" si="5"/>
        <v>0</v>
      </c>
      <c r="H32" s="804">
        <f t="shared" si="5"/>
        <v>0</v>
      </c>
      <c r="I32" s="805">
        <f t="shared" si="5"/>
        <v>310267000</v>
      </c>
      <c r="J32" s="801">
        <f t="shared" si="5"/>
        <v>263057500</v>
      </c>
      <c r="K32" s="802">
        <f t="shared" si="5"/>
        <v>215115000</v>
      </c>
    </row>
    <row r="33" spans="1:15" ht="11.25" customHeight="1">
      <c r="A33" s="371" t="s">
        <v>494</v>
      </c>
      <c r="B33" s="183"/>
      <c r="C33" s="2315">
        <v>28709460.77</v>
      </c>
      <c r="D33" s="2316">
        <v>17066000</v>
      </c>
      <c r="E33" s="2318">
        <v>5339490.7699999958</v>
      </c>
      <c r="F33" s="1084">
        <v>23882000</v>
      </c>
      <c r="G33" s="2011"/>
      <c r="H33" s="2012"/>
      <c r="I33" s="2317"/>
      <c r="J33" s="2011"/>
      <c r="K33" s="2015"/>
    </row>
    <row r="34" spans="1:15" ht="11.25" customHeight="1">
      <c r="A34" s="783" t="s">
        <v>1111</v>
      </c>
      <c r="B34" s="183"/>
      <c r="C34" s="806"/>
      <c r="D34" s="806"/>
      <c r="E34" s="767"/>
      <c r="F34" s="766"/>
      <c r="G34" s="764"/>
      <c r="H34" s="767"/>
      <c r="I34" s="768"/>
      <c r="J34" s="764"/>
      <c r="K34" s="765"/>
    </row>
    <row r="35" spans="1:15" ht="11.25" customHeight="1">
      <c r="A35" s="371" t="s">
        <v>1319</v>
      </c>
      <c r="B35" s="183"/>
      <c r="C35" s="2315">
        <v>2997328.17</v>
      </c>
      <c r="D35" s="2316">
        <v>13202200.75</v>
      </c>
      <c r="E35" s="2012"/>
      <c r="F35" s="1084">
        <v>2684000</v>
      </c>
      <c r="G35" s="2011"/>
      <c r="H35" s="2012"/>
      <c r="I35" s="2014"/>
      <c r="J35" s="2011"/>
      <c r="K35" s="2015"/>
    </row>
    <row r="36" spans="1:15" ht="11.25" customHeight="1">
      <c r="A36" s="807" t="str">
        <f>A31</f>
        <v>Current year receipts</v>
      </c>
      <c r="B36" s="183"/>
      <c r="C36" s="1987">
        <v>12542560.109999999</v>
      </c>
      <c r="D36" s="1986">
        <v>0</v>
      </c>
      <c r="E36" s="1987"/>
      <c r="F36" s="1986"/>
      <c r="G36" s="1984"/>
      <c r="H36" s="1987"/>
      <c r="I36" s="1988">
        <v>16000000</v>
      </c>
      <c r="J36" s="1984"/>
      <c r="K36" s="1985"/>
    </row>
    <row r="37" spans="1:15" ht="11.25" customHeight="1">
      <c r="A37" s="809" t="str">
        <f>A32</f>
        <v>Conditions met - transferred to revenue</v>
      </c>
      <c r="B37" s="183"/>
      <c r="C37" s="800">
        <f t="shared" ref="C37:K37" si="6">C35+C36-C38</f>
        <v>2337687.5299999993</v>
      </c>
      <c r="D37" s="801">
        <f t="shared" si="6"/>
        <v>3732000</v>
      </c>
      <c r="E37" s="802">
        <f t="shared" si="6"/>
        <v>0</v>
      </c>
      <c r="F37" s="803">
        <f t="shared" si="6"/>
        <v>0</v>
      </c>
      <c r="G37" s="801">
        <f t="shared" si="6"/>
        <v>0</v>
      </c>
      <c r="H37" s="804">
        <f t="shared" si="6"/>
        <v>0</v>
      </c>
      <c r="I37" s="805">
        <f t="shared" si="6"/>
        <v>16000000</v>
      </c>
      <c r="J37" s="801">
        <f t="shared" si="6"/>
        <v>0</v>
      </c>
      <c r="K37" s="802">
        <f t="shared" si="6"/>
        <v>0</v>
      </c>
      <c r="O37" s="373"/>
    </row>
    <row r="38" spans="1:15" ht="11.25" customHeight="1">
      <c r="A38" s="807" t="str">
        <f>A33</f>
        <v>Conditions still to be met - transferred to liabilities</v>
      </c>
      <c r="B38" s="183"/>
      <c r="C38" s="2315">
        <v>13202200.75</v>
      </c>
      <c r="D38" s="2316">
        <v>9470200.75</v>
      </c>
      <c r="E38" s="2012"/>
      <c r="F38" s="2013">
        <v>2684000</v>
      </c>
      <c r="G38" s="2011"/>
      <c r="H38" s="2012"/>
      <c r="I38" s="2014"/>
      <c r="J38" s="2011"/>
      <c r="K38" s="2015"/>
    </row>
    <row r="39" spans="1:15" ht="11.25" customHeight="1">
      <c r="A39" s="783" t="s">
        <v>1147</v>
      </c>
      <c r="B39" s="183"/>
      <c r="C39" s="798"/>
      <c r="D39" s="798"/>
      <c r="E39" s="808"/>
      <c r="F39" s="795"/>
      <c r="G39" s="793"/>
      <c r="H39" s="794"/>
      <c r="I39" s="796"/>
      <c r="J39" s="793"/>
      <c r="K39" s="797"/>
    </row>
    <row r="40" spans="1:15" ht="11.25" customHeight="1">
      <c r="A40" s="371" t="str">
        <f>A35</f>
        <v>Balance unspent at beginning of the year</v>
      </c>
      <c r="B40" s="183"/>
      <c r="C40" s="2011"/>
      <c r="D40" s="2011"/>
      <c r="E40" s="2012"/>
      <c r="F40" s="2013"/>
      <c r="G40" s="2011"/>
      <c r="H40" s="2012"/>
      <c r="I40" s="2014"/>
      <c r="J40" s="2011"/>
      <c r="K40" s="2015"/>
    </row>
    <row r="41" spans="1:15" ht="11.25" customHeight="1">
      <c r="A41" s="807" t="str">
        <f>A36</f>
        <v>Current year receipts</v>
      </c>
      <c r="B41" s="183"/>
      <c r="C41" s="2011"/>
      <c r="D41" s="2011"/>
      <c r="E41" s="2012"/>
      <c r="F41" s="2013"/>
      <c r="G41" s="2011"/>
      <c r="H41" s="2012"/>
      <c r="I41" s="2014"/>
      <c r="J41" s="2011"/>
      <c r="K41" s="2015"/>
    </row>
    <row r="42" spans="1:15" ht="11.25" customHeight="1">
      <c r="A42" s="809" t="str">
        <f>A37</f>
        <v>Conditions met - transferred to revenue</v>
      </c>
      <c r="B42" s="183"/>
      <c r="C42" s="800">
        <f t="shared" ref="C42:K42" si="7">C40+C41-C43</f>
        <v>0</v>
      </c>
      <c r="D42" s="801">
        <f t="shared" si="7"/>
        <v>0</v>
      </c>
      <c r="E42" s="802">
        <f t="shared" si="7"/>
        <v>0</v>
      </c>
      <c r="F42" s="803">
        <f t="shared" si="7"/>
        <v>0</v>
      </c>
      <c r="G42" s="801">
        <f t="shared" si="7"/>
        <v>0</v>
      </c>
      <c r="H42" s="804">
        <f t="shared" si="7"/>
        <v>0</v>
      </c>
      <c r="I42" s="805">
        <f t="shared" si="7"/>
        <v>0</v>
      </c>
      <c r="J42" s="801">
        <f t="shared" si="7"/>
        <v>0</v>
      </c>
      <c r="K42" s="802">
        <f t="shared" si="7"/>
        <v>0</v>
      </c>
    </row>
    <row r="43" spans="1:15" ht="11.25" customHeight="1">
      <c r="A43" s="807" t="str">
        <f>A38</f>
        <v>Conditions still to be met - transferred to liabilities</v>
      </c>
      <c r="B43" s="183"/>
      <c r="C43" s="2011"/>
      <c r="D43" s="2011"/>
      <c r="E43" s="2012"/>
      <c r="F43" s="2013"/>
      <c r="G43" s="2011"/>
      <c r="H43" s="2012"/>
      <c r="I43" s="2014"/>
      <c r="J43" s="2011"/>
      <c r="K43" s="2015"/>
    </row>
    <row r="44" spans="1:15" ht="11.25" customHeight="1">
      <c r="A44" s="783" t="s">
        <v>620</v>
      </c>
      <c r="B44" s="183"/>
      <c r="C44" s="798"/>
      <c r="D44" s="798"/>
      <c r="E44" s="808"/>
      <c r="F44" s="795"/>
      <c r="G44" s="793"/>
      <c r="H44" s="794"/>
      <c r="I44" s="796"/>
      <c r="J44" s="793"/>
      <c r="K44" s="797"/>
    </row>
    <row r="45" spans="1:15" ht="11.25" customHeight="1">
      <c r="A45" s="807" t="str">
        <f>A35</f>
        <v>Balance unspent at beginning of the year</v>
      </c>
      <c r="B45" s="183"/>
      <c r="C45" s="2011"/>
      <c r="D45" s="2011"/>
      <c r="E45" s="2012"/>
      <c r="F45" s="1084">
        <v>11190000</v>
      </c>
      <c r="G45" s="2011"/>
      <c r="H45" s="2012"/>
      <c r="I45" s="2014"/>
      <c r="J45" s="2011"/>
      <c r="K45" s="2015"/>
    </row>
    <row r="46" spans="1:15" ht="11.25" customHeight="1">
      <c r="A46" s="807" t="str">
        <f>A36</f>
        <v>Current year receipts</v>
      </c>
      <c r="B46" s="183"/>
      <c r="C46" s="2011"/>
      <c r="D46" s="2011"/>
      <c r="E46" s="2012"/>
      <c r="F46" s="2013"/>
      <c r="G46" s="2011"/>
      <c r="H46" s="2012"/>
      <c r="I46" s="2014"/>
      <c r="J46" s="2011"/>
      <c r="K46" s="2015"/>
    </row>
    <row r="47" spans="1:15" ht="11.25" customHeight="1">
      <c r="A47" s="809" t="str">
        <f>A37</f>
        <v>Conditions met - transferred to revenue</v>
      </c>
      <c r="B47" s="183"/>
      <c r="C47" s="800">
        <f t="shared" ref="C47:K47" si="8">C45+C46-C48</f>
        <v>0</v>
      </c>
      <c r="D47" s="801">
        <f t="shared" si="8"/>
        <v>0</v>
      </c>
      <c r="E47" s="802">
        <f t="shared" si="8"/>
        <v>0</v>
      </c>
      <c r="F47" s="803">
        <f t="shared" si="8"/>
        <v>0</v>
      </c>
      <c r="G47" s="801">
        <f t="shared" si="8"/>
        <v>0</v>
      </c>
      <c r="H47" s="804">
        <f t="shared" si="8"/>
        <v>0</v>
      </c>
      <c r="I47" s="805">
        <f t="shared" si="8"/>
        <v>0</v>
      </c>
      <c r="J47" s="801">
        <f t="shared" si="8"/>
        <v>0</v>
      </c>
      <c r="K47" s="802">
        <f t="shared" si="8"/>
        <v>0</v>
      </c>
    </row>
    <row r="48" spans="1:15" ht="11.25" customHeight="1">
      <c r="A48" s="807" t="str">
        <f>A38</f>
        <v>Conditions still to be met - transferred to liabilities</v>
      </c>
      <c r="B48" s="183"/>
      <c r="C48" s="2011"/>
      <c r="D48" s="2011"/>
      <c r="E48" s="2015"/>
      <c r="F48" s="1084">
        <v>11190000</v>
      </c>
      <c r="G48" s="2011"/>
      <c r="H48" s="2012"/>
      <c r="I48" s="2014"/>
      <c r="J48" s="2011"/>
      <c r="K48" s="2015"/>
    </row>
    <row r="49" spans="1:11">
      <c r="A49" s="810" t="s">
        <v>660</v>
      </c>
      <c r="B49" s="811"/>
      <c r="C49" s="812">
        <f t="shared" ref="C49:K50" si="9">C32+C37+C42+C47</f>
        <v>100616978.19</v>
      </c>
      <c r="D49" s="812">
        <f t="shared" si="9"/>
        <v>93023422.769999996</v>
      </c>
      <c r="E49" s="813">
        <f t="shared" si="9"/>
        <v>125915682</v>
      </c>
      <c r="F49" s="814">
        <f t="shared" si="9"/>
        <v>136513000</v>
      </c>
      <c r="G49" s="812">
        <f t="shared" si="9"/>
        <v>0</v>
      </c>
      <c r="H49" s="815">
        <f t="shared" si="9"/>
        <v>0</v>
      </c>
      <c r="I49" s="816">
        <f t="shared" si="9"/>
        <v>326267000</v>
      </c>
      <c r="J49" s="812">
        <f t="shared" si="9"/>
        <v>263057500</v>
      </c>
      <c r="K49" s="813">
        <f t="shared" si="9"/>
        <v>215115000</v>
      </c>
    </row>
    <row r="50" spans="1:11">
      <c r="A50" s="810" t="s">
        <v>374</v>
      </c>
      <c r="B50" s="811">
        <v>2</v>
      </c>
      <c r="C50" s="812">
        <f t="shared" si="9"/>
        <v>41911661.519999996</v>
      </c>
      <c r="D50" s="812">
        <f t="shared" si="9"/>
        <v>26536200.75</v>
      </c>
      <c r="E50" s="813">
        <f t="shared" si="9"/>
        <v>5339490.7699999958</v>
      </c>
      <c r="F50" s="814">
        <f t="shared" si="9"/>
        <v>37756000</v>
      </c>
      <c r="G50" s="812">
        <f t="shared" si="9"/>
        <v>0</v>
      </c>
      <c r="H50" s="815">
        <f t="shared" si="9"/>
        <v>0</v>
      </c>
      <c r="I50" s="816">
        <f t="shared" si="9"/>
        <v>0</v>
      </c>
      <c r="J50" s="812">
        <f t="shared" si="9"/>
        <v>0</v>
      </c>
      <c r="K50" s="813">
        <f t="shared" si="9"/>
        <v>0</v>
      </c>
    </row>
    <row r="51" spans="1:11" ht="5.0999999999999996" customHeight="1">
      <c r="A51" s="817"/>
      <c r="B51" s="183"/>
      <c r="C51" s="798"/>
      <c r="D51" s="798"/>
      <c r="E51" s="808"/>
      <c r="F51" s="795"/>
      <c r="G51" s="793"/>
      <c r="H51" s="794"/>
      <c r="I51" s="796"/>
      <c r="J51" s="793"/>
      <c r="K51" s="797"/>
    </row>
    <row r="52" spans="1:11" ht="11.25" customHeight="1">
      <c r="A52" s="1129" t="s">
        <v>299</v>
      </c>
      <c r="B52" s="1130"/>
      <c r="C52" s="1131">
        <f t="shared" ref="C52:K52" si="10">C25+C49</f>
        <v>116705370.85000001</v>
      </c>
      <c r="D52" s="1131">
        <f t="shared" si="10"/>
        <v>273152879.68000001</v>
      </c>
      <c r="E52" s="1132">
        <f t="shared" si="10"/>
        <v>338054597</v>
      </c>
      <c r="F52" s="1133">
        <f t="shared" si="10"/>
        <v>435844000</v>
      </c>
      <c r="G52" s="1131">
        <f t="shared" si="10"/>
        <v>0</v>
      </c>
      <c r="H52" s="1134">
        <f t="shared" si="10"/>
        <v>0</v>
      </c>
      <c r="I52" s="1135">
        <f t="shared" si="10"/>
        <v>345332000</v>
      </c>
      <c r="J52" s="1131">
        <f t="shared" si="10"/>
        <v>287465660</v>
      </c>
      <c r="K52" s="1132">
        <f t="shared" si="10"/>
        <v>250185300</v>
      </c>
    </row>
    <row r="53" spans="1:11" ht="11.25" customHeight="1">
      <c r="A53" s="282" t="s">
        <v>1568</v>
      </c>
      <c r="B53" s="226"/>
      <c r="C53" s="741">
        <f>C26+C50</f>
        <v>124585479.42999999</v>
      </c>
      <c r="D53" s="741">
        <f t="shared" ref="D53:K53" si="11">D26+D50</f>
        <v>110918200.75</v>
      </c>
      <c r="E53" s="742">
        <f t="shared" si="11"/>
        <v>81268173.5</v>
      </c>
      <c r="F53" s="743">
        <f>F26+F50</f>
        <v>73570000</v>
      </c>
      <c r="G53" s="741">
        <f t="shared" si="11"/>
        <v>0</v>
      </c>
      <c r="H53" s="744">
        <f t="shared" si="11"/>
        <v>0</v>
      </c>
      <c r="I53" s="745">
        <f t="shared" si="11"/>
        <v>0</v>
      </c>
      <c r="J53" s="741">
        <f t="shared" si="11"/>
        <v>0</v>
      </c>
      <c r="K53" s="742">
        <f t="shared" si="11"/>
        <v>0</v>
      </c>
    </row>
    <row r="54" spans="1:11" s="722" customFormat="1" ht="11.25" customHeight="1">
      <c r="A54" s="1276" t="str">
        <f>head27a</f>
        <v>References</v>
      </c>
      <c r="B54" s="1109"/>
      <c r="C54" s="1106"/>
      <c r="D54" s="1106"/>
      <c r="E54" s="1106"/>
      <c r="F54" s="1106"/>
      <c r="G54" s="1106"/>
      <c r="H54" s="1106"/>
      <c r="I54" s="1106"/>
      <c r="J54" s="1106"/>
      <c r="K54" s="1106"/>
    </row>
    <row r="55" spans="1:11" s="722" customFormat="1" ht="11.25" customHeight="1">
      <c r="A55" s="2433" t="s">
        <v>659</v>
      </c>
      <c r="B55" s="2433"/>
      <c r="C55" s="2433"/>
      <c r="D55" s="2433"/>
      <c r="E55" s="2433"/>
      <c r="F55" s="2433"/>
      <c r="G55" s="2433"/>
      <c r="H55" s="2433"/>
      <c r="I55" s="2433"/>
      <c r="J55" s="2433"/>
      <c r="K55" s="2433"/>
    </row>
    <row r="56" spans="1:11" s="722" customFormat="1" ht="11.25" customHeight="1">
      <c r="A56" s="2433" t="s">
        <v>298</v>
      </c>
      <c r="B56" s="2433"/>
      <c r="C56" s="2433"/>
      <c r="D56" s="2433"/>
      <c r="E56" s="2433"/>
      <c r="F56" s="2433"/>
      <c r="G56" s="2433"/>
      <c r="H56" s="2433"/>
      <c r="I56" s="2433"/>
      <c r="J56" s="2433"/>
      <c r="K56" s="2433"/>
    </row>
    <row r="57" spans="1:11" s="722" customFormat="1" ht="11.25" customHeight="1">
      <c r="A57" s="2433" t="s">
        <v>958</v>
      </c>
      <c r="B57" s="2433"/>
      <c r="C57" s="2433"/>
      <c r="D57" s="2433"/>
      <c r="E57" s="2433"/>
      <c r="F57" s="2433"/>
      <c r="G57" s="2433"/>
      <c r="H57" s="2433"/>
      <c r="I57" s="2433"/>
      <c r="J57" s="2433"/>
      <c r="K57" s="2433"/>
    </row>
    <row r="58" spans="1:11" ht="11.25" customHeight="1">
      <c r="A58" s="819"/>
      <c r="B58" s="819"/>
      <c r="C58" s="819"/>
      <c r="D58" s="819"/>
      <c r="E58" s="819"/>
      <c r="F58" s="819"/>
      <c r="G58" s="819"/>
      <c r="H58" s="819"/>
      <c r="I58" s="819"/>
      <c r="J58" s="819"/>
      <c r="K58" s="819"/>
    </row>
    <row r="59" spans="1:11" ht="11.25" customHeight="1">
      <c r="A59" s="440" t="s">
        <v>495</v>
      </c>
      <c r="C59" s="364">
        <f>C25-'A4-FinPerf RE'!C19</f>
        <v>-152522108.34</v>
      </c>
      <c r="D59" s="364">
        <f>D25-'A4-FinPerf RE'!D19</f>
        <v>-933887.09000000358</v>
      </c>
      <c r="E59" s="364">
        <f>E25-'A4-FinPerf RE'!E19</f>
        <v>-63883019</v>
      </c>
      <c r="F59" s="364">
        <f>F25-'A4-FinPerf RE'!F19</f>
        <v>-3000</v>
      </c>
      <c r="G59" s="364">
        <f>G25-'A4-FinPerf RE'!G19</f>
        <v>-322506865</v>
      </c>
      <c r="H59" s="364">
        <f>H25-'A4-FinPerf RE'!H19</f>
        <v>-322506865</v>
      </c>
      <c r="I59" s="364">
        <f>I25-'A4-FinPerf RE'!J19</f>
        <v>-307066000</v>
      </c>
      <c r="J59" s="364">
        <f>J25-'A4-FinPerf RE'!K19</f>
        <v>-341304000</v>
      </c>
      <c r="K59" s="364">
        <f>K25-'A4-FinPerf RE'!L19</f>
        <v>-364059000</v>
      </c>
    </row>
    <row r="60" spans="1:11" ht="11.25" customHeight="1">
      <c r="A60" s="440" t="s">
        <v>496</v>
      </c>
      <c r="C60" s="364">
        <f>C49-'A5-Capex'!C70</f>
        <v>1837845.1899999976</v>
      </c>
      <c r="D60" s="364">
        <f>D49-'A5-Capex'!D70</f>
        <v>6206422.7699999958</v>
      </c>
      <c r="E60" s="364">
        <f>E49-'A5-Capex'!E70</f>
        <v>47508445</v>
      </c>
      <c r="F60" s="364">
        <f>F49-'A5-Capex'!F70</f>
        <v>-266</v>
      </c>
      <c r="G60" s="364">
        <f>G49-'A5-Capex'!G70</f>
        <v>-126513266</v>
      </c>
      <c r="H60" s="364">
        <f>H49-'A5-Capex'!H70</f>
        <v>-126513266</v>
      </c>
      <c r="I60" s="364">
        <f>I49-'A5-Capex'!J70</f>
        <v>23145000</v>
      </c>
      <c r="J60" s="364">
        <f>J49-'A5-Capex'!K70</f>
        <v>799500</v>
      </c>
      <c r="K60" s="364">
        <f>K49-'A5-Capex'!L70</f>
        <v>900000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O64"/>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K12" sqref="K12"/>
    </sheetView>
  </sheetViews>
  <sheetFormatPr defaultRowHeight="12.75"/>
  <cols>
    <col min="1" max="1" width="32.14062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1" ht="13.5" customHeight="1">
      <c r="A1" s="148" t="str">
        <f>muni&amp;" - "&amp; TableA21</f>
        <v>KZN225 Msunduzi - Supporting Table SA21 Transfers and grants made by the municipality</v>
      </c>
      <c r="B1" s="148"/>
      <c r="C1" s="148"/>
      <c r="D1" s="148"/>
      <c r="E1" s="148"/>
      <c r="F1" s="148"/>
      <c r="G1" s="148"/>
      <c r="H1" s="148"/>
      <c r="I1" s="148"/>
      <c r="J1" s="148"/>
      <c r="K1" s="148"/>
    </row>
    <row r="2" spans="1:11" ht="28.5" customHeight="1">
      <c r="A2" s="1011" t="str">
        <f>desc</f>
        <v>Description</v>
      </c>
      <c r="B2" s="422" t="str">
        <f>head27</f>
        <v>Ref</v>
      </c>
      <c r="C2" s="151" t="str">
        <f>head1b</f>
        <v>2007/8</v>
      </c>
      <c r="D2" s="769" t="str">
        <f>head1A</f>
        <v>2008/9</v>
      </c>
      <c r="E2" s="147" t="str">
        <f>Head1</f>
        <v>2009/10</v>
      </c>
      <c r="F2" s="2415" t="str">
        <f>Head2</f>
        <v>Current Year 2010/11</v>
      </c>
      <c r="G2" s="2416"/>
      <c r="H2" s="2420"/>
      <c r="I2" s="2412" t="str">
        <f>Head3</f>
        <v>2011/12 Medium Term Revenue &amp; Expenditure Framework</v>
      </c>
      <c r="J2" s="2413"/>
      <c r="K2" s="2414"/>
    </row>
    <row r="3" spans="1:11" ht="25.5">
      <c r="A3" s="181" t="s">
        <v>703</v>
      </c>
      <c r="B3" s="1016"/>
      <c r="C3" s="393" t="str">
        <f>Head5</f>
        <v>Audited Outcome</v>
      </c>
      <c r="D3" s="1025"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1.25" customHeight="1">
      <c r="A4" s="250" t="s">
        <v>661</v>
      </c>
      <c r="B4" s="183"/>
      <c r="C4" s="204"/>
      <c r="D4" s="204"/>
      <c r="E4" s="205"/>
      <c r="F4" s="206"/>
      <c r="G4" s="204"/>
      <c r="H4" s="821"/>
      <c r="I4" s="203"/>
      <c r="J4" s="204"/>
      <c r="K4" s="205"/>
    </row>
    <row r="5" spans="1:11" ht="12" customHeight="1">
      <c r="A5" s="2016" t="s">
        <v>1185</v>
      </c>
      <c r="B5" s="183">
        <v>1</v>
      </c>
      <c r="C5" s="1708"/>
      <c r="D5" s="1708"/>
      <c r="E5" s="1730"/>
      <c r="F5" s="1731"/>
      <c r="G5" s="1708"/>
      <c r="H5" s="1711"/>
      <c r="I5" s="1732"/>
      <c r="J5" s="1708"/>
      <c r="K5" s="1730"/>
    </row>
    <row r="6" spans="1:11" ht="11.25" customHeight="1">
      <c r="A6" s="2017"/>
      <c r="B6" s="183"/>
      <c r="C6" s="1708"/>
      <c r="D6" s="1708"/>
      <c r="E6" s="1730"/>
      <c r="F6" s="1731"/>
      <c r="G6" s="1708"/>
      <c r="H6" s="1711"/>
      <c r="I6" s="1732"/>
      <c r="J6" s="1708"/>
      <c r="K6" s="1730"/>
    </row>
    <row r="7" spans="1:11" ht="11.25" customHeight="1">
      <c r="A7" s="2017"/>
      <c r="B7" s="183"/>
      <c r="C7" s="1708"/>
      <c r="D7" s="1708"/>
      <c r="E7" s="1730"/>
      <c r="F7" s="1731"/>
      <c r="G7" s="1708"/>
      <c r="H7" s="1711"/>
      <c r="I7" s="1732"/>
      <c r="J7" s="1708"/>
      <c r="K7" s="1730"/>
    </row>
    <row r="8" spans="1:11" ht="11.25" customHeight="1">
      <c r="A8" s="810" t="s">
        <v>662</v>
      </c>
      <c r="B8" s="811"/>
      <c r="C8" s="277">
        <f>SUM(C5:C7)</f>
        <v>0</v>
      </c>
      <c r="D8" s="277">
        <f t="shared" ref="D8:K8" si="0">SUM(D5:D7)</f>
        <v>0</v>
      </c>
      <c r="E8" s="278">
        <f t="shared" si="0"/>
        <v>0</v>
      </c>
      <c r="F8" s="279">
        <f t="shared" si="0"/>
        <v>0</v>
      </c>
      <c r="G8" s="277">
        <f t="shared" si="0"/>
        <v>0</v>
      </c>
      <c r="H8" s="822">
        <f t="shared" si="0"/>
        <v>0</v>
      </c>
      <c r="I8" s="276">
        <f t="shared" si="0"/>
        <v>0</v>
      </c>
      <c r="J8" s="277">
        <f t="shared" si="0"/>
        <v>0</v>
      </c>
      <c r="K8" s="278">
        <f t="shared" si="0"/>
        <v>0</v>
      </c>
    </row>
    <row r="9" spans="1:11">
      <c r="A9" s="274"/>
      <c r="B9" s="183"/>
      <c r="C9" s="204"/>
      <c r="D9" s="204"/>
      <c r="E9" s="205"/>
      <c r="F9" s="206"/>
      <c r="G9" s="204"/>
      <c r="H9" s="821"/>
      <c r="I9" s="203"/>
      <c r="J9" s="204"/>
      <c r="K9" s="205"/>
    </row>
    <row r="10" spans="1:11" ht="11.25" customHeight="1">
      <c r="A10" s="823" t="s">
        <v>1462</v>
      </c>
      <c r="B10" s="351"/>
      <c r="C10" s="208">
        <f>SUM(C11:C13)</f>
        <v>4300000</v>
      </c>
      <c r="D10" s="208">
        <f t="shared" ref="D10:K10" si="1">SUM(D11:D13)</f>
        <v>0</v>
      </c>
      <c r="E10" s="208">
        <f t="shared" si="1"/>
        <v>2631579</v>
      </c>
      <c r="F10" s="208">
        <f t="shared" si="1"/>
        <v>4300000</v>
      </c>
      <c r="G10" s="208">
        <f t="shared" si="1"/>
        <v>4300000</v>
      </c>
      <c r="H10" s="208">
        <f t="shared" si="1"/>
        <v>4300000</v>
      </c>
      <c r="I10" s="208">
        <f t="shared" si="1"/>
        <v>4500000</v>
      </c>
      <c r="J10" s="208">
        <f t="shared" si="1"/>
        <v>4716000</v>
      </c>
      <c r="K10" s="208">
        <f t="shared" si="1"/>
        <v>4942368</v>
      </c>
    </row>
    <row r="11" spans="1:11" ht="11.25" customHeight="1">
      <c r="A11" s="1776" t="s">
        <v>2176</v>
      </c>
      <c r="B11" s="351">
        <v>2</v>
      </c>
      <c r="C11" s="1712">
        <v>4300000</v>
      </c>
      <c r="D11" s="1708"/>
      <c r="E11" s="1730">
        <v>2631579</v>
      </c>
      <c r="F11" s="1731">
        <v>4300000</v>
      </c>
      <c r="G11" s="1708">
        <v>4300000</v>
      </c>
      <c r="H11" s="1711">
        <v>4300000</v>
      </c>
      <c r="I11" s="1732">
        <v>4500000</v>
      </c>
      <c r="J11" s="1708">
        <v>4716000</v>
      </c>
      <c r="K11" s="1730">
        <v>4942368</v>
      </c>
    </row>
    <row r="12" spans="1:11" ht="11.25" customHeight="1">
      <c r="A12" s="1989"/>
      <c r="B12" s="351"/>
      <c r="C12" s="1708"/>
      <c r="D12" s="1708"/>
      <c r="E12" s="1730"/>
      <c r="F12" s="1731"/>
      <c r="G12" s="1708"/>
      <c r="H12" s="1711"/>
      <c r="I12" s="1732"/>
      <c r="J12" s="1708"/>
      <c r="K12" s="1730"/>
    </row>
    <row r="13" spans="1:11" ht="11.25" customHeight="1">
      <c r="A13" s="1989"/>
      <c r="B13" s="351"/>
      <c r="C13" s="1708"/>
      <c r="D13" s="1708"/>
      <c r="E13" s="1730"/>
      <c r="F13" s="1731"/>
      <c r="G13" s="1708"/>
      <c r="H13" s="1711"/>
      <c r="I13" s="1732"/>
      <c r="J13" s="1708"/>
      <c r="K13" s="1730"/>
    </row>
    <row r="14" spans="1:11" ht="11.25" customHeight="1">
      <c r="A14" s="824" t="s">
        <v>1463</v>
      </c>
      <c r="B14" s="825"/>
      <c r="C14" s="826">
        <f>SUM(C10)</f>
        <v>4300000</v>
      </c>
      <c r="D14" s="826">
        <f t="shared" ref="D14:K14" si="2">SUM(D10)</f>
        <v>0</v>
      </c>
      <c r="E14" s="827">
        <f t="shared" si="2"/>
        <v>2631579</v>
      </c>
      <c r="F14" s="828">
        <f t="shared" si="2"/>
        <v>4300000</v>
      </c>
      <c r="G14" s="826">
        <f t="shared" si="2"/>
        <v>4300000</v>
      </c>
      <c r="H14" s="829">
        <f t="shared" si="2"/>
        <v>4300000</v>
      </c>
      <c r="I14" s="830">
        <f t="shared" si="2"/>
        <v>4500000</v>
      </c>
      <c r="J14" s="826">
        <f t="shared" si="2"/>
        <v>4716000</v>
      </c>
      <c r="K14" s="827">
        <f t="shared" si="2"/>
        <v>4942368</v>
      </c>
    </row>
    <row r="15" spans="1:11">
      <c r="A15" s="663"/>
      <c r="B15" s="351"/>
      <c r="C15" s="397"/>
      <c r="D15" s="397"/>
      <c r="E15" s="346"/>
      <c r="F15" s="398"/>
      <c r="G15" s="397"/>
      <c r="H15" s="637"/>
      <c r="I15" s="399"/>
      <c r="J15" s="397"/>
      <c r="K15" s="346"/>
    </row>
    <row r="16" spans="1:11" ht="11.25" customHeight="1">
      <c r="A16" s="823" t="s">
        <v>1464</v>
      </c>
      <c r="B16" s="351"/>
      <c r="C16" s="208">
        <f>SUM(C17:C19)</f>
        <v>0</v>
      </c>
      <c r="D16" s="208">
        <f t="shared" ref="D16:K16" si="3">SUM(D17:D19)</f>
        <v>0</v>
      </c>
      <c r="E16" s="208">
        <f t="shared" si="3"/>
        <v>0</v>
      </c>
      <c r="F16" s="208">
        <f t="shared" si="3"/>
        <v>0</v>
      </c>
      <c r="G16" s="208">
        <f t="shared" si="3"/>
        <v>0</v>
      </c>
      <c r="H16" s="208">
        <f t="shared" si="3"/>
        <v>0</v>
      </c>
      <c r="I16" s="208">
        <f t="shared" si="3"/>
        <v>0</v>
      </c>
      <c r="J16" s="208">
        <f t="shared" si="3"/>
        <v>0</v>
      </c>
      <c r="K16" s="208">
        <f t="shared" si="3"/>
        <v>0</v>
      </c>
    </row>
    <row r="17" spans="1:11" ht="11.25" customHeight="1">
      <c r="A17" s="2016" t="str">
        <f>$A$5</f>
        <v>Insert description</v>
      </c>
      <c r="B17" s="351">
        <v>3</v>
      </c>
      <c r="C17" s="1708"/>
      <c r="D17" s="1708"/>
      <c r="E17" s="1730"/>
      <c r="F17" s="1731"/>
      <c r="G17" s="1708"/>
      <c r="H17" s="1711"/>
      <c r="I17" s="1732"/>
      <c r="J17" s="1708"/>
      <c r="K17" s="1730"/>
    </row>
    <row r="18" spans="1:11" ht="11.25" customHeight="1">
      <c r="A18" s="1989"/>
      <c r="B18" s="351"/>
      <c r="C18" s="1708"/>
      <c r="D18" s="1708"/>
      <c r="E18" s="1730"/>
      <c r="F18" s="1731"/>
      <c r="G18" s="1708"/>
      <c r="H18" s="1711"/>
      <c r="I18" s="1732"/>
      <c r="J18" s="1708"/>
      <c r="K18" s="1730"/>
    </row>
    <row r="19" spans="1:11" ht="11.25" customHeight="1">
      <c r="A19" s="1989"/>
      <c r="B19" s="351"/>
      <c r="C19" s="1708"/>
      <c r="D19" s="1708"/>
      <c r="E19" s="1730"/>
      <c r="F19" s="1731"/>
      <c r="G19" s="1708"/>
      <c r="H19" s="1711"/>
      <c r="I19" s="1732"/>
      <c r="J19" s="1708"/>
      <c r="K19" s="1730"/>
    </row>
    <row r="20" spans="1:11" ht="11.25" customHeight="1">
      <c r="A20" s="824" t="s">
        <v>658</v>
      </c>
      <c r="B20" s="825"/>
      <c r="C20" s="826">
        <f>SUM(C16)</f>
        <v>0</v>
      </c>
      <c r="D20" s="826">
        <f t="shared" ref="D20:K20" si="4">SUM(D16)</f>
        <v>0</v>
      </c>
      <c r="E20" s="827">
        <f t="shared" si="4"/>
        <v>0</v>
      </c>
      <c r="F20" s="828">
        <f t="shared" si="4"/>
        <v>0</v>
      </c>
      <c r="G20" s="826">
        <f t="shared" si="4"/>
        <v>0</v>
      </c>
      <c r="H20" s="829">
        <f t="shared" si="4"/>
        <v>0</v>
      </c>
      <c r="I20" s="830">
        <f t="shared" si="4"/>
        <v>0</v>
      </c>
      <c r="J20" s="826">
        <f t="shared" si="4"/>
        <v>0</v>
      </c>
      <c r="K20" s="827">
        <f t="shared" si="4"/>
        <v>0</v>
      </c>
    </row>
    <row r="21" spans="1:11">
      <c r="A21" s="831"/>
      <c r="B21" s="351"/>
      <c r="C21" s="208"/>
      <c r="D21" s="208"/>
      <c r="E21" s="265"/>
      <c r="F21" s="252"/>
      <c r="G21" s="208"/>
      <c r="H21" s="572"/>
      <c r="I21" s="211"/>
      <c r="J21" s="208"/>
      <c r="K21" s="265"/>
    </row>
    <row r="22" spans="1:11" ht="11.25" customHeight="1">
      <c r="A22" s="823" t="s">
        <v>1415</v>
      </c>
      <c r="B22" s="351"/>
      <c r="C22" s="208"/>
      <c r="D22" s="208"/>
      <c r="E22" s="265"/>
      <c r="F22" s="252"/>
      <c r="G22" s="208"/>
      <c r="H22" s="572"/>
      <c r="I22" s="211"/>
      <c r="J22" s="208"/>
      <c r="K22" s="265"/>
    </row>
    <row r="23" spans="1:11" ht="11.25" customHeight="1">
      <c r="A23" s="2016" t="str">
        <f>$A$5</f>
        <v>Insert description</v>
      </c>
      <c r="B23" s="351">
        <v>4</v>
      </c>
      <c r="C23" s="1708"/>
      <c r="D23" s="1708"/>
      <c r="E23" s="1730"/>
      <c r="F23" s="1731"/>
      <c r="G23" s="1708"/>
      <c r="H23" s="1711"/>
      <c r="I23" s="1732"/>
      <c r="J23" s="1708"/>
      <c r="K23" s="1730"/>
    </row>
    <row r="24" spans="1:11" ht="11.25" customHeight="1">
      <c r="A24" s="1989"/>
      <c r="B24" s="351"/>
      <c r="C24" s="1708"/>
      <c r="D24" s="1708"/>
      <c r="E24" s="1730"/>
      <c r="F24" s="1731"/>
      <c r="G24" s="1708"/>
      <c r="H24" s="1711"/>
      <c r="I24" s="1732"/>
      <c r="J24" s="1708"/>
      <c r="K24" s="1730"/>
    </row>
    <row r="25" spans="1:11" ht="11.25" customHeight="1">
      <c r="A25" s="1989"/>
      <c r="B25" s="351"/>
      <c r="C25" s="1708"/>
      <c r="D25" s="1708"/>
      <c r="E25" s="1730"/>
      <c r="F25" s="1731"/>
      <c r="G25" s="1708"/>
      <c r="H25" s="1711"/>
      <c r="I25" s="1732"/>
      <c r="J25" s="1708"/>
      <c r="K25" s="1730"/>
    </row>
    <row r="26" spans="1:11" ht="24.75" customHeight="1">
      <c r="A26" s="1661" t="s">
        <v>1416</v>
      </c>
      <c r="B26" s="825"/>
      <c r="C26" s="826">
        <f>SUM(C23:C25)</f>
        <v>0</v>
      </c>
      <c r="D26" s="826">
        <f t="shared" ref="D26:K26" si="5">SUM(D23:D25)</f>
        <v>0</v>
      </c>
      <c r="E26" s="827">
        <f t="shared" si="5"/>
        <v>0</v>
      </c>
      <c r="F26" s="828">
        <f t="shared" si="5"/>
        <v>0</v>
      </c>
      <c r="G26" s="826">
        <f t="shared" si="5"/>
        <v>0</v>
      </c>
      <c r="H26" s="829">
        <f t="shared" si="5"/>
        <v>0</v>
      </c>
      <c r="I26" s="830">
        <f t="shared" si="5"/>
        <v>0</v>
      </c>
      <c r="J26" s="826">
        <f t="shared" si="5"/>
        <v>0</v>
      </c>
      <c r="K26" s="827">
        <f t="shared" si="5"/>
        <v>0</v>
      </c>
    </row>
    <row r="27" spans="1:11" ht="6" customHeight="1">
      <c r="A27" s="831"/>
      <c r="B27" s="351"/>
      <c r="C27" s="208"/>
      <c r="D27" s="208"/>
      <c r="E27" s="265"/>
      <c r="F27" s="252"/>
      <c r="G27" s="208"/>
      <c r="H27" s="572"/>
      <c r="I27" s="211"/>
      <c r="J27" s="208"/>
      <c r="K27" s="265"/>
    </row>
    <row r="28" spans="1:11">
      <c r="A28" s="832" t="s">
        <v>321</v>
      </c>
      <c r="B28" s="353">
        <v>5</v>
      </c>
      <c r="C28" s="228">
        <f>C8+C14+C20+C26</f>
        <v>4300000</v>
      </c>
      <c r="D28" s="228">
        <f t="shared" ref="D28:K28" si="6">D8+D14+D20+D26</f>
        <v>0</v>
      </c>
      <c r="E28" s="354">
        <f t="shared" si="6"/>
        <v>2631579</v>
      </c>
      <c r="F28" s="355">
        <f t="shared" si="6"/>
        <v>4300000</v>
      </c>
      <c r="G28" s="228">
        <f t="shared" si="6"/>
        <v>4300000</v>
      </c>
      <c r="H28" s="833">
        <f t="shared" si="6"/>
        <v>4300000</v>
      </c>
      <c r="I28" s="227">
        <f t="shared" si="6"/>
        <v>4500000</v>
      </c>
      <c r="J28" s="228">
        <f t="shared" si="6"/>
        <v>4716000</v>
      </c>
      <c r="K28" s="354">
        <f t="shared" si="6"/>
        <v>4942368</v>
      </c>
    </row>
    <row r="29" spans="1:11">
      <c r="A29" s="236" t="str">
        <f>head27a</f>
        <v>References</v>
      </c>
      <c r="B29" s="237"/>
      <c r="C29" s="242"/>
      <c r="D29" s="242"/>
      <c r="E29" s="242"/>
      <c r="F29" s="242"/>
      <c r="G29" s="242"/>
      <c r="H29" s="242"/>
      <c r="I29" s="242"/>
      <c r="J29" s="242"/>
      <c r="K29" s="242"/>
    </row>
    <row r="30" spans="1:11" ht="11.25" customHeight="1">
      <c r="A30" s="243" t="s">
        <v>1465</v>
      </c>
    </row>
    <row r="31" spans="1:11" ht="11.25" customHeight="1">
      <c r="A31" s="243" t="s">
        <v>1418</v>
      </c>
    </row>
    <row r="32" spans="1:11" ht="11.25" customHeight="1">
      <c r="A32" s="243" t="s">
        <v>1527</v>
      </c>
    </row>
    <row r="33" spans="1:15" ht="11.25" customHeight="1">
      <c r="A33" s="243" t="s">
        <v>1887</v>
      </c>
    </row>
    <row r="34" spans="1:15" ht="11.25" customHeight="1">
      <c r="A34" s="243" t="s">
        <v>1755</v>
      </c>
    </row>
    <row r="35" spans="1:15" ht="11.25" customHeight="1"/>
    <row r="36" spans="1:15" ht="11.25" customHeight="1"/>
    <row r="37" spans="1:15" ht="11.25" customHeight="1">
      <c r="O37" s="373"/>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0"/>
  </sheetPr>
  <dimension ref="A1:AC312"/>
  <sheetViews>
    <sheetView workbookViewId="0">
      <pane xSplit="1" ySplit="1" topLeftCell="B2" activePane="bottomRight" state="frozen"/>
      <selection pane="topRight"/>
      <selection pane="bottomLeft"/>
      <selection pane="bottomRight"/>
    </sheetView>
  </sheetViews>
  <sheetFormatPr defaultRowHeight="11.25"/>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17.5703125" style="2" bestFit="1" customWidth="1"/>
    <col min="28" max="28" width="31.7109375" style="2" customWidth="1"/>
    <col min="29" max="29" width="23.140625" style="2" customWidth="1"/>
    <col min="30" max="16384" width="9.140625" style="2"/>
  </cols>
  <sheetData>
    <row r="1" spans="1:29" s="3" customFormat="1">
      <c r="A1" s="1035" t="s">
        <v>821</v>
      </c>
      <c r="B1" s="1036">
        <v>2007</v>
      </c>
      <c r="C1" s="1036">
        <v>2008</v>
      </c>
      <c r="D1" s="1036">
        <v>2009</v>
      </c>
      <c r="E1" s="1058">
        <v>2010</v>
      </c>
      <c r="F1" s="1058">
        <v>2011</v>
      </c>
      <c r="G1" s="1036">
        <v>2012</v>
      </c>
      <c r="H1" s="1058">
        <v>2013</v>
      </c>
      <c r="I1" s="1058">
        <v>2014</v>
      </c>
      <c r="J1" s="1058">
        <v>2015</v>
      </c>
      <c r="K1" s="1058">
        <v>2016</v>
      </c>
      <c r="L1" s="1058">
        <v>2017</v>
      </c>
      <c r="M1" s="1058">
        <v>2018</v>
      </c>
      <c r="N1" s="1058">
        <v>2019</v>
      </c>
      <c r="O1" s="1058">
        <v>2020</v>
      </c>
      <c r="P1" s="1059"/>
      <c r="Q1" s="1062" t="s">
        <v>161</v>
      </c>
      <c r="R1" s="1063"/>
      <c r="S1" s="1063"/>
      <c r="T1" s="1063"/>
      <c r="U1" s="1063"/>
      <c r="V1" s="1063"/>
      <c r="W1" s="1063"/>
      <c r="X1" s="1063"/>
      <c r="Y1" s="1208" t="s">
        <v>1736</v>
      </c>
      <c r="Z1" s="1208" t="s">
        <v>1737</v>
      </c>
      <c r="AA1" s="1208" t="s">
        <v>1739</v>
      </c>
      <c r="AB1" s="1208" t="s">
        <v>1738</v>
      </c>
      <c r="AC1" s="1208" t="s">
        <v>1333</v>
      </c>
    </row>
    <row r="2" spans="1:29">
      <c r="A2" s="10" t="str">
        <f>'Template names'!C2</f>
        <v>Prior year -1</v>
      </c>
      <c r="B2" s="6" t="s">
        <v>1143</v>
      </c>
      <c r="C2" s="6" t="s">
        <v>1411</v>
      </c>
      <c r="D2" s="6" t="s">
        <v>1196</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449</v>
      </c>
      <c r="R2" s="1061" t="s">
        <v>162</v>
      </c>
      <c r="S2" s="1061" t="s">
        <v>163</v>
      </c>
      <c r="T2" s="4" t="s">
        <v>165</v>
      </c>
      <c r="U2" s="13" t="s">
        <v>169</v>
      </c>
      <c r="V2" s="4" t="s">
        <v>449</v>
      </c>
      <c r="W2" s="21" t="s">
        <v>1176</v>
      </c>
      <c r="X2" s="21" t="s">
        <v>1846</v>
      </c>
      <c r="Z2" s="1" t="s">
        <v>2107</v>
      </c>
      <c r="AA2" s="1" t="s">
        <v>2108</v>
      </c>
      <c r="AB2" s="1" t="s">
        <v>2103</v>
      </c>
      <c r="AC2" s="1" t="s">
        <v>2096</v>
      </c>
    </row>
    <row r="3" spans="1:29">
      <c r="A3" s="10" t="str">
        <f>'Template names'!C3</f>
        <v>Prior year -2</v>
      </c>
      <c r="B3" s="6" t="s">
        <v>1144</v>
      </c>
      <c r="C3" s="6" t="s">
        <v>1143</v>
      </c>
      <c r="D3" s="6" t="s">
        <v>1411</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889</v>
      </c>
      <c r="R3" s="4">
        <v>1</v>
      </c>
      <c r="S3" s="4">
        <v>4</v>
      </c>
      <c r="T3" s="4" t="s">
        <v>166</v>
      </c>
      <c r="U3" s="13" t="s">
        <v>167</v>
      </c>
      <c r="V3" s="22" t="s">
        <v>889</v>
      </c>
      <c r="W3" s="22" t="s">
        <v>1843</v>
      </c>
      <c r="X3" s="22" t="s">
        <v>1847</v>
      </c>
      <c r="Z3" s="1" t="s">
        <v>2106</v>
      </c>
      <c r="AA3" s="1" t="s">
        <v>2109</v>
      </c>
      <c r="AB3" s="1" t="s">
        <v>2102</v>
      </c>
      <c r="AC3" s="1" t="s">
        <v>2097</v>
      </c>
    </row>
    <row r="4" spans="1:29">
      <c r="A4" s="10" t="str">
        <f>'Template names'!C4</f>
        <v>Prior year -3</v>
      </c>
      <c r="B4" s="6" t="s">
        <v>1145</v>
      </c>
      <c r="C4" s="6" t="s">
        <v>1144</v>
      </c>
      <c r="D4" s="6" t="s">
        <v>1143</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301</v>
      </c>
      <c r="U4" s="14" t="s">
        <v>301</v>
      </c>
      <c r="V4" s="23"/>
      <c r="Z4" s="1" t="s">
        <v>2105</v>
      </c>
      <c r="AA4" s="1" t="s">
        <v>1873</v>
      </c>
      <c r="AB4" s="1" t="s">
        <v>2091</v>
      </c>
      <c r="AC4" s="1" t="s">
        <v>1957</v>
      </c>
    </row>
    <row r="5" spans="1:29">
      <c r="A5" s="10" t="str">
        <f>'Template names'!C5</f>
        <v>Year in which budget is being prepared</v>
      </c>
      <c r="B5" s="6" t="s">
        <v>427</v>
      </c>
      <c r="C5" s="6" t="s">
        <v>1195</v>
      </c>
      <c r="D5" s="6" t="s">
        <v>1203</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2104</v>
      </c>
      <c r="AA5" s="1" t="s">
        <v>2101</v>
      </c>
      <c r="AB5" s="1" t="s">
        <v>2093</v>
      </c>
      <c r="AC5" s="1" t="s">
        <v>2098</v>
      </c>
    </row>
    <row r="6" spans="1:29">
      <c r="A6" s="10" t="str">
        <f>'Template names'!C6</f>
        <v>Year in which budget is being prepared</v>
      </c>
      <c r="B6" s="6" t="s">
        <v>1411</v>
      </c>
      <c r="C6" s="6" t="s">
        <v>1196</v>
      </c>
      <c r="D6" s="6" t="s">
        <v>1204</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60" t="s">
        <v>1175</v>
      </c>
      <c r="Z6" s="2" t="s">
        <v>2084</v>
      </c>
      <c r="AB6" s="1" t="s">
        <v>2092</v>
      </c>
      <c r="AC6" s="1" t="s">
        <v>2099</v>
      </c>
    </row>
    <row r="7" spans="1:29">
      <c r="A7" s="10" t="str">
        <f>'Template names'!C7</f>
        <v>MTREF name</v>
      </c>
      <c r="B7" s="6" t="s">
        <v>860</v>
      </c>
      <c r="C7" s="6" t="s">
        <v>861</v>
      </c>
      <c r="D7" s="6" t="s">
        <v>862</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164</v>
      </c>
      <c r="Z7" s="2" t="s">
        <v>2085</v>
      </c>
      <c r="AB7" s="1" t="s">
        <v>2089</v>
      </c>
      <c r="AC7" s="1" t="s">
        <v>2100</v>
      </c>
    </row>
    <row r="8" spans="1:29">
      <c r="A8" s="10" t="str">
        <f>'Template names'!C15</f>
        <v>1st year of MTREF</v>
      </c>
      <c r="B8" s="6" t="s">
        <v>1776</v>
      </c>
      <c r="C8" s="6" t="s">
        <v>1197</v>
      </c>
      <c r="D8" s="6" t="s">
        <v>1205</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1174</v>
      </c>
      <c r="Z8" s="2" t="s">
        <v>2086</v>
      </c>
      <c r="AB8" s="1" t="s">
        <v>2090</v>
      </c>
      <c r="AC8" s="1" t="s">
        <v>2101</v>
      </c>
    </row>
    <row r="9" spans="1:29">
      <c r="A9" s="10" t="str">
        <f>'Template names'!C16</f>
        <v>2nd year of MTREF</v>
      </c>
      <c r="B9" s="6" t="s">
        <v>1777</v>
      </c>
      <c r="C9" s="6" t="s">
        <v>1198</v>
      </c>
      <c r="D9" s="6" t="s">
        <v>1502</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2087</v>
      </c>
    </row>
    <row r="10" spans="1:29">
      <c r="A10" s="10" t="str">
        <f>'Template names'!C17</f>
        <v>3rd year of MTREF</v>
      </c>
      <c r="B10" s="6" t="s">
        <v>1778</v>
      </c>
      <c r="C10" s="6" t="s">
        <v>1199</v>
      </c>
      <c r="D10" s="6" t="s">
        <v>1503</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2088</v>
      </c>
    </row>
    <row r="11" spans="1:29">
      <c r="A11" s="10" t="str">
        <f>'Template names'!C18</f>
        <v>1st yr of long term forecast</v>
      </c>
      <c r="B11" s="6" t="s">
        <v>1869</v>
      </c>
      <c r="C11" s="6" t="s">
        <v>1870</v>
      </c>
      <c r="D11" s="6" t="s">
        <v>1871</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2094</v>
      </c>
    </row>
    <row r="12" spans="1:29">
      <c r="A12" s="10" t="str">
        <f>'Template names'!C19</f>
        <v>Next yr of long term forecast</v>
      </c>
      <c r="B12" s="6" t="s">
        <v>1870</v>
      </c>
      <c r="C12" s="6" t="s">
        <v>1871</v>
      </c>
      <c r="D12" s="6" t="s">
        <v>1872</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2095</v>
      </c>
    </row>
    <row r="13" spans="1:29">
      <c r="A13" s="10" t="str">
        <f>'Template names'!C20</f>
        <v>Next yr of long term forecast</v>
      </c>
      <c r="B13" s="6" t="s">
        <v>1871</v>
      </c>
      <c r="C13" s="6" t="s">
        <v>1872</v>
      </c>
      <c r="D13" s="6" t="s">
        <v>988</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c r="A14" s="10" t="str">
        <f>'Template names'!C21</f>
        <v>Next yr of long term forecast</v>
      </c>
      <c r="B14" s="6" t="s">
        <v>1872</v>
      </c>
      <c r="C14" s="6" t="s">
        <v>988</v>
      </c>
      <c r="D14" s="6" t="s">
        <v>989</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row>
    <row r="15" spans="1:29">
      <c r="A15" s="10" t="str">
        <f>'Template names'!C22</f>
        <v>Next yr of long term forecast</v>
      </c>
      <c r="B15" s="6" t="s">
        <v>988</v>
      </c>
      <c r="C15" s="6" t="s">
        <v>989</v>
      </c>
      <c r="D15" s="6" t="s">
        <v>990</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c r="A16" s="10" t="str">
        <f>'Template names'!C23</f>
        <v>Next yr of long term forecast</v>
      </c>
      <c r="B16" s="6" t="s">
        <v>989</v>
      </c>
      <c r="C16" s="6" t="s">
        <v>990</v>
      </c>
      <c r="D16" s="6" t="s">
        <v>991</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row>
    <row r="17" spans="1:16">
      <c r="A17" s="10" t="str">
        <f>'Template names'!C24</f>
        <v>Next yr of long term forecast</v>
      </c>
      <c r="B17" s="6" t="s">
        <v>990</v>
      </c>
      <c r="C17" s="6" t="s">
        <v>991</v>
      </c>
      <c r="D17" s="6" t="s">
        <v>1694</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row>
    <row r="18" spans="1:16">
      <c r="A18" s="10" t="str">
        <f>'Template names'!C25</f>
        <v>Next yr of long term forecast</v>
      </c>
      <c r="B18" s="6" t="s">
        <v>991</v>
      </c>
      <c r="C18" s="6" t="s">
        <v>1694</v>
      </c>
      <c r="D18" s="6" t="s">
        <v>1693</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row>
    <row r="19" spans="1:16">
      <c r="A19" s="10" t="str">
        <f>'Template names'!C26</f>
        <v>Next yr of long term forecast</v>
      </c>
      <c r="B19" s="6" t="s">
        <v>1694</v>
      </c>
      <c r="C19" s="6" t="s">
        <v>1693</v>
      </c>
      <c r="D19" s="6" t="s">
        <v>992</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row>
    <row r="20" spans="1:16">
      <c r="A20" s="10" t="str">
        <f>'Template names'!C27</f>
        <v>Next yr of long term forecast</v>
      </c>
      <c r="B20" s="6" t="s">
        <v>1693</v>
      </c>
      <c r="C20" s="6" t="s">
        <v>992</v>
      </c>
      <c r="D20" s="6" t="s">
        <v>1775</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row>
    <row r="21" spans="1:16">
      <c r="A21" s="10" t="str">
        <f>'Template names'!C28</f>
        <v>Next yr of long term forecast</v>
      </c>
      <c r="B21" s="6" t="s">
        <v>992</v>
      </c>
      <c r="C21" s="6" t="s">
        <v>1775</v>
      </c>
      <c r="D21" s="6" t="s">
        <v>1200</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row>
    <row r="22" spans="1:16">
      <c r="A22" s="10" t="str">
        <f>'Template names'!C29</f>
        <v>Next yr of long term forecast</v>
      </c>
      <c r="B22" s="6" t="s">
        <v>1775</v>
      </c>
      <c r="C22" s="6" t="s">
        <v>1200</v>
      </c>
      <c r="D22" s="6" t="s">
        <v>1504</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row>
    <row r="23" spans="1:16">
      <c r="A23" s="10" t="s">
        <v>1507</v>
      </c>
      <c r="B23" s="6" t="s">
        <v>1895</v>
      </c>
      <c r="C23" s="6" t="s">
        <v>1201</v>
      </c>
      <c r="D23" s="6" t="s">
        <v>1505</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row>
    <row r="24" spans="1:16">
      <c r="A24" s="11" t="str">
        <f>A23</f>
        <v>Adjustments Budget</v>
      </c>
      <c r="B24" s="19" t="s">
        <v>1896</v>
      </c>
      <c r="C24" s="19" t="s">
        <v>1202</v>
      </c>
      <c r="D24" s="19" t="s">
        <v>1506</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row>
    <row r="25" spans="1:16" ht="18">
      <c r="A25" s="1049" t="s">
        <v>573</v>
      </c>
    </row>
    <row r="27" spans="1:16" ht="12.75">
      <c r="A27" s="1604" t="s">
        <v>93</v>
      </c>
      <c r="B27" s="1604">
        <v>130</v>
      </c>
      <c r="C27" s="1604"/>
      <c r="D27" s="1604"/>
    </row>
    <row r="28" spans="1:16" ht="12.75">
      <c r="A28" s="1604" t="s">
        <v>92</v>
      </c>
      <c r="B28" s="1604" t="str">
        <f>INDEX(B29:B312,B27,1)</f>
        <v>KZN225 Msunduzi</v>
      </c>
      <c r="C28" s="1604"/>
      <c r="D28" s="1604"/>
    </row>
    <row r="29" spans="1:16" ht="12.75">
      <c r="A29" s="1604"/>
      <c r="B29" s="1604" t="s">
        <v>91</v>
      </c>
      <c r="C29" s="1604" t="s">
        <v>784</v>
      </c>
      <c r="D29" s="1604"/>
    </row>
    <row r="30" spans="1:16" ht="12.75">
      <c r="A30" s="1604"/>
      <c r="B30" s="2086" t="s">
        <v>1116</v>
      </c>
      <c r="C30" s="1498" t="s">
        <v>1117</v>
      </c>
      <c r="D30" s="1604"/>
    </row>
    <row r="31" spans="1:16" ht="12.75">
      <c r="A31" s="1604"/>
      <c r="B31" s="2086" t="s">
        <v>1118</v>
      </c>
      <c r="C31" s="1503" t="s">
        <v>117</v>
      </c>
      <c r="D31" s="1604"/>
    </row>
    <row r="32" spans="1:16" ht="12.75">
      <c r="A32" s="1604"/>
      <c r="B32" s="2086" t="s">
        <v>1921</v>
      </c>
      <c r="C32" s="1498" t="s">
        <v>117</v>
      </c>
      <c r="D32" s="1604"/>
    </row>
    <row r="33" spans="1:4" ht="12.75">
      <c r="A33" s="1604"/>
      <c r="B33" s="2086" t="s">
        <v>1907</v>
      </c>
      <c r="C33" s="1498" t="s">
        <v>117</v>
      </c>
      <c r="D33" s="1604"/>
    </row>
    <row r="34" spans="1:4" ht="12.75">
      <c r="A34" s="1604"/>
      <c r="B34" s="2086" t="s">
        <v>2064</v>
      </c>
      <c r="C34" s="1498" t="s">
        <v>117</v>
      </c>
      <c r="D34" s="1604"/>
    </row>
    <row r="35" spans="1:4" ht="12.75">
      <c r="A35" s="1604"/>
      <c r="B35" s="2086" t="s">
        <v>1909</v>
      </c>
      <c r="C35" s="1498" t="s">
        <v>117</v>
      </c>
      <c r="D35" s="1604"/>
    </row>
    <row r="36" spans="1:4" ht="12.75">
      <c r="A36" s="1604"/>
      <c r="B36" s="2086" t="s">
        <v>1910</v>
      </c>
      <c r="C36" s="1498" t="s">
        <v>1911</v>
      </c>
      <c r="D36" s="1604"/>
    </row>
    <row r="37" spans="1:4" ht="12.75">
      <c r="A37" s="1604"/>
      <c r="B37" s="2086" t="s">
        <v>1913</v>
      </c>
      <c r="C37" s="1503" t="s">
        <v>1911</v>
      </c>
      <c r="D37" s="1604"/>
    </row>
    <row r="38" spans="1:4" ht="12.75">
      <c r="A38" s="1604"/>
      <c r="B38" s="2086" t="s">
        <v>1915</v>
      </c>
      <c r="C38" s="1498" t="s">
        <v>1911</v>
      </c>
      <c r="D38" s="1604"/>
    </row>
    <row r="39" spans="1:4" ht="12.75">
      <c r="A39" s="1604"/>
      <c r="B39" s="2086" t="s">
        <v>1917</v>
      </c>
      <c r="C39" s="2087" t="s">
        <v>1911</v>
      </c>
      <c r="D39" s="1604"/>
    </row>
    <row r="40" spans="1:4" ht="12.75">
      <c r="A40" s="1604"/>
      <c r="B40" s="2086" t="s">
        <v>2065</v>
      </c>
      <c r="C40" s="2087" t="s">
        <v>1117</v>
      </c>
      <c r="D40" s="1604"/>
    </row>
    <row r="41" spans="1:4" ht="12.75">
      <c r="A41" s="1604"/>
      <c r="B41" s="2086" t="s">
        <v>1920</v>
      </c>
      <c r="C41" s="2087" t="s">
        <v>1911</v>
      </c>
      <c r="D41" s="1604"/>
    </row>
    <row r="42" spans="1:4" ht="12.75">
      <c r="A42" s="1604"/>
      <c r="B42" s="2086" t="s">
        <v>1228</v>
      </c>
      <c r="C42" s="2088" t="s">
        <v>2066</v>
      </c>
      <c r="D42" s="1604"/>
    </row>
    <row r="43" spans="1:4" ht="12.75">
      <c r="A43" s="1604"/>
      <c r="B43" s="2086" t="s">
        <v>1230</v>
      </c>
      <c r="C43" s="2088" t="s">
        <v>2066</v>
      </c>
      <c r="D43" s="1604"/>
    </row>
    <row r="44" spans="1:4" ht="12.75">
      <c r="A44" s="1604"/>
      <c r="B44" s="2086" t="s">
        <v>1232</v>
      </c>
      <c r="C44" s="2088" t="s">
        <v>2066</v>
      </c>
      <c r="D44" s="1604"/>
    </row>
    <row r="45" spans="1:4" ht="12.75">
      <c r="A45" s="1604"/>
      <c r="B45" s="2086" t="s">
        <v>1233</v>
      </c>
      <c r="C45" s="2088" t="s">
        <v>2066</v>
      </c>
      <c r="D45" s="1604"/>
    </row>
    <row r="46" spans="1:4" ht="12.75">
      <c r="A46" s="1604"/>
      <c r="B46" s="2086" t="s">
        <v>1234</v>
      </c>
      <c r="C46" s="2088" t="s">
        <v>2066</v>
      </c>
      <c r="D46" s="1604"/>
    </row>
    <row r="47" spans="1:4" ht="12.75">
      <c r="A47" s="1604"/>
      <c r="B47" s="2086" t="s">
        <v>1236</v>
      </c>
      <c r="C47" s="2088" t="s">
        <v>2066</v>
      </c>
      <c r="D47" s="1604"/>
    </row>
    <row r="48" spans="1:4" ht="12.75">
      <c r="A48" s="1604"/>
      <c r="B48" s="2086" t="s">
        <v>1238</v>
      </c>
      <c r="C48" s="2088" t="s">
        <v>2066</v>
      </c>
      <c r="D48" s="1604"/>
    </row>
    <row r="49" spans="1:4" ht="12.75">
      <c r="A49" s="1604"/>
      <c r="B49" s="2086" t="s">
        <v>1240</v>
      </c>
      <c r="C49" s="2088" t="s">
        <v>2066</v>
      </c>
      <c r="D49" s="1604"/>
    </row>
    <row r="50" spans="1:4" ht="12.75">
      <c r="A50" s="1604"/>
      <c r="B50" s="2086" t="s">
        <v>1244</v>
      </c>
      <c r="C50" s="2088" t="s">
        <v>2066</v>
      </c>
      <c r="D50" s="1604"/>
    </row>
    <row r="51" spans="1:4" ht="12.75">
      <c r="A51" s="1604"/>
      <c r="B51" s="2086" t="s">
        <v>1246</v>
      </c>
      <c r="C51" s="2087" t="s">
        <v>1117</v>
      </c>
      <c r="D51" s="1604"/>
    </row>
    <row r="52" spans="1:4" ht="12.75">
      <c r="A52" s="1604"/>
      <c r="B52" s="2086" t="s">
        <v>1247</v>
      </c>
      <c r="C52" s="2087" t="s">
        <v>1248</v>
      </c>
      <c r="D52" s="1604"/>
    </row>
    <row r="53" spans="1:4" ht="12.75">
      <c r="A53" s="1604"/>
      <c r="B53" s="2086" t="s">
        <v>1250</v>
      </c>
      <c r="C53" s="2087" t="s">
        <v>1248</v>
      </c>
      <c r="D53" s="1604"/>
    </row>
    <row r="54" spans="1:4" ht="12.75">
      <c r="A54" s="1604"/>
      <c r="B54" s="2086" t="s">
        <v>1251</v>
      </c>
      <c r="C54" s="2087" t="s">
        <v>1248</v>
      </c>
      <c r="D54" s="1604"/>
    </row>
    <row r="55" spans="1:4" ht="12.75">
      <c r="A55" s="1604"/>
      <c r="B55" s="2086" t="s">
        <v>1253</v>
      </c>
      <c r="C55" s="2087" t="s">
        <v>1254</v>
      </c>
      <c r="D55" s="1604"/>
    </row>
    <row r="56" spans="1:4" ht="12.75">
      <c r="A56" s="1604"/>
      <c r="B56" s="2086" t="s">
        <v>1257</v>
      </c>
      <c r="C56" s="2087" t="s">
        <v>1254</v>
      </c>
      <c r="D56" s="1604"/>
    </row>
    <row r="57" spans="1:4" ht="12.75">
      <c r="A57" s="1604"/>
      <c r="B57" s="2086" t="s">
        <v>1258</v>
      </c>
      <c r="C57" s="1497" t="s">
        <v>1254</v>
      </c>
      <c r="D57" s="1604"/>
    </row>
    <row r="58" spans="1:4" ht="12.75">
      <c r="A58" s="1604"/>
      <c r="B58" s="2086" t="s">
        <v>1259</v>
      </c>
      <c r="C58" s="1529" t="s">
        <v>1254</v>
      </c>
      <c r="D58" s="1604"/>
    </row>
    <row r="59" spans="1:4" ht="12.75">
      <c r="A59" s="1604"/>
      <c r="B59" s="2086" t="s">
        <v>1260</v>
      </c>
      <c r="C59" s="1529" t="s">
        <v>1261</v>
      </c>
      <c r="D59" s="1604"/>
    </row>
    <row r="60" spans="1:4" ht="12.75">
      <c r="A60" s="1604"/>
      <c r="B60" s="2086" t="s">
        <v>1262</v>
      </c>
      <c r="C60" s="2087" t="s">
        <v>1261</v>
      </c>
      <c r="D60" s="1604"/>
    </row>
    <row r="61" spans="1:4" ht="25.5">
      <c r="A61" s="1604"/>
      <c r="B61" s="2086" t="s">
        <v>1922</v>
      </c>
      <c r="C61" s="2087" t="s">
        <v>1261</v>
      </c>
      <c r="D61" s="1604"/>
    </row>
    <row r="62" spans="1:4" ht="12.75">
      <c r="A62" s="1604"/>
      <c r="B62" s="2086" t="s">
        <v>1265</v>
      </c>
      <c r="C62" s="2087" t="s">
        <v>1117</v>
      </c>
      <c r="D62" s="1604"/>
    </row>
    <row r="63" spans="1:4" ht="12.75">
      <c r="A63" s="1604"/>
      <c r="B63" s="2086" t="s">
        <v>1923</v>
      </c>
      <c r="C63" s="2087" t="s">
        <v>1261</v>
      </c>
      <c r="D63" s="1604"/>
    </row>
    <row r="64" spans="1:4" ht="12.75">
      <c r="A64" s="1604"/>
      <c r="B64" s="2086" t="s">
        <v>1272</v>
      </c>
      <c r="C64" s="2087" t="s">
        <v>1273</v>
      </c>
      <c r="D64" s="1604"/>
    </row>
    <row r="65" spans="1:4" ht="12.75">
      <c r="A65" s="1604"/>
      <c r="B65" s="2086" t="s">
        <v>1274</v>
      </c>
      <c r="C65" s="2088" t="s">
        <v>2066</v>
      </c>
      <c r="D65" s="1604"/>
    </row>
    <row r="66" spans="1:4" ht="12.75">
      <c r="A66" s="1604"/>
      <c r="B66" s="2086" t="s">
        <v>517</v>
      </c>
      <c r="C66" s="2087" t="s">
        <v>117</v>
      </c>
      <c r="D66" s="1604"/>
    </row>
    <row r="67" spans="1:4" ht="12.75">
      <c r="A67" s="1604"/>
      <c r="B67" s="2086" t="s">
        <v>2067</v>
      </c>
      <c r="C67" s="2087" t="s">
        <v>1278</v>
      </c>
      <c r="D67" s="1604"/>
    </row>
    <row r="68" spans="1:4" ht="12.75">
      <c r="A68" s="1604"/>
      <c r="B68" s="2086" t="s">
        <v>518</v>
      </c>
      <c r="C68" s="2087" t="s">
        <v>1273</v>
      </c>
      <c r="D68" s="1604"/>
    </row>
    <row r="69" spans="1:4" ht="12.75">
      <c r="A69" s="1604"/>
      <c r="B69" s="2086" t="s">
        <v>519</v>
      </c>
      <c r="C69" s="2087" t="s">
        <v>1254</v>
      </c>
      <c r="D69" s="1604"/>
    </row>
    <row r="70" spans="1:4" ht="12.75">
      <c r="A70" s="1604"/>
      <c r="B70" s="2086" t="s">
        <v>1275</v>
      </c>
      <c r="C70" s="2087" t="s">
        <v>1273</v>
      </c>
      <c r="D70" s="1604"/>
    </row>
    <row r="71" spans="1:4" ht="12.75">
      <c r="A71" s="1604"/>
      <c r="B71" s="2086" t="s">
        <v>1276</v>
      </c>
      <c r="C71" s="2087" t="s">
        <v>1117</v>
      </c>
      <c r="D71" s="1604"/>
    </row>
    <row r="72" spans="1:4" ht="12.75">
      <c r="A72" s="1604"/>
      <c r="B72" s="2086" t="s">
        <v>1277</v>
      </c>
      <c r="C72" s="2087" t="s">
        <v>1278</v>
      </c>
      <c r="D72" s="1604"/>
    </row>
    <row r="73" spans="1:4" ht="12.75">
      <c r="A73" s="1604"/>
      <c r="B73" s="2086" t="s">
        <v>2068</v>
      </c>
      <c r="C73" s="2087" t="s">
        <v>1278</v>
      </c>
      <c r="D73" s="1604"/>
    </row>
    <row r="74" spans="1:4" ht="12.75">
      <c r="A74" s="1604"/>
      <c r="B74" s="2086" t="s">
        <v>1279</v>
      </c>
      <c r="C74" s="2087" t="s">
        <v>1278</v>
      </c>
      <c r="D74" s="1604"/>
    </row>
    <row r="75" spans="1:4" ht="12.75">
      <c r="A75" s="1604"/>
      <c r="B75" s="2086" t="s">
        <v>1280</v>
      </c>
      <c r="C75" s="2087" t="s">
        <v>1278</v>
      </c>
      <c r="D75" s="1604"/>
    </row>
    <row r="76" spans="1:4" ht="12.75">
      <c r="A76" s="1604"/>
      <c r="B76" s="2086" t="s">
        <v>1281</v>
      </c>
      <c r="C76" s="2087" t="s">
        <v>117</v>
      </c>
      <c r="D76" s="1604"/>
    </row>
    <row r="77" spans="1:4" ht="12.75">
      <c r="A77" s="1604"/>
      <c r="B77" s="2086" t="s">
        <v>1282</v>
      </c>
      <c r="C77" s="2087" t="s">
        <v>117</v>
      </c>
      <c r="D77" s="1604"/>
    </row>
    <row r="78" spans="1:4" ht="12.75">
      <c r="A78" s="1604"/>
      <c r="B78" s="2086" t="s">
        <v>1283</v>
      </c>
      <c r="C78" s="2087" t="s">
        <v>117</v>
      </c>
      <c r="D78" s="1604"/>
    </row>
    <row r="79" spans="1:4" ht="12.75">
      <c r="A79" s="1604"/>
      <c r="B79" s="2086" t="s">
        <v>1284</v>
      </c>
      <c r="C79" s="2087" t="s">
        <v>117</v>
      </c>
      <c r="D79" s="1604"/>
    </row>
    <row r="80" spans="1:4" ht="12.75">
      <c r="A80" s="1604"/>
      <c r="B80" s="2086" t="s">
        <v>1285</v>
      </c>
      <c r="C80" s="2087" t="s">
        <v>117</v>
      </c>
      <c r="D80" s="1604"/>
    </row>
    <row r="81" spans="1:4" ht="12.75">
      <c r="A81" s="1604"/>
      <c r="B81" s="2086" t="s">
        <v>1286</v>
      </c>
      <c r="C81" s="2087" t="s">
        <v>117</v>
      </c>
      <c r="D81" s="1604"/>
    </row>
    <row r="82" spans="1:4" ht="12.75">
      <c r="A82" s="1604"/>
      <c r="B82" s="2086" t="s">
        <v>1287</v>
      </c>
      <c r="C82" s="2087" t="s">
        <v>117</v>
      </c>
      <c r="D82" s="1604"/>
    </row>
    <row r="83" spans="1:4" ht="12.75">
      <c r="A83" s="1604"/>
      <c r="B83" s="2086" t="s">
        <v>1288</v>
      </c>
      <c r="C83" s="2087" t="s">
        <v>117</v>
      </c>
      <c r="D83" s="1604"/>
    </row>
    <row r="84" spans="1:4" ht="12.75">
      <c r="A84" s="1604"/>
      <c r="B84" s="2086" t="s">
        <v>1289</v>
      </c>
      <c r="C84" s="2087" t="s">
        <v>117</v>
      </c>
      <c r="D84" s="1604"/>
    </row>
    <row r="85" spans="1:4" ht="12.75">
      <c r="A85" s="1604"/>
      <c r="B85" s="2086" t="s">
        <v>2069</v>
      </c>
      <c r="C85" s="2087" t="s">
        <v>117</v>
      </c>
      <c r="D85" s="1604"/>
    </row>
    <row r="86" spans="1:4" ht="12.75">
      <c r="A86" s="1604"/>
      <c r="B86" s="2086" t="s">
        <v>1290</v>
      </c>
      <c r="C86" s="2087" t="s">
        <v>117</v>
      </c>
      <c r="D86" s="1604"/>
    </row>
    <row r="87" spans="1:4" ht="12.75">
      <c r="A87" s="1604"/>
      <c r="B87" s="2086" t="s">
        <v>1291</v>
      </c>
      <c r="C87" s="2087" t="s">
        <v>117</v>
      </c>
      <c r="D87" s="1604"/>
    </row>
    <row r="88" spans="1:4" ht="12.75">
      <c r="A88" s="1604"/>
      <c r="B88" s="2086" t="s">
        <v>1292</v>
      </c>
      <c r="C88" s="2087" t="s">
        <v>117</v>
      </c>
      <c r="D88" s="1604"/>
    </row>
    <row r="89" spans="1:4" ht="12.75">
      <c r="A89" s="1604"/>
      <c r="B89" s="2086" t="s">
        <v>1293</v>
      </c>
      <c r="C89" s="2087" t="s">
        <v>117</v>
      </c>
      <c r="D89" s="1604"/>
    </row>
    <row r="90" spans="1:4" ht="12.75">
      <c r="A90" s="1604"/>
      <c r="B90" s="2086" t="s">
        <v>1294</v>
      </c>
      <c r="C90" s="2087" t="s">
        <v>117</v>
      </c>
      <c r="D90" s="1604"/>
    </row>
    <row r="91" spans="1:4" ht="12.75">
      <c r="A91" s="1604"/>
      <c r="B91" s="2086" t="s">
        <v>1295</v>
      </c>
      <c r="C91" s="2087" t="s">
        <v>117</v>
      </c>
      <c r="D91" s="1604"/>
    </row>
    <row r="92" spans="1:4" ht="12.75">
      <c r="A92" s="1604"/>
      <c r="B92" s="2086" t="s">
        <v>1296</v>
      </c>
      <c r="C92" s="2087" t="s">
        <v>117</v>
      </c>
      <c r="D92" s="1604"/>
    </row>
    <row r="93" spans="1:4" ht="12.75">
      <c r="A93" s="1604"/>
      <c r="B93" s="2086" t="s">
        <v>1297</v>
      </c>
      <c r="C93" s="2087" t="s">
        <v>117</v>
      </c>
      <c r="D93" s="1604"/>
    </row>
    <row r="94" spans="1:4" ht="12.75">
      <c r="A94" s="1604"/>
      <c r="B94" s="2086" t="s">
        <v>1298</v>
      </c>
      <c r="C94" s="2087" t="s">
        <v>117</v>
      </c>
      <c r="D94" s="1604"/>
    </row>
    <row r="95" spans="1:4" ht="12.75">
      <c r="A95" s="1604"/>
      <c r="B95" s="2086" t="s">
        <v>1299</v>
      </c>
      <c r="C95" s="2087" t="s">
        <v>117</v>
      </c>
      <c r="D95" s="1604"/>
    </row>
    <row r="96" spans="1:4" ht="12.75">
      <c r="A96" s="1604"/>
      <c r="B96" s="2086" t="s">
        <v>1300</v>
      </c>
      <c r="C96" s="2087" t="s">
        <v>117</v>
      </c>
      <c r="D96" s="1604"/>
    </row>
    <row r="97" spans="1:4" ht="12.75">
      <c r="A97" s="1604"/>
      <c r="B97" s="2086" t="s">
        <v>187</v>
      </c>
      <c r="C97" s="2087" t="s">
        <v>117</v>
      </c>
      <c r="D97" s="1604"/>
    </row>
    <row r="98" spans="1:4" ht="12.75">
      <c r="A98" s="1604"/>
      <c r="B98" s="2086" t="s">
        <v>188</v>
      </c>
      <c r="C98" s="2087" t="s">
        <v>117</v>
      </c>
      <c r="D98" s="1604"/>
    </row>
    <row r="99" spans="1:4" ht="12.75">
      <c r="A99" s="1604"/>
      <c r="B99" s="2086" t="s">
        <v>189</v>
      </c>
      <c r="C99" s="2087" t="s">
        <v>117</v>
      </c>
      <c r="D99" s="1604"/>
    </row>
    <row r="100" spans="1:4" ht="12.75">
      <c r="A100" s="1604"/>
      <c r="B100" s="2086" t="s">
        <v>190</v>
      </c>
      <c r="C100" s="2087" t="s">
        <v>117</v>
      </c>
      <c r="D100" s="1604"/>
    </row>
    <row r="101" spans="1:4" ht="12.75">
      <c r="A101" s="1604"/>
      <c r="B101" s="2086" t="s">
        <v>191</v>
      </c>
      <c r="C101" s="2087" t="s">
        <v>117</v>
      </c>
      <c r="D101" s="1604"/>
    </row>
    <row r="102" spans="1:4" ht="12.75">
      <c r="A102" s="1604"/>
      <c r="B102" s="2086" t="s">
        <v>192</v>
      </c>
      <c r="C102" s="2087" t="s">
        <v>117</v>
      </c>
      <c r="D102" s="1604"/>
    </row>
    <row r="103" spans="1:4" ht="12.75">
      <c r="A103" s="1604"/>
      <c r="B103" s="2086" t="s">
        <v>193</v>
      </c>
      <c r="C103" s="2087" t="s">
        <v>117</v>
      </c>
      <c r="D103" s="1604"/>
    </row>
    <row r="104" spans="1:4" ht="12.75">
      <c r="A104" s="1604"/>
      <c r="B104" s="2086" t="s">
        <v>194</v>
      </c>
      <c r="C104" s="2087" t="s">
        <v>117</v>
      </c>
      <c r="D104" s="1604"/>
    </row>
    <row r="105" spans="1:4" ht="12.75">
      <c r="A105" s="1604"/>
      <c r="B105" s="2086" t="s">
        <v>920</v>
      </c>
      <c r="C105" s="2087" t="s">
        <v>117</v>
      </c>
      <c r="D105" s="1604"/>
    </row>
    <row r="106" spans="1:4" ht="12.75">
      <c r="A106" s="1604"/>
      <c r="B106" s="2086" t="s">
        <v>921</v>
      </c>
      <c r="C106" s="2087" t="s">
        <v>117</v>
      </c>
      <c r="D106" s="1604"/>
    </row>
    <row r="107" spans="1:4" ht="12.75">
      <c r="A107" s="1604"/>
      <c r="B107" s="2086" t="s">
        <v>922</v>
      </c>
      <c r="C107" s="2087" t="s">
        <v>117</v>
      </c>
      <c r="D107" s="1604"/>
    </row>
    <row r="108" spans="1:4" ht="12.75">
      <c r="A108" s="1604"/>
      <c r="B108" s="2086" t="s">
        <v>1924</v>
      </c>
      <c r="C108" s="2087" t="s">
        <v>117</v>
      </c>
      <c r="D108" s="1604"/>
    </row>
    <row r="109" spans="1:4" ht="12.75">
      <c r="A109" s="1604"/>
      <c r="B109" s="2086" t="s">
        <v>923</v>
      </c>
      <c r="C109" s="2087" t="s">
        <v>117</v>
      </c>
      <c r="D109" s="1604"/>
    </row>
    <row r="110" spans="1:4" ht="12.75">
      <c r="A110" s="1604"/>
      <c r="B110" s="2086" t="s">
        <v>924</v>
      </c>
      <c r="C110" s="2087" t="s">
        <v>117</v>
      </c>
      <c r="D110" s="1604"/>
    </row>
    <row r="111" spans="1:4" ht="12.75">
      <c r="A111" s="1604"/>
      <c r="B111" s="2086" t="s">
        <v>925</v>
      </c>
      <c r="C111" s="2087" t="s">
        <v>117</v>
      </c>
      <c r="D111" s="1604"/>
    </row>
    <row r="112" spans="1:4" ht="12.75">
      <c r="A112" s="1604"/>
      <c r="B112" s="2086" t="s">
        <v>926</v>
      </c>
      <c r="C112" s="2087" t="s">
        <v>117</v>
      </c>
      <c r="D112" s="1604"/>
    </row>
    <row r="113" spans="1:4" ht="12.75">
      <c r="A113" s="1604"/>
      <c r="B113" s="2086" t="s">
        <v>1925</v>
      </c>
      <c r="C113" s="2087" t="s">
        <v>117</v>
      </c>
      <c r="D113" s="1604"/>
    </row>
    <row r="114" spans="1:4" ht="12.75">
      <c r="A114" s="1604"/>
      <c r="B114" s="2086" t="s">
        <v>1926</v>
      </c>
      <c r="C114" s="2087" t="s">
        <v>117</v>
      </c>
      <c r="D114" s="1604"/>
    </row>
    <row r="115" spans="1:4" ht="12.75">
      <c r="A115" s="1604"/>
      <c r="B115" s="2086" t="s">
        <v>927</v>
      </c>
      <c r="C115" s="1498" t="s">
        <v>1911</v>
      </c>
      <c r="D115" s="1604"/>
    </row>
    <row r="116" spans="1:4" ht="12.75">
      <c r="A116" s="1604"/>
      <c r="B116" s="2086" t="s">
        <v>928</v>
      </c>
      <c r="C116" s="1498" t="s">
        <v>1911</v>
      </c>
      <c r="D116" s="1604"/>
    </row>
    <row r="117" spans="1:4" ht="12.75">
      <c r="A117" s="1604"/>
      <c r="B117" s="2086" t="s">
        <v>929</v>
      </c>
      <c r="C117" s="1498" t="s">
        <v>1911</v>
      </c>
      <c r="D117" s="1604"/>
    </row>
    <row r="118" spans="1:4" ht="12.75">
      <c r="A118" s="1604"/>
      <c r="B118" s="2086" t="s">
        <v>930</v>
      </c>
      <c r="C118" s="1498" t="s">
        <v>1911</v>
      </c>
      <c r="D118" s="1604"/>
    </row>
    <row r="119" spans="1:4" ht="12.75">
      <c r="A119" s="1604"/>
      <c r="B119" s="2086" t="s">
        <v>931</v>
      </c>
      <c r="C119" s="1498" t="s">
        <v>1911</v>
      </c>
      <c r="D119" s="1604"/>
    </row>
    <row r="120" spans="1:4" ht="12.75">
      <c r="A120" s="1604"/>
      <c r="B120" s="2086" t="s">
        <v>932</v>
      </c>
      <c r="C120" s="1498" t="s">
        <v>1911</v>
      </c>
      <c r="D120" s="1604"/>
    </row>
    <row r="121" spans="1:4" ht="12.75">
      <c r="A121" s="1604"/>
      <c r="B121" s="2086" t="s">
        <v>933</v>
      </c>
      <c r="C121" s="1498" t="s">
        <v>1911</v>
      </c>
      <c r="D121" s="1604"/>
    </row>
    <row r="122" spans="1:4" ht="12.75">
      <c r="A122" s="1604"/>
      <c r="B122" s="2086" t="s">
        <v>934</v>
      </c>
      <c r="C122" s="1498" t="s">
        <v>1911</v>
      </c>
      <c r="D122" s="1604"/>
    </row>
    <row r="123" spans="1:4" ht="12.75">
      <c r="A123" s="1604"/>
      <c r="B123" s="2086" t="s">
        <v>935</v>
      </c>
      <c r="C123" s="1498" t="s">
        <v>1911</v>
      </c>
      <c r="D123" s="1604"/>
    </row>
    <row r="124" spans="1:4" ht="12.75">
      <c r="A124" s="1604"/>
      <c r="B124" s="2086" t="s">
        <v>936</v>
      </c>
      <c r="C124" s="1498" t="s">
        <v>1911</v>
      </c>
      <c r="D124" s="1604"/>
    </row>
    <row r="125" spans="1:4" ht="12.75">
      <c r="A125" s="1604"/>
      <c r="B125" s="2086" t="s">
        <v>937</v>
      </c>
      <c r="C125" s="1498" t="s">
        <v>1911</v>
      </c>
      <c r="D125" s="1604"/>
    </row>
    <row r="126" spans="1:4" ht="12.75">
      <c r="A126" s="1604"/>
      <c r="B126" s="2086" t="s">
        <v>938</v>
      </c>
      <c r="C126" s="1498" t="s">
        <v>1911</v>
      </c>
      <c r="D126" s="1604"/>
    </row>
    <row r="127" spans="1:4" ht="12.75">
      <c r="A127" s="1604"/>
      <c r="B127" s="2086" t="s">
        <v>939</v>
      </c>
      <c r="C127" s="1498" t="s">
        <v>1911</v>
      </c>
      <c r="D127" s="1604"/>
    </row>
    <row r="128" spans="1:4" ht="12.75">
      <c r="A128" s="1604"/>
      <c r="B128" s="2086" t="s">
        <v>940</v>
      </c>
      <c r="C128" s="1498" t="s">
        <v>1911</v>
      </c>
      <c r="D128" s="1604"/>
    </row>
    <row r="129" spans="1:4" ht="12.75">
      <c r="A129" s="1604"/>
      <c r="B129" s="2086" t="s">
        <v>1927</v>
      </c>
      <c r="C129" s="1498" t="s">
        <v>1911</v>
      </c>
      <c r="D129" s="1604"/>
    </row>
    <row r="130" spans="1:4" ht="12.75">
      <c r="A130" s="1604"/>
      <c r="B130" s="2086" t="s">
        <v>941</v>
      </c>
      <c r="C130" s="1498" t="s">
        <v>1911</v>
      </c>
      <c r="D130" s="1604"/>
    </row>
    <row r="131" spans="1:4" ht="12.75">
      <c r="A131" s="1604"/>
      <c r="B131" s="2086" t="s">
        <v>942</v>
      </c>
      <c r="C131" s="1498" t="s">
        <v>1911</v>
      </c>
      <c r="D131" s="1604"/>
    </row>
    <row r="132" spans="1:4" ht="12.75">
      <c r="A132" s="1604"/>
      <c r="B132" s="1614" t="s">
        <v>943</v>
      </c>
      <c r="C132" s="1498" t="s">
        <v>1911</v>
      </c>
      <c r="D132" s="1604"/>
    </row>
    <row r="133" spans="1:4" ht="12.75">
      <c r="A133" s="1604"/>
      <c r="B133" s="1614" t="s">
        <v>970</v>
      </c>
      <c r="C133" s="1498" t="s">
        <v>1911</v>
      </c>
      <c r="D133" s="1604"/>
    </row>
    <row r="134" spans="1:4" ht="12.75">
      <c r="A134" s="1604"/>
      <c r="B134" s="1614" t="s">
        <v>971</v>
      </c>
      <c r="C134" s="1498" t="s">
        <v>1911</v>
      </c>
      <c r="D134" s="1604"/>
    </row>
    <row r="135" spans="1:4" ht="12.75">
      <c r="A135" s="1604"/>
      <c r="B135" s="2086" t="s">
        <v>972</v>
      </c>
      <c r="C135" s="2087" t="s">
        <v>1273</v>
      </c>
      <c r="D135" s="1604"/>
    </row>
    <row r="136" spans="1:4" ht="12.75">
      <c r="A136" s="1604"/>
      <c r="B136" s="2086" t="s">
        <v>973</v>
      </c>
      <c r="C136" s="2087" t="s">
        <v>1273</v>
      </c>
      <c r="D136" s="1604"/>
    </row>
    <row r="137" spans="1:4" ht="12.75">
      <c r="A137" s="1604"/>
      <c r="B137" s="2086" t="s">
        <v>974</v>
      </c>
      <c r="C137" s="2087" t="s">
        <v>1273</v>
      </c>
      <c r="D137" s="1604"/>
    </row>
    <row r="138" spans="1:4" ht="12.75">
      <c r="A138" s="1604"/>
      <c r="B138" s="1614" t="s">
        <v>975</v>
      </c>
      <c r="C138" s="2087" t="s">
        <v>1273</v>
      </c>
      <c r="D138" s="1604"/>
    </row>
    <row r="139" spans="1:4" ht="12.75">
      <c r="A139" s="1604"/>
      <c r="B139" s="1614" t="s">
        <v>976</v>
      </c>
      <c r="C139" s="2087" t="s">
        <v>1273</v>
      </c>
      <c r="D139" s="1604"/>
    </row>
    <row r="140" spans="1:4" ht="12.75">
      <c r="A140" s="1604"/>
      <c r="B140" s="1614" t="s">
        <v>253</v>
      </c>
      <c r="C140" s="2087" t="s">
        <v>1273</v>
      </c>
      <c r="D140" s="1604"/>
    </row>
    <row r="141" spans="1:4" ht="12.75">
      <c r="A141" s="1604"/>
      <c r="B141" s="1614" t="s">
        <v>1928</v>
      </c>
      <c r="C141" s="2087" t="s">
        <v>1273</v>
      </c>
      <c r="D141" s="1604"/>
    </row>
    <row r="142" spans="1:4" ht="12.75">
      <c r="A142" s="1604"/>
      <c r="B142" s="1614" t="s">
        <v>1929</v>
      </c>
      <c r="C142" s="2087" t="s">
        <v>1273</v>
      </c>
      <c r="D142" s="1604"/>
    </row>
    <row r="143" spans="1:4" ht="12.75">
      <c r="A143" s="1604"/>
      <c r="B143" s="1614" t="s">
        <v>897</v>
      </c>
      <c r="C143" s="2087" t="s">
        <v>1273</v>
      </c>
      <c r="D143" s="1604"/>
    </row>
    <row r="144" spans="1:4" ht="12.75">
      <c r="A144" s="1604"/>
      <c r="B144" s="1614" t="s">
        <v>898</v>
      </c>
      <c r="C144" s="2087" t="s">
        <v>1273</v>
      </c>
      <c r="D144" s="1604"/>
    </row>
    <row r="145" spans="1:4" ht="12.75">
      <c r="A145" s="1604"/>
      <c r="B145" s="1614" t="s">
        <v>899</v>
      </c>
      <c r="C145" s="2087" t="s">
        <v>1273</v>
      </c>
      <c r="D145" s="1604"/>
    </row>
    <row r="146" spans="1:4" ht="12.75">
      <c r="A146" s="1604"/>
      <c r="B146" s="1614" t="s">
        <v>2070</v>
      </c>
      <c r="C146" s="2087" t="s">
        <v>1273</v>
      </c>
      <c r="D146" s="1604"/>
    </row>
    <row r="147" spans="1:4" ht="12.75">
      <c r="A147" s="1604"/>
      <c r="B147" s="2086" t="s">
        <v>1930</v>
      </c>
      <c r="C147" s="2088" t="s">
        <v>2066</v>
      </c>
      <c r="D147" s="1604"/>
    </row>
    <row r="148" spans="1:4" ht="12.75">
      <c r="A148" s="1604"/>
      <c r="B148" s="1614" t="s">
        <v>1931</v>
      </c>
      <c r="C148" s="2088" t="s">
        <v>2066</v>
      </c>
      <c r="D148" s="1604"/>
    </row>
    <row r="149" spans="1:4" ht="12.75">
      <c r="A149" s="1604"/>
      <c r="B149" s="1614" t="s">
        <v>1932</v>
      </c>
      <c r="C149" s="2088" t="s">
        <v>2066</v>
      </c>
      <c r="D149" s="1604"/>
    </row>
    <row r="150" spans="1:4" ht="12.75">
      <c r="A150" s="1604"/>
      <c r="B150" s="1614" t="s">
        <v>1933</v>
      </c>
      <c r="C150" s="2088" t="s">
        <v>2066</v>
      </c>
      <c r="D150" s="1604"/>
    </row>
    <row r="151" spans="1:4" ht="12.75">
      <c r="A151" s="1604"/>
      <c r="B151" s="1614" t="s">
        <v>1934</v>
      </c>
      <c r="C151" s="2088" t="s">
        <v>2066</v>
      </c>
      <c r="D151" s="1604"/>
    </row>
    <row r="152" spans="1:4" ht="12.75">
      <c r="A152" s="1604"/>
      <c r="B152" s="1614" t="s">
        <v>2071</v>
      </c>
      <c r="C152" s="2088" t="s">
        <v>2066</v>
      </c>
      <c r="D152" s="1604"/>
    </row>
    <row r="153" spans="1:4" ht="12.75">
      <c r="A153" s="1604"/>
      <c r="B153" s="1614" t="s">
        <v>1935</v>
      </c>
      <c r="C153" s="2088" t="s">
        <v>2066</v>
      </c>
      <c r="D153" s="1604"/>
    </row>
    <row r="154" spans="1:4" ht="12.75">
      <c r="A154" s="1604"/>
      <c r="B154" s="1614" t="s">
        <v>1936</v>
      </c>
      <c r="C154" s="2088" t="s">
        <v>2066</v>
      </c>
      <c r="D154" s="1604"/>
    </row>
    <row r="155" spans="1:4" ht="12.75">
      <c r="A155" s="1604"/>
      <c r="B155" s="1614" t="s">
        <v>1937</v>
      </c>
      <c r="C155" s="2088" t="s">
        <v>2066</v>
      </c>
      <c r="D155" s="1604"/>
    </row>
    <row r="156" spans="1:4" ht="12.75">
      <c r="A156" s="1604"/>
      <c r="B156" s="1614" t="s">
        <v>1938</v>
      </c>
      <c r="C156" s="2088" t="s">
        <v>2066</v>
      </c>
      <c r="D156" s="1604"/>
    </row>
    <row r="157" spans="1:4" ht="12.75">
      <c r="A157" s="1604"/>
      <c r="B157" s="1614" t="s">
        <v>1939</v>
      </c>
      <c r="C157" s="2088" t="s">
        <v>2066</v>
      </c>
      <c r="D157" s="1604"/>
    </row>
    <row r="158" spans="1:4" ht="12.75">
      <c r="A158" s="1604"/>
      <c r="B158" s="1614" t="s">
        <v>1940</v>
      </c>
      <c r="C158" s="2088" t="s">
        <v>2066</v>
      </c>
      <c r="D158" s="1604"/>
    </row>
    <row r="159" spans="1:4" ht="12.75">
      <c r="A159" s="1604"/>
      <c r="B159" s="1614" t="s">
        <v>1941</v>
      </c>
      <c r="C159" s="2088" t="s">
        <v>2066</v>
      </c>
      <c r="D159" s="1604"/>
    </row>
    <row r="160" spans="1:4" ht="12.75">
      <c r="A160" s="1604"/>
      <c r="B160" s="1614" t="s">
        <v>1942</v>
      </c>
      <c r="C160" s="2088" t="s">
        <v>2066</v>
      </c>
      <c r="D160" s="1604"/>
    </row>
    <row r="161" spans="1:4" ht="12.75">
      <c r="A161" s="1604"/>
      <c r="B161" s="1614" t="s">
        <v>1943</v>
      </c>
      <c r="C161" s="2088" t="s">
        <v>2066</v>
      </c>
      <c r="D161" s="1604"/>
    </row>
    <row r="162" spans="1:4" ht="12.75">
      <c r="A162" s="1604"/>
      <c r="B162" s="1614" t="s">
        <v>1944</v>
      </c>
      <c r="C162" s="2088" t="s">
        <v>2066</v>
      </c>
      <c r="D162" s="1604"/>
    </row>
    <row r="163" spans="1:4" ht="12.75">
      <c r="A163" s="1604"/>
      <c r="B163" s="1614" t="s">
        <v>1945</v>
      </c>
      <c r="C163" s="2088" t="s">
        <v>2066</v>
      </c>
      <c r="D163" s="1604"/>
    </row>
    <row r="164" spans="1:4" ht="12.75">
      <c r="A164" s="1604"/>
      <c r="B164" s="1614" t="s">
        <v>1946</v>
      </c>
      <c r="C164" s="2088" t="s">
        <v>2066</v>
      </c>
      <c r="D164" s="1604"/>
    </row>
    <row r="165" spans="1:4" ht="12.75">
      <c r="A165" s="1604"/>
      <c r="B165" s="1614" t="s">
        <v>1947</v>
      </c>
      <c r="C165" s="2088" t="s">
        <v>2066</v>
      </c>
      <c r="D165" s="1604"/>
    </row>
    <row r="166" spans="1:4" ht="12.75">
      <c r="A166" s="1604"/>
      <c r="B166" s="1614" t="s">
        <v>1948</v>
      </c>
      <c r="C166" s="2088" t="s">
        <v>2066</v>
      </c>
      <c r="D166" s="1604"/>
    </row>
    <row r="167" spans="1:4" ht="12.75">
      <c r="A167" s="1604"/>
      <c r="B167" s="1614" t="s">
        <v>1949</v>
      </c>
      <c r="C167" s="2088" t="s">
        <v>2066</v>
      </c>
      <c r="D167" s="1604"/>
    </row>
    <row r="168" spans="1:4" ht="12.75">
      <c r="A168" s="1604"/>
      <c r="B168" s="1614" t="s">
        <v>1950</v>
      </c>
      <c r="C168" s="2088" t="s">
        <v>2066</v>
      </c>
      <c r="D168" s="1604"/>
    </row>
    <row r="169" spans="1:4" ht="12.75">
      <c r="A169" s="1604"/>
      <c r="B169" s="1614" t="s">
        <v>1951</v>
      </c>
      <c r="C169" s="2088" t="s">
        <v>2066</v>
      </c>
      <c r="D169" s="1604"/>
    </row>
    <row r="170" spans="1:4" ht="12.75">
      <c r="A170" s="1604"/>
      <c r="B170" s="1614" t="s">
        <v>1952</v>
      </c>
      <c r="C170" s="2088" t="s">
        <v>2066</v>
      </c>
      <c r="D170" s="1604"/>
    </row>
    <row r="171" spans="1:4" ht="12.75">
      <c r="A171" s="1604"/>
      <c r="B171" s="1614" t="s">
        <v>1953</v>
      </c>
      <c r="C171" s="2088" t="s">
        <v>2066</v>
      </c>
      <c r="D171" s="1604"/>
    </row>
    <row r="172" spans="1:4" ht="12.75">
      <c r="A172" s="1604"/>
      <c r="B172" s="1614" t="s">
        <v>1954</v>
      </c>
      <c r="C172" s="2088" t="s">
        <v>2066</v>
      </c>
      <c r="D172" s="1604"/>
    </row>
    <row r="173" spans="1:4" ht="12.75">
      <c r="A173" s="1604"/>
      <c r="B173" s="1614" t="s">
        <v>1955</v>
      </c>
      <c r="C173" s="2088" t="s">
        <v>2066</v>
      </c>
      <c r="D173" s="1604"/>
    </row>
    <row r="174" spans="1:4" ht="12.75">
      <c r="A174" s="1604"/>
      <c r="B174" s="1614" t="s">
        <v>1956</v>
      </c>
      <c r="C174" s="2088" t="s">
        <v>2066</v>
      </c>
      <c r="D174" s="1604"/>
    </row>
    <row r="175" spans="1:4" ht="12.75">
      <c r="A175" s="1604"/>
      <c r="B175" s="1614" t="s">
        <v>46</v>
      </c>
      <c r="C175" s="2088" t="s">
        <v>2066</v>
      </c>
      <c r="D175" s="1604"/>
    </row>
    <row r="176" spans="1:4" ht="12.75">
      <c r="A176" s="1604"/>
      <c r="B176" s="1614" t="s">
        <v>47</v>
      </c>
      <c r="C176" s="2088" t="s">
        <v>2066</v>
      </c>
      <c r="D176" s="1604"/>
    </row>
    <row r="177" spans="1:4" ht="12.75">
      <c r="A177" s="1604"/>
      <c r="B177" s="1614" t="s">
        <v>48</v>
      </c>
      <c r="C177" s="2088" t="s">
        <v>2066</v>
      </c>
      <c r="D177" s="1604"/>
    </row>
    <row r="178" spans="1:4" ht="12.75">
      <c r="A178" s="1604"/>
      <c r="B178" s="1614" t="s">
        <v>49</v>
      </c>
      <c r="C178" s="2088" t="s">
        <v>2066</v>
      </c>
      <c r="D178" s="1604"/>
    </row>
    <row r="179" spans="1:4" ht="12.75">
      <c r="A179" s="1604"/>
      <c r="B179" s="1614" t="s">
        <v>50</v>
      </c>
      <c r="C179" s="2088" t="s">
        <v>2066</v>
      </c>
      <c r="D179" s="1604"/>
    </row>
    <row r="180" spans="1:4" ht="12.75">
      <c r="A180" s="1604"/>
      <c r="B180" s="1614" t="s">
        <v>2072</v>
      </c>
      <c r="C180" s="2088" t="s">
        <v>2066</v>
      </c>
      <c r="D180" s="1604"/>
    </row>
    <row r="181" spans="1:4" ht="12.75">
      <c r="A181" s="1604"/>
      <c r="B181" s="1614" t="s">
        <v>51</v>
      </c>
      <c r="C181" s="2088" t="s">
        <v>2066</v>
      </c>
      <c r="D181" s="1604"/>
    </row>
    <row r="182" spans="1:4" ht="12.75">
      <c r="A182" s="1604"/>
      <c r="B182" s="1614" t="s">
        <v>52</v>
      </c>
      <c r="C182" s="2088" t="s">
        <v>2066</v>
      </c>
      <c r="D182" s="1604"/>
    </row>
    <row r="183" spans="1:4" ht="12.75">
      <c r="A183" s="1604"/>
      <c r="B183" s="1614" t="s">
        <v>2073</v>
      </c>
      <c r="C183" s="2088" t="s">
        <v>2066</v>
      </c>
      <c r="D183" s="1604"/>
    </row>
    <row r="184" spans="1:4" ht="12.75">
      <c r="A184" s="1604"/>
      <c r="B184" s="1614" t="s">
        <v>53</v>
      </c>
      <c r="C184" s="2088" t="s">
        <v>2066</v>
      </c>
      <c r="D184" s="1604"/>
    </row>
    <row r="185" spans="1:4" ht="12.75">
      <c r="A185" s="1604"/>
      <c r="B185" s="1614" t="s">
        <v>54</v>
      </c>
      <c r="C185" s="2088" t="s">
        <v>2066</v>
      </c>
      <c r="D185" s="1604"/>
    </row>
    <row r="186" spans="1:4" ht="12.75">
      <c r="A186" s="1604"/>
      <c r="B186" s="1614" t="s">
        <v>2074</v>
      </c>
      <c r="C186" s="2088" t="s">
        <v>2066</v>
      </c>
      <c r="D186" s="1604"/>
    </row>
    <row r="187" spans="1:4" ht="12.75">
      <c r="A187" s="1604"/>
      <c r="B187" s="1614" t="s">
        <v>55</v>
      </c>
      <c r="C187" s="2088" t="s">
        <v>2066</v>
      </c>
      <c r="D187" s="1604"/>
    </row>
    <row r="188" spans="1:4" ht="12.75">
      <c r="A188" s="1604"/>
      <c r="B188" s="1614" t="s">
        <v>56</v>
      </c>
      <c r="C188" s="2088" t="s">
        <v>2066</v>
      </c>
      <c r="D188" s="1604"/>
    </row>
    <row r="189" spans="1:4" ht="12.75">
      <c r="A189" s="1604"/>
      <c r="B189" s="1614" t="s">
        <v>57</v>
      </c>
      <c r="C189" s="2088" t="s">
        <v>2066</v>
      </c>
      <c r="D189" s="1604"/>
    </row>
    <row r="190" spans="1:4" ht="12.75">
      <c r="A190" s="1604"/>
      <c r="B190" s="1614" t="s">
        <v>58</v>
      </c>
      <c r="C190" s="2088" t="s">
        <v>2066</v>
      </c>
      <c r="D190" s="1604"/>
    </row>
    <row r="191" spans="1:4" ht="12.75">
      <c r="A191" s="1604"/>
      <c r="B191" s="1614" t="s">
        <v>59</v>
      </c>
      <c r="C191" s="2088" t="s">
        <v>2066</v>
      </c>
      <c r="D191" s="1604"/>
    </row>
    <row r="192" spans="1:4" ht="12.75">
      <c r="A192" s="1604"/>
      <c r="B192" s="1614" t="s">
        <v>60</v>
      </c>
      <c r="C192" s="2088" t="s">
        <v>2066</v>
      </c>
      <c r="D192" s="1604"/>
    </row>
    <row r="193" spans="1:4" ht="12.75">
      <c r="A193" s="1604"/>
      <c r="B193" s="1614" t="s">
        <v>61</v>
      </c>
      <c r="C193" s="2088" t="s">
        <v>2066</v>
      </c>
      <c r="D193" s="1604"/>
    </row>
    <row r="194" spans="1:4" ht="12.75">
      <c r="A194" s="1604"/>
      <c r="B194" s="1614" t="s">
        <v>62</v>
      </c>
      <c r="C194" s="2088" t="s">
        <v>2066</v>
      </c>
      <c r="D194" s="1604"/>
    </row>
    <row r="195" spans="1:4" ht="12.75">
      <c r="A195" s="1604"/>
      <c r="B195" s="1614" t="s">
        <v>63</v>
      </c>
      <c r="C195" s="2088" t="s">
        <v>2066</v>
      </c>
      <c r="D195" s="1604"/>
    </row>
    <row r="196" spans="1:4" ht="12.75">
      <c r="A196" s="1604"/>
      <c r="B196" s="1614" t="s">
        <v>64</v>
      </c>
      <c r="C196" s="2088" t="s">
        <v>2066</v>
      </c>
      <c r="D196" s="1604"/>
    </row>
    <row r="197" spans="1:4" ht="12.75">
      <c r="A197" s="1604"/>
      <c r="B197" s="1614" t="s">
        <v>65</v>
      </c>
      <c r="C197" s="2088" t="s">
        <v>2066</v>
      </c>
      <c r="D197" s="1604"/>
    </row>
    <row r="198" spans="1:4" ht="12.75">
      <c r="A198" s="1604"/>
      <c r="B198" s="1614" t="s">
        <v>66</v>
      </c>
      <c r="C198" s="2087" t="s">
        <v>1254</v>
      </c>
      <c r="D198" s="1604"/>
    </row>
    <row r="199" spans="1:4" ht="12.75">
      <c r="A199" s="1604"/>
      <c r="B199" s="1614" t="s">
        <v>67</v>
      </c>
      <c r="C199" s="2087" t="s">
        <v>1254</v>
      </c>
      <c r="D199" s="1604"/>
    </row>
    <row r="200" spans="1:4" ht="12.75">
      <c r="A200" s="1604"/>
      <c r="B200" s="1614" t="s">
        <v>68</v>
      </c>
      <c r="C200" s="2087" t="s">
        <v>1254</v>
      </c>
      <c r="D200" s="1604"/>
    </row>
    <row r="201" spans="1:4" ht="12.75">
      <c r="A201" s="1604"/>
      <c r="B201" s="1614" t="s">
        <v>69</v>
      </c>
      <c r="C201" s="2087" t="s">
        <v>1254</v>
      </c>
      <c r="D201" s="1604"/>
    </row>
    <row r="202" spans="1:4" ht="12.75">
      <c r="A202" s="1604"/>
      <c r="B202" s="1614" t="s">
        <v>70</v>
      </c>
      <c r="C202" s="2087" t="s">
        <v>1254</v>
      </c>
      <c r="D202" s="1604"/>
    </row>
    <row r="203" spans="1:4" ht="12.75">
      <c r="A203" s="1604"/>
      <c r="B203" s="1614" t="s">
        <v>71</v>
      </c>
      <c r="C203" s="2087" t="s">
        <v>1254</v>
      </c>
      <c r="D203" s="1604"/>
    </row>
    <row r="204" spans="1:4" ht="12.75">
      <c r="A204" s="1604"/>
      <c r="B204" s="1614" t="s">
        <v>72</v>
      </c>
      <c r="C204" s="2087" t="s">
        <v>1254</v>
      </c>
      <c r="D204" s="1604"/>
    </row>
    <row r="205" spans="1:4" ht="12.75">
      <c r="A205" s="1604"/>
      <c r="B205" s="1614" t="s">
        <v>73</v>
      </c>
      <c r="C205" s="2087" t="s">
        <v>1254</v>
      </c>
      <c r="D205" s="1604"/>
    </row>
    <row r="206" spans="1:4" ht="12.75">
      <c r="A206" s="1604"/>
      <c r="B206" s="1614" t="s">
        <v>74</v>
      </c>
      <c r="C206" s="2087" t="s">
        <v>1254</v>
      </c>
      <c r="D206" s="1604"/>
    </row>
    <row r="207" spans="1:4" ht="12.75">
      <c r="A207" s="1604"/>
      <c r="B207" s="1614" t="s">
        <v>75</v>
      </c>
      <c r="C207" s="2087" t="s">
        <v>1254</v>
      </c>
      <c r="D207" s="1604"/>
    </row>
    <row r="208" spans="1:4" ht="12.75">
      <c r="A208" s="1604"/>
      <c r="B208" s="1614" t="s">
        <v>76</v>
      </c>
      <c r="C208" s="2087" t="s">
        <v>1254</v>
      </c>
      <c r="D208" s="1604"/>
    </row>
    <row r="209" spans="1:4" ht="12.75">
      <c r="A209" s="1604"/>
      <c r="B209" s="1614" t="s">
        <v>77</v>
      </c>
      <c r="C209" s="2087" t="s">
        <v>1254</v>
      </c>
      <c r="D209" s="1604"/>
    </row>
    <row r="210" spans="1:4" ht="12.75">
      <c r="A210" s="1604"/>
      <c r="B210" s="1614" t="s">
        <v>78</v>
      </c>
      <c r="C210" s="2087" t="s">
        <v>1254</v>
      </c>
      <c r="D210" s="1604"/>
    </row>
    <row r="211" spans="1:4" ht="12.75">
      <c r="A211" s="1604"/>
      <c r="B211" s="1614" t="s">
        <v>79</v>
      </c>
      <c r="C211" s="2087" t="s">
        <v>1254</v>
      </c>
      <c r="D211" s="1604"/>
    </row>
    <row r="212" spans="1:4" ht="12.75">
      <c r="A212" s="1604"/>
      <c r="B212" s="1614" t="s">
        <v>80</v>
      </c>
      <c r="C212" s="2087" t="s">
        <v>1254</v>
      </c>
      <c r="D212" s="1604"/>
    </row>
    <row r="213" spans="1:4" ht="12.75">
      <c r="A213" s="1604"/>
      <c r="B213" s="1614" t="s">
        <v>81</v>
      </c>
      <c r="C213" s="2087" t="s">
        <v>1254</v>
      </c>
      <c r="D213" s="1604"/>
    </row>
    <row r="214" spans="1:4" ht="12.75">
      <c r="A214" s="1604"/>
      <c r="B214" s="1614" t="s">
        <v>82</v>
      </c>
      <c r="C214" s="2087" t="s">
        <v>1254</v>
      </c>
      <c r="D214" s="1604"/>
    </row>
    <row r="215" spans="1:4" ht="12.75">
      <c r="A215" s="1604"/>
      <c r="B215" s="1614" t="s">
        <v>83</v>
      </c>
      <c r="C215" s="2087" t="s">
        <v>1254</v>
      </c>
      <c r="D215" s="1604"/>
    </row>
    <row r="216" spans="1:4" ht="12.75">
      <c r="A216" s="1604"/>
      <c r="B216" s="1614" t="s">
        <v>84</v>
      </c>
      <c r="C216" s="2087" t="s">
        <v>1254</v>
      </c>
      <c r="D216" s="1604"/>
    </row>
    <row r="217" spans="1:4" ht="12.75">
      <c r="A217" s="1604"/>
      <c r="B217" s="1614" t="s">
        <v>85</v>
      </c>
      <c r="C217" s="2087" t="s">
        <v>1254</v>
      </c>
      <c r="D217" s="1604"/>
    </row>
    <row r="218" spans="1:4" ht="12.75">
      <c r="A218" s="1604"/>
      <c r="B218" s="1614" t="s">
        <v>2075</v>
      </c>
      <c r="C218" s="2087" t="s">
        <v>1254</v>
      </c>
      <c r="D218" s="1604"/>
    </row>
    <row r="219" spans="1:4" ht="12.75">
      <c r="A219" s="1604"/>
      <c r="B219" s="1614" t="s">
        <v>86</v>
      </c>
      <c r="C219" s="2087" t="s">
        <v>1254</v>
      </c>
      <c r="D219" s="1604"/>
    </row>
    <row r="220" spans="1:4" ht="12.75">
      <c r="A220" s="1604"/>
      <c r="B220" s="1614" t="s">
        <v>2076</v>
      </c>
      <c r="C220" s="2087" t="s">
        <v>1254</v>
      </c>
      <c r="D220" s="1604"/>
    </row>
    <row r="221" spans="1:4" ht="12.75">
      <c r="A221" s="1604"/>
      <c r="B221" s="1614" t="s">
        <v>87</v>
      </c>
      <c r="C221" s="2087" t="s">
        <v>1254</v>
      </c>
      <c r="D221" s="1604"/>
    </row>
    <row r="222" spans="1:4" ht="12.75">
      <c r="A222" s="1604"/>
      <c r="B222" s="1614" t="s">
        <v>88</v>
      </c>
      <c r="C222" s="2087" t="s">
        <v>1254</v>
      </c>
      <c r="D222" s="1604"/>
    </row>
    <row r="223" spans="1:4" ht="12.75">
      <c r="A223" s="1604"/>
      <c r="B223" s="1614" t="s">
        <v>900</v>
      </c>
      <c r="C223" s="2087" t="s">
        <v>1248</v>
      </c>
      <c r="D223" s="1604"/>
    </row>
    <row r="224" spans="1:4" ht="12.75">
      <c r="A224" s="1604"/>
      <c r="B224" s="1614" t="s">
        <v>901</v>
      </c>
      <c r="C224" s="2087" t="s">
        <v>1248</v>
      </c>
      <c r="D224" s="1604"/>
    </row>
    <row r="225" spans="1:4" ht="12.75">
      <c r="A225" s="1604"/>
      <c r="B225" s="1614" t="s">
        <v>902</v>
      </c>
      <c r="C225" s="2087" t="s">
        <v>1248</v>
      </c>
      <c r="D225" s="1604"/>
    </row>
    <row r="226" spans="1:4" ht="12.75">
      <c r="A226" s="1604"/>
      <c r="B226" s="1614" t="s">
        <v>2077</v>
      </c>
      <c r="C226" s="2087" t="s">
        <v>1248</v>
      </c>
      <c r="D226" s="1604"/>
    </row>
    <row r="227" spans="1:4" ht="12.75">
      <c r="A227" s="1604"/>
      <c r="B227" s="1614" t="s">
        <v>903</v>
      </c>
      <c r="C227" s="2087" t="s">
        <v>1248</v>
      </c>
      <c r="D227" s="1604"/>
    </row>
    <row r="228" spans="1:4" ht="12.75">
      <c r="A228" s="1604"/>
      <c r="B228" s="1614" t="s">
        <v>904</v>
      </c>
      <c r="C228" s="2087" t="s">
        <v>1248</v>
      </c>
      <c r="D228" s="1604"/>
    </row>
    <row r="229" spans="1:4" ht="12.75">
      <c r="A229" s="1604"/>
      <c r="B229" s="1614" t="s">
        <v>905</v>
      </c>
      <c r="C229" s="2087" t="s">
        <v>1248</v>
      </c>
      <c r="D229" s="1604"/>
    </row>
    <row r="230" spans="1:4" ht="12.75">
      <c r="A230" s="1604"/>
      <c r="B230" s="1614" t="s">
        <v>2078</v>
      </c>
      <c r="C230" s="2087" t="s">
        <v>1248</v>
      </c>
      <c r="D230" s="1604"/>
    </row>
    <row r="231" spans="1:4" ht="12.75">
      <c r="A231" s="1604"/>
      <c r="B231" s="1614" t="s">
        <v>2079</v>
      </c>
      <c r="C231" s="2087" t="s">
        <v>1248</v>
      </c>
      <c r="D231" s="1604"/>
    </row>
    <row r="232" spans="1:4" ht="12.75">
      <c r="A232" s="1604"/>
      <c r="B232" s="1614" t="s">
        <v>906</v>
      </c>
      <c r="C232" s="2087" t="s">
        <v>1248</v>
      </c>
      <c r="D232" s="1604"/>
    </row>
    <row r="233" spans="1:4" ht="12.75">
      <c r="A233" s="1604"/>
      <c r="B233" s="1614" t="s">
        <v>907</v>
      </c>
      <c r="C233" s="2087" t="s">
        <v>1248</v>
      </c>
      <c r="D233" s="1604"/>
    </row>
    <row r="234" spans="1:4" ht="12.75">
      <c r="A234" s="1604"/>
      <c r="B234" s="1614" t="s">
        <v>908</v>
      </c>
      <c r="C234" s="2087" t="s">
        <v>1248</v>
      </c>
      <c r="D234" s="1604"/>
    </row>
    <row r="235" spans="1:4" ht="12.75">
      <c r="A235" s="1604"/>
      <c r="B235" s="1614" t="s">
        <v>89</v>
      </c>
      <c r="C235" s="2087" t="s">
        <v>1248</v>
      </c>
      <c r="D235" s="1604"/>
    </row>
    <row r="236" spans="1:4" ht="12.75">
      <c r="A236" s="1604"/>
      <c r="B236" s="1614" t="s">
        <v>909</v>
      </c>
      <c r="C236" s="2087" t="s">
        <v>1248</v>
      </c>
      <c r="D236" s="1604"/>
    </row>
    <row r="237" spans="1:4" ht="12.75">
      <c r="A237" s="1604"/>
      <c r="B237" s="1614" t="s">
        <v>910</v>
      </c>
      <c r="C237" s="2087" t="s">
        <v>1248</v>
      </c>
      <c r="D237" s="1604"/>
    </row>
    <row r="238" spans="1:4" ht="12.75">
      <c r="A238" s="1604"/>
      <c r="B238" s="1614" t="s">
        <v>911</v>
      </c>
      <c r="C238" s="2087" t="s">
        <v>1248</v>
      </c>
      <c r="D238" s="1604"/>
    </row>
    <row r="239" spans="1:4" ht="12.75">
      <c r="A239" s="1604"/>
      <c r="B239" s="1614" t="s">
        <v>912</v>
      </c>
      <c r="C239" s="2087" t="s">
        <v>1248</v>
      </c>
      <c r="D239" s="1604"/>
    </row>
    <row r="240" spans="1:4" ht="12.75">
      <c r="A240" s="1604"/>
      <c r="B240" s="1614" t="s">
        <v>913</v>
      </c>
      <c r="C240" s="2087" t="s">
        <v>1248</v>
      </c>
      <c r="D240" s="1604"/>
    </row>
    <row r="241" spans="1:4" ht="12.75">
      <c r="A241" s="1604"/>
      <c r="B241" s="1614" t="s">
        <v>914</v>
      </c>
      <c r="C241" s="2087" t="s">
        <v>1278</v>
      </c>
      <c r="D241" s="1604"/>
    </row>
    <row r="242" spans="1:4" ht="12.75">
      <c r="A242" s="1604"/>
      <c r="B242" s="1614" t="s">
        <v>915</v>
      </c>
      <c r="C242" s="2087" t="s">
        <v>1278</v>
      </c>
      <c r="D242" s="1604"/>
    </row>
    <row r="243" spans="1:4" ht="12.75">
      <c r="A243" s="1604"/>
      <c r="B243" s="1614" t="s">
        <v>916</v>
      </c>
      <c r="C243" s="2087" t="s">
        <v>1278</v>
      </c>
      <c r="D243" s="1604"/>
    </row>
    <row r="244" spans="1:4" ht="12.75">
      <c r="A244" s="1604"/>
      <c r="B244" s="1614" t="s">
        <v>917</v>
      </c>
      <c r="C244" s="2087" t="s">
        <v>1278</v>
      </c>
      <c r="D244" s="1604"/>
    </row>
    <row r="245" spans="1:4" ht="12.75">
      <c r="A245" s="1604"/>
      <c r="B245" s="1614" t="s">
        <v>918</v>
      </c>
      <c r="C245" s="2087" t="s">
        <v>1278</v>
      </c>
      <c r="D245" s="1604"/>
    </row>
    <row r="246" spans="1:4" ht="12.75">
      <c r="A246" s="1604"/>
      <c r="B246" s="1614" t="s">
        <v>919</v>
      </c>
      <c r="C246" s="2087" t="s">
        <v>1278</v>
      </c>
      <c r="D246" s="1604"/>
    </row>
    <row r="247" spans="1:4" ht="12.75">
      <c r="A247" s="1604"/>
      <c r="B247" s="1614" t="s">
        <v>1380</v>
      </c>
      <c r="C247" s="2087" t="s">
        <v>1278</v>
      </c>
      <c r="D247" s="1604"/>
    </row>
    <row r="248" spans="1:4" ht="12.75">
      <c r="A248" s="1604"/>
      <c r="B248" s="1614" t="s">
        <v>1381</v>
      </c>
      <c r="C248" s="2087" t="s">
        <v>1278</v>
      </c>
      <c r="D248" s="1604"/>
    </row>
    <row r="249" spans="1:4" ht="12.75">
      <c r="A249" s="1604"/>
      <c r="B249" s="1614" t="s">
        <v>1382</v>
      </c>
      <c r="C249" s="2087" t="s">
        <v>1278</v>
      </c>
      <c r="D249" s="1604"/>
    </row>
    <row r="250" spans="1:4" ht="12.75">
      <c r="A250" s="1604"/>
      <c r="B250" s="1614" t="s">
        <v>1383</v>
      </c>
      <c r="C250" s="2087" t="s">
        <v>1278</v>
      </c>
      <c r="D250" s="1604"/>
    </row>
    <row r="251" spans="1:4" ht="12.75">
      <c r="A251" s="1604"/>
      <c r="B251" s="1614" t="s">
        <v>1384</v>
      </c>
      <c r="C251" s="2087" t="s">
        <v>1278</v>
      </c>
      <c r="D251" s="1604"/>
    </row>
    <row r="252" spans="1:4" ht="12.75">
      <c r="A252" s="1604"/>
      <c r="B252" s="1614" t="s">
        <v>1385</v>
      </c>
      <c r="C252" s="2087" t="s">
        <v>1278</v>
      </c>
      <c r="D252" s="1604"/>
    </row>
    <row r="253" spans="1:4" ht="12.75">
      <c r="A253" s="1604"/>
      <c r="B253" s="1614" t="s">
        <v>254</v>
      </c>
      <c r="C253" s="2087" t="s">
        <v>1278</v>
      </c>
      <c r="D253" s="1604"/>
    </row>
    <row r="254" spans="1:4" ht="12.75">
      <c r="A254" s="1604"/>
      <c r="B254" s="1614" t="s">
        <v>255</v>
      </c>
      <c r="C254" s="2087" t="s">
        <v>1278</v>
      </c>
      <c r="D254" s="1604"/>
    </row>
    <row r="255" spans="1:4" ht="12.75">
      <c r="A255" s="1604"/>
      <c r="B255" s="1614" t="s">
        <v>256</v>
      </c>
      <c r="C255" s="2087" t="s">
        <v>1278</v>
      </c>
      <c r="D255" s="1604"/>
    </row>
    <row r="256" spans="1:4" ht="12.75">
      <c r="A256" s="1604"/>
      <c r="B256" s="1614" t="s">
        <v>257</v>
      </c>
      <c r="C256" s="2087" t="s">
        <v>1278</v>
      </c>
      <c r="D256" s="1604"/>
    </row>
    <row r="257" spans="1:4" ht="12.75">
      <c r="A257" s="1604"/>
      <c r="B257" s="1614" t="s">
        <v>258</v>
      </c>
      <c r="C257" s="2087" t="s">
        <v>1278</v>
      </c>
      <c r="D257" s="1604"/>
    </row>
    <row r="258" spans="1:4" ht="12.75">
      <c r="A258" s="1604"/>
      <c r="B258" s="1614" t="s">
        <v>259</v>
      </c>
      <c r="C258" s="2087" t="s">
        <v>1278</v>
      </c>
      <c r="D258" s="1604"/>
    </row>
    <row r="259" spans="1:4" ht="12.75">
      <c r="A259" s="1604"/>
      <c r="B259" s="1614" t="s">
        <v>260</v>
      </c>
      <c r="C259" s="2087" t="s">
        <v>1278</v>
      </c>
      <c r="D259" s="1604"/>
    </row>
    <row r="260" spans="1:4" ht="12.75">
      <c r="A260" s="1604"/>
      <c r="B260" s="1614" t="s">
        <v>261</v>
      </c>
      <c r="C260" s="2087" t="s">
        <v>1278</v>
      </c>
      <c r="D260" s="1604"/>
    </row>
    <row r="261" spans="1:4" ht="12.75">
      <c r="A261" s="1604"/>
      <c r="B261" s="1614" t="s">
        <v>262</v>
      </c>
      <c r="C261" s="2087" t="s">
        <v>1278</v>
      </c>
      <c r="D261" s="1604"/>
    </row>
    <row r="262" spans="1:4" ht="12.75">
      <c r="A262" s="1604"/>
      <c r="B262" s="1614" t="s">
        <v>263</v>
      </c>
      <c r="C262" s="2087" t="s">
        <v>1278</v>
      </c>
      <c r="D262" s="1604"/>
    </row>
    <row r="263" spans="1:4" ht="12.75">
      <c r="A263" s="1604"/>
      <c r="B263" s="1614" t="s">
        <v>264</v>
      </c>
      <c r="C263" s="2087" t="s">
        <v>1278</v>
      </c>
      <c r="D263" s="1604"/>
    </row>
    <row r="264" spans="1:4" ht="12.75">
      <c r="A264" s="1604"/>
      <c r="B264" s="1614" t="s">
        <v>265</v>
      </c>
      <c r="C264" s="2087" t="s">
        <v>1278</v>
      </c>
      <c r="D264" s="1604"/>
    </row>
    <row r="265" spans="1:4" ht="12.75">
      <c r="A265" s="1604"/>
      <c r="B265" s="1614" t="s">
        <v>2080</v>
      </c>
      <c r="C265" s="2087" t="s">
        <v>1278</v>
      </c>
      <c r="D265" s="1604"/>
    </row>
    <row r="266" spans="1:4" ht="12.75">
      <c r="A266" s="1604"/>
      <c r="B266" s="1614" t="s">
        <v>266</v>
      </c>
      <c r="C266" s="2087" t="s">
        <v>1278</v>
      </c>
      <c r="D266" s="1604"/>
    </row>
    <row r="267" spans="1:4" ht="12.75">
      <c r="A267" s="1604"/>
      <c r="B267" s="1614" t="s">
        <v>267</v>
      </c>
      <c r="C267" s="2087" t="s">
        <v>1278</v>
      </c>
      <c r="D267" s="1604"/>
    </row>
    <row r="268" spans="1:4" ht="12.75">
      <c r="A268" s="1604"/>
      <c r="B268" s="1614" t="s">
        <v>268</v>
      </c>
      <c r="C268" s="2087" t="s">
        <v>1261</v>
      </c>
      <c r="D268" s="1604"/>
    </row>
    <row r="269" spans="1:4" ht="12.75">
      <c r="A269" s="1604"/>
      <c r="B269" s="1614" t="s">
        <v>269</v>
      </c>
      <c r="C269" s="2087" t="s">
        <v>1261</v>
      </c>
      <c r="D269" s="1604"/>
    </row>
    <row r="270" spans="1:4" ht="12.75">
      <c r="A270" s="1604"/>
      <c r="B270" s="1614" t="s">
        <v>270</v>
      </c>
      <c r="C270" s="2087" t="s">
        <v>1261</v>
      </c>
      <c r="D270" s="1604"/>
    </row>
    <row r="271" spans="1:4" ht="12.75">
      <c r="A271" s="1604"/>
      <c r="B271" s="1614" t="s">
        <v>271</v>
      </c>
      <c r="C271" s="2087" t="s">
        <v>1261</v>
      </c>
      <c r="D271" s="1604"/>
    </row>
    <row r="272" spans="1:4" ht="12.75">
      <c r="A272" s="1604"/>
      <c r="B272" s="1614" t="s">
        <v>212</v>
      </c>
      <c r="C272" s="2087" t="s">
        <v>1261</v>
      </c>
      <c r="D272" s="1604"/>
    </row>
    <row r="273" spans="1:4" ht="12.75">
      <c r="A273" s="1604"/>
      <c r="B273" s="1614" t="s">
        <v>213</v>
      </c>
      <c r="C273" s="2087" t="s">
        <v>1261</v>
      </c>
      <c r="D273" s="1604"/>
    </row>
    <row r="274" spans="1:4" ht="12.75">
      <c r="A274" s="1604"/>
      <c r="B274" s="1614" t="s">
        <v>214</v>
      </c>
      <c r="C274" s="2087" t="s">
        <v>1261</v>
      </c>
      <c r="D274" s="1604"/>
    </row>
    <row r="275" spans="1:4" ht="12.75">
      <c r="A275" s="1604"/>
      <c r="B275" s="1614" t="s">
        <v>215</v>
      </c>
      <c r="C275" s="2087" t="s">
        <v>1261</v>
      </c>
      <c r="D275" s="1604"/>
    </row>
    <row r="276" spans="1:4" ht="12.75">
      <c r="A276" s="1604"/>
      <c r="B276" s="1614" t="s">
        <v>216</v>
      </c>
      <c r="C276" s="2087" t="s">
        <v>1261</v>
      </c>
      <c r="D276" s="1604"/>
    </row>
    <row r="277" spans="1:4" ht="12.75">
      <c r="A277" s="1604"/>
      <c r="B277" s="1614" t="s">
        <v>217</v>
      </c>
      <c r="C277" s="2087" t="s">
        <v>1261</v>
      </c>
      <c r="D277" s="1604"/>
    </row>
    <row r="278" spans="1:4" ht="12.75">
      <c r="A278" s="1604"/>
      <c r="B278" s="1614" t="s">
        <v>218</v>
      </c>
      <c r="C278" s="2087" t="s">
        <v>1261</v>
      </c>
      <c r="D278" s="1604"/>
    </row>
    <row r="279" spans="1:4" ht="12.75">
      <c r="A279" s="1604"/>
      <c r="B279" s="1614" t="s">
        <v>219</v>
      </c>
      <c r="C279" s="2087" t="s">
        <v>1261</v>
      </c>
      <c r="D279" s="1604"/>
    </row>
    <row r="280" spans="1:4" ht="12.75">
      <c r="A280" s="1604"/>
      <c r="B280" s="1614" t="s">
        <v>220</v>
      </c>
      <c r="C280" s="2087" t="s">
        <v>1261</v>
      </c>
      <c r="D280" s="1604"/>
    </row>
    <row r="281" spans="1:4" ht="12.75">
      <c r="A281" s="1604"/>
      <c r="B281" s="1614" t="s">
        <v>221</v>
      </c>
      <c r="C281" s="2087" t="s">
        <v>1261</v>
      </c>
      <c r="D281" s="1604"/>
    </row>
    <row r="282" spans="1:4" ht="12.75">
      <c r="A282" s="1604"/>
      <c r="B282" s="1614" t="s">
        <v>222</v>
      </c>
      <c r="C282" s="2087" t="s">
        <v>1261</v>
      </c>
      <c r="D282" s="1604"/>
    </row>
    <row r="283" spans="1:4" ht="12.75">
      <c r="A283" s="1604"/>
      <c r="B283" s="1614" t="s">
        <v>223</v>
      </c>
      <c r="C283" s="2087" t="s">
        <v>1261</v>
      </c>
      <c r="D283" s="1604"/>
    </row>
    <row r="284" spans="1:4" ht="12.75">
      <c r="A284" s="1604"/>
      <c r="B284" s="1614" t="s">
        <v>224</v>
      </c>
      <c r="C284" s="2087" t="s">
        <v>1261</v>
      </c>
      <c r="D284" s="1604"/>
    </row>
    <row r="285" spans="1:4" ht="12.75">
      <c r="A285" s="1604"/>
      <c r="B285" s="1614" t="s">
        <v>225</v>
      </c>
      <c r="C285" s="2087" t="s">
        <v>1261</v>
      </c>
      <c r="D285" s="1604"/>
    </row>
    <row r="286" spans="1:4" ht="12.75">
      <c r="A286" s="1604"/>
      <c r="B286" s="1614" t="s">
        <v>90</v>
      </c>
      <c r="C286" s="2087" t="s">
        <v>1261</v>
      </c>
      <c r="D286" s="1604"/>
    </row>
    <row r="287" spans="1:4" ht="12.75">
      <c r="A287" s="1604"/>
      <c r="B287" s="1614" t="s">
        <v>226</v>
      </c>
      <c r="C287" s="2087" t="s">
        <v>1261</v>
      </c>
      <c r="D287" s="1604"/>
    </row>
    <row r="288" spans="1:4" ht="12.75">
      <c r="A288" s="1604"/>
      <c r="B288" s="2086" t="s">
        <v>2081</v>
      </c>
      <c r="C288" s="2087" t="s">
        <v>1117</v>
      </c>
      <c r="D288" s="1604"/>
    </row>
    <row r="289" spans="1:4" ht="12.75">
      <c r="A289" s="1604"/>
      <c r="B289" s="1614" t="s">
        <v>227</v>
      </c>
      <c r="C289" s="2087" t="s">
        <v>1117</v>
      </c>
      <c r="D289" s="1604"/>
    </row>
    <row r="290" spans="1:4" ht="12.75">
      <c r="A290" s="1604"/>
      <c r="B290" s="1614" t="s">
        <v>228</v>
      </c>
      <c r="C290" s="2087" t="s">
        <v>1117</v>
      </c>
      <c r="D290" s="1604"/>
    </row>
    <row r="291" spans="1:4" ht="12.75">
      <c r="A291" s="1604"/>
      <c r="B291" s="1614" t="s">
        <v>229</v>
      </c>
      <c r="C291" s="2087" t="s">
        <v>1117</v>
      </c>
      <c r="D291" s="1604"/>
    </row>
    <row r="292" spans="1:4" ht="12.75">
      <c r="A292" s="1604"/>
      <c r="B292" s="1614" t="s">
        <v>230</v>
      </c>
      <c r="C292" s="2087" t="s">
        <v>1117</v>
      </c>
      <c r="D292" s="1604"/>
    </row>
    <row r="293" spans="1:4" ht="12.75">
      <c r="A293" s="1604"/>
      <c r="B293" s="1614" t="s">
        <v>231</v>
      </c>
      <c r="C293" s="2087" t="s">
        <v>1117</v>
      </c>
      <c r="D293" s="1604"/>
    </row>
    <row r="294" spans="1:4" ht="12.75">
      <c r="A294" s="1604"/>
      <c r="B294" s="1614" t="s">
        <v>232</v>
      </c>
      <c r="C294" s="2087" t="s">
        <v>1117</v>
      </c>
      <c r="D294" s="1604"/>
    </row>
    <row r="295" spans="1:4" ht="12.75">
      <c r="A295" s="1604"/>
      <c r="B295" s="1614" t="s">
        <v>233</v>
      </c>
      <c r="C295" s="2087" t="s">
        <v>1117</v>
      </c>
      <c r="D295" s="1604"/>
    </row>
    <row r="296" spans="1:4" ht="12.75">
      <c r="A296" s="1604"/>
      <c r="B296" s="1614" t="s">
        <v>234</v>
      </c>
      <c r="C296" s="2087" t="s">
        <v>1117</v>
      </c>
      <c r="D296" s="1604"/>
    </row>
    <row r="297" spans="1:4" ht="12.75">
      <c r="A297" s="1604"/>
      <c r="B297" s="1614" t="s">
        <v>235</v>
      </c>
      <c r="C297" s="2087" t="s">
        <v>1117</v>
      </c>
      <c r="D297" s="1604"/>
    </row>
    <row r="298" spans="1:4" ht="12.75">
      <c r="A298" s="1604"/>
      <c r="B298" s="1614" t="s">
        <v>2082</v>
      </c>
      <c r="C298" s="2087" t="s">
        <v>1117</v>
      </c>
      <c r="D298" s="1604"/>
    </row>
    <row r="299" spans="1:4" ht="12.75">
      <c r="A299" s="1604"/>
      <c r="B299" s="1614" t="s">
        <v>236</v>
      </c>
      <c r="C299" s="2087" t="s">
        <v>1117</v>
      </c>
      <c r="D299" s="1604"/>
    </row>
    <row r="300" spans="1:4" ht="12.75">
      <c r="A300" s="1604"/>
      <c r="B300" s="1614" t="s">
        <v>237</v>
      </c>
      <c r="C300" s="2087" t="s">
        <v>1117</v>
      </c>
      <c r="D300" s="1604"/>
    </row>
    <row r="301" spans="1:4" ht="12.75">
      <c r="A301" s="1604"/>
      <c r="B301" s="1614" t="s">
        <v>238</v>
      </c>
      <c r="C301" s="2087" t="s">
        <v>1117</v>
      </c>
      <c r="D301" s="1604"/>
    </row>
    <row r="302" spans="1:4" ht="12.75">
      <c r="A302" s="1604"/>
      <c r="B302" s="1614" t="s">
        <v>239</v>
      </c>
      <c r="C302" s="2087" t="s">
        <v>1117</v>
      </c>
      <c r="D302" s="1604"/>
    </row>
    <row r="303" spans="1:4" ht="12.75">
      <c r="A303" s="1604"/>
      <c r="B303" s="1614" t="s">
        <v>240</v>
      </c>
      <c r="C303" s="2087" t="s">
        <v>1117</v>
      </c>
      <c r="D303" s="1604"/>
    </row>
    <row r="304" spans="1:4" ht="12.75">
      <c r="A304" s="1604"/>
      <c r="B304" s="1614" t="s">
        <v>241</v>
      </c>
      <c r="C304" s="2087" t="s">
        <v>1117</v>
      </c>
      <c r="D304" s="1604"/>
    </row>
    <row r="305" spans="1:4" ht="12.75">
      <c r="A305" s="1604"/>
      <c r="B305" s="1614" t="s">
        <v>242</v>
      </c>
      <c r="C305" s="2087" t="s">
        <v>1117</v>
      </c>
      <c r="D305" s="1604"/>
    </row>
    <row r="306" spans="1:4" ht="12.75">
      <c r="A306" s="1604"/>
      <c r="B306" s="1614" t="s">
        <v>243</v>
      </c>
      <c r="C306" s="2087" t="s">
        <v>1117</v>
      </c>
      <c r="D306" s="1604"/>
    </row>
    <row r="307" spans="1:4" ht="12.75">
      <c r="A307" s="1604"/>
      <c r="B307" s="1614" t="s">
        <v>244</v>
      </c>
      <c r="C307" s="2087" t="s">
        <v>1117</v>
      </c>
      <c r="D307" s="1604"/>
    </row>
    <row r="308" spans="1:4" ht="12.75">
      <c r="A308" s="1604"/>
      <c r="B308" s="1614" t="s">
        <v>245</v>
      </c>
      <c r="C308" s="2087" t="s">
        <v>1117</v>
      </c>
      <c r="D308" s="1604"/>
    </row>
    <row r="309" spans="1:4" ht="12.75">
      <c r="A309" s="1604"/>
      <c r="B309" s="1614" t="s">
        <v>246</v>
      </c>
      <c r="C309" s="2087" t="s">
        <v>1117</v>
      </c>
      <c r="D309" s="1604"/>
    </row>
    <row r="310" spans="1:4" ht="12.75">
      <c r="A310" s="1604"/>
      <c r="B310" s="1614" t="s">
        <v>247</v>
      </c>
      <c r="C310" s="2087" t="s">
        <v>1117</v>
      </c>
      <c r="D310" s="1604"/>
    </row>
    <row r="311" spans="1:4" ht="12.75">
      <c r="A311" s="1604"/>
      <c r="B311" s="1614" t="s">
        <v>248</v>
      </c>
      <c r="C311" s="2087" t="s">
        <v>1117</v>
      </c>
      <c r="D311" s="1604"/>
    </row>
    <row r="312" spans="1:4" ht="12.75">
      <c r="A312" s="1604"/>
      <c r="B312" s="1614" t="s">
        <v>249</v>
      </c>
      <c r="C312" s="2087" t="s">
        <v>1117</v>
      </c>
      <c r="D312" s="1604"/>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80"/>
  <sheetViews>
    <sheetView showGridLines="0" workbookViewId="0">
      <pane xSplit="2" ySplit="4" topLeftCell="C5" activePane="bottomRight" state="frozen"/>
      <selection activeCell="O37" sqref="A1:IV65536"/>
      <selection pane="topRight" activeCell="O37" sqref="A1:IV65536"/>
      <selection pane="bottomLeft" activeCell="O37" sqref="A1:IV65536"/>
      <selection pane="bottomRight" activeCell="K7" sqref="K7"/>
    </sheetView>
  </sheetViews>
  <sheetFormatPr defaultRowHeight="12.75"/>
  <cols>
    <col min="1" max="1" width="30.7109375" style="150" customWidth="1"/>
    <col min="2" max="2" width="3" style="248" customWidth="1"/>
    <col min="3" max="11" width="9.2851562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"&amp;TableA22</f>
        <v>KZN225 Msunduzi - Supporting Table SA22 Summary councillor and staff benefits</v>
      </c>
      <c r="B1" s="148"/>
      <c r="C1" s="148"/>
      <c r="D1" s="148"/>
      <c r="E1" s="148"/>
      <c r="F1" s="148"/>
      <c r="G1" s="148"/>
      <c r="H1" s="148"/>
      <c r="I1" s="148"/>
      <c r="J1" s="148"/>
      <c r="K1" s="148"/>
    </row>
    <row r="2" spans="1:12" ht="28.5" customHeight="1">
      <c r="A2" s="1011" t="s">
        <v>1799</v>
      </c>
      <c r="B2" s="422" t="str">
        <f>head27</f>
        <v>Ref</v>
      </c>
      <c r="C2" s="151" t="str">
        <f>head1b</f>
        <v>2007/8</v>
      </c>
      <c r="D2" s="769" t="str">
        <f>head1A</f>
        <v>2008/9</v>
      </c>
      <c r="E2" s="147" t="str">
        <f>Head1</f>
        <v>2009/10</v>
      </c>
      <c r="F2" s="2415" t="str">
        <f>Head2</f>
        <v>Current Year 2010/11</v>
      </c>
      <c r="G2" s="2416"/>
      <c r="H2" s="2420"/>
      <c r="I2" s="2413" t="str">
        <f>Head3</f>
        <v>2011/12 Medium Term Revenue &amp; Expenditure Framework</v>
      </c>
      <c r="J2" s="2413"/>
      <c r="K2" s="2414"/>
    </row>
    <row r="3" spans="1:12" ht="25.5">
      <c r="A3" s="181" t="s">
        <v>703</v>
      </c>
      <c r="B3" s="1016"/>
      <c r="C3" s="393" t="str">
        <f>Head5</f>
        <v>Audited Outcome</v>
      </c>
      <c r="D3" s="1025" t="str">
        <f>Head5</f>
        <v>Audited Outcome</v>
      </c>
      <c r="E3" s="394" t="str">
        <f>Head5</f>
        <v>Audited Outcome</v>
      </c>
      <c r="F3" s="300" t="str">
        <f>Head6</f>
        <v>Original Budget</v>
      </c>
      <c r="G3" s="393" t="str">
        <f>Head7</f>
        <v>Adjusted Budget</v>
      </c>
      <c r="H3" s="394" t="str">
        <f>Head8</f>
        <v>Full Year Forecast</v>
      </c>
      <c r="I3" s="392" t="str">
        <f>Head9</f>
        <v>Budget Year 2011/12</v>
      </c>
      <c r="J3" s="393" t="str">
        <f>Head10</f>
        <v>Budget Year +1 2012/13</v>
      </c>
      <c r="K3" s="394" t="str">
        <f>Head11</f>
        <v>Budget Year +2 2013/14</v>
      </c>
    </row>
    <row r="4" spans="1:12">
      <c r="A4" s="250"/>
      <c r="B4" s="183">
        <v>1</v>
      </c>
      <c r="C4" s="183" t="s">
        <v>429</v>
      </c>
      <c r="D4" s="183" t="s">
        <v>1467</v>
      </c>
      <c r="E4" s="834" t="s">
        <v>526</v>
      </c>
      <c r="F4" s="835" t="s">
        <v>577</v>
      </c>
      <c r="G4" s="183" t="s">
        <v>1695</v>
      </c>
      <c r="H4" s="834" t="s">
        <v>1696</v>
      </c>
      <c r="I4" s="665" t="s">
        <v>1697</v>
      </c>
      <c r="J4" s="183" t="s">
        <v>591</v>
      </c>
      <c r="K4" s="834" t="s">
        <v>592</v>
      </c>
    </row>
    <row r="5" spans="1:12" ht="11.25" customHeight="1">
      <c r="A5" s="250" t="s">
        <v>806</v>
      </c>
      <c r="B5" s="183"/>
      <c r="C5" s="204"/>
      <c r="D5" s="204"/>
      <c r="E5" s="205"/>
      <c r="F5" s="206"/>
      <c r="G5" s="204"/>
      <c r="H5" s="205"/>
      <c r="I5" s="203"/>
      <c r="J5" s="204"/>
      <c r="K5" s="205"/>
    </row>
    <row r="6" spans="1:12" ht="11.25" customHeight="1">
      <c r="A6" s="251" t="s">
        <v>112</v>
      </c>
      <c r="B6" s="183"/>
      <c r="C6" s="1081">
        <f>9686906+109394</f>
        <v>9796300</v>
      </c>
      <c r="D6" s="1082">
        <v>13842573</v>
      </c>
      <c r="E6" s="1083">
        <f>12483053+138238</f>
        <v>12621291</v>
      </c>
      <c r="F6" s="1712">
        <v>12462000</v>
      </c>
      <c r="G6" s="1712">
        <v>12462000</v>
      </c>
      <c r="H6" s="1712">
        <v>12462000</v>
      </c>
      <c r="I6" s="1080">
        <f>1016245*12+2702000</f>
        <v>14896940</v>
      </c>
      <c r="J6" s="1708">
        <f>13048586+2535000</f>
        <v>15583586</v>
      </c>
      <c r="K6" s="1730">
        <f>13961987+2381000</f>
        <v>16342987</v>
      </c>
    </row>
    <row r="7" spans="1:12" ht="11.25" customHeight="1">
      <c r="A7" s="251" t="s">
        <v>807</v>
      </c>
      <c r="B7" s="183"/>
      <c r="C7" s="1081">
        <v>1390324</v>
      </c>
      <c r="D7" s="1082">
        <v>1621080</v>
      </c>
      <c r="E7" s="1083">
        <v>2538378</v>
      </c>
      <c r="F7" s="1712">
        <v>1725000</v>
      </c>
      <c r="G7" s="1712">
        <v>1725000</v>
      </c>
      <c r="H7" s="1712">
        <v>1725000</v>
      </c>
      <c r="I7" s="1080">
        <f>136791*12</f>
        <v>1641492</v>
      </c>
      <c r="J7" s="1708">
        <v>1756396</v>
      </c>
      <c r="K7" s="1730">
        <v>1879344</v>
      </c>
    </row>
    <row r="8" spans="1:12" ht="11.25" customHeight="1">
      <c r="A8" s="251" t="s">
        <v>808</v>
      </c>
      <c r="B8" s="183"/>
      <c r="C8" s="1081">
        <v>325219</v>
      </c>
      <c r="D8" s="1082">
        <v>518724</v>
      </c>
      <c r="E8" s="1083">
        <v>410970</v>
      </c>
      <c r="F8" s="1712">
        <v>402000</v>
      </c>
      <c r="G8" s="1712">
        <v>402000</v>
      </c>
      <c r="H8" s="1712">
        <v>402000</v>
      </c>
      <c r="I8" s="1080">
        <f>30357*12</f>
        <v>364284</v>
      </c>
      <c r="J8" s="1708">
        <v>389784</v>
      </c>
      <c r="K8" s="1730">
        <v>417069</v>
      </c>
    </row>
    <row r="9" spans="1:12" ht="11.25" customHeight="1">
      <c r="A9" s="251" t="s">
        <v>1754</v>
      </c>
      <c r="B9" s="183"/>
      <c r="C9" s="1081">
        <f>2942545+673780</f>
        <v>3616325</v>
      </c>
      <c r="D9" s="1082">
        <f>28800+2123544</f>
        <v>2152344</v>
      </c>
      <c r="E9" s="1083">
        <f>3718411+851437</f>
        <v>4569848</v>
      </c>
      <c r="F9" s="1712">
        <v>3604000</v>
      </c>
      <c r="G9" s="1712">
        <v>3604000</v>
      </c>
      <c r="H9" s="1712">
        <v>3604000</v>
      </c>
      <c r="I9" s="1080">
        <f>262076*12</f>
        <v>3144912</v>
      </c>
      <c r="J9" s="1708">
        <v>3365056</v>
      </c>
      <c r="K9" s="1730">
        <v>3600610</v>
      </c>
      <c r="L9" s="373"/>
    </row>
    <row r="10" spans="1:12" ht="11.25" customHeight="1">
      <c r="A10" s="251" t="s">
        <v>1678</v>
      </c>
      <c r="B10" s="183"/>
      <c r="C10" s="1081">
        <v>338977</v>
      </c>
      <c r="D10" s="1082">
        <v>382452</v>
      </c>
      <c r="E10" s="1083">
        <v>428352</v>
      </c>
      <c r="F10" s="1712">
        <v>831000</v>
      </c>
      <c r="G10" s="1712">
        <v>831000</v>
      </c>
      <c r="H10" s="1712">
        <v>831000</v>
      </c>
      <c r="I10" s="1080">
        <f>65995*12</f>
        <v>791940</v>
      </c>
      <c r="J10" s="1708">
        <v>847376</v>
      </c>
      <c r="K10" s="1730">
        <v>906692</v>
      </c>
      <c r="L10" s="373"/>
    </row>
    <row r="11" spans="1:12" ht="11.25" customHeight="1">
      <c r="A11" s="251" t="s">
        <v>1054</v>
      </c>
      <c r="B11" s="183"/>
      <c r="C11" s="1081"/>
      <c r="D11" s="1082"/>
      <c r="E11" s="1083"/>
      <c r="F11" s="1712">
        <v>332000</v>
      </c>
      <c r="G11" s="1712">
        <v>332000</v>
      </c>
      <c r="H11" s="1712">
        <v>332000</v>
      </c>
      <c r="I11" s="1081">
        <f>9562*12</f>
        <v>114744</v>
      </c>
      <c r="J11" s="1708">
        <v>122776</v>
      </c>
      <c r="K11" s="1730">
        <v>131370</v>
      </c>
      <c r="L11" s="373"/>
    </row>
    <row r="12" spans="1:12" ht="11.25" customHeight="1">
      <c r="A12" s="191" t="s">
        <v>1429</v>
      </c>
      <c r="B12" s="183"/>
      <c r="C12" s="1081"/>
      <c r="D12" s="1082"/>
      <c r="E12" s="1083"/>
      <c r="F12" s="1712">
        <v>0</v>
      </c>
      <c r="G12" s="1708"/>
      <c r="H12" s="1730"/>
      <c r="I12" s="1081"/>
      <c r="J12" s="1708"/>
      <c r="K12" s="1730"/>
      <c r="L12" s="373"/>
    </row>
    <row r="13" spans="1:12" ht="11.25" customHeight="1">
      <c r="A13" s="191" t="s">
        <v>1052</v>
      </c>
      <c r="B13" s="183"/>
      <c r="C13" s="1081"/>
      <c r="D13" s="1082"/>
      <c r="E13" s="1083"/>
      <c r="F13" s="1712">
        <v>0</v>
      </c>
      <c r="G13" s="1708"/>
      <c r="H13" s="1730"/>
      <c r="I13" s="1081"/>
      <c r="J13" s="1708"/>
      <c r="K13" s="1730"/>
      <c r="L13" s="373"/>
    </row>
    <row r="14" spans="1:12" ht="11.25" customHeight="1">
      <c r="A14" s="266" t="s">
        <v>809</v>
      </c>
      <c r="B14" s="183"/>
      <c r="C14" s="268">
        <f t="shared" ref="C14:K14" si="0">SUM(C6:C13)</f>
        <v>15467145</v>
      </c>
      <c r="D14" s="214">
        <f t="shared" si="0"/>
        <v>18517173</v>
      </c>
      <c r="E14" s="215">
        <f t="shared" si="0"/>
        <v>20568839</v>
      </c>
      <c r="F14" s="216">
        <f t="shared" si="0"/>
        <v>19356000</v>
      </c>
      <c r="G14" s="214">
        <f t="shared" si="0"/>
        <v>19356000</v>
      </c>
      <c r="H14" s="215">
        <f t="shared" si="0"/>
        <v>19356000</v>
      </c>
      <c r="I14" s="213">
        <f t="shared" si="0"/>
        <v>20954312</v>
      </c>
      <c r="J14" s="214">
        <f t="shared" si="0"/>
        <v>22064974</v>
      </c>
      <c r="K14" s="215">
        <f t="shared" si="0"/>
        <v>23278072</v>
      </c>
      <c r="L14" s="373"/>
    </row>
    <row r="15" spans="1:12" ht="11.25" customHeight="1">
      <c r="A15" s="376" t="s">
        <v>999</v>
      </c>
      <c r="B15" s="183">
        <v>4</v>
      </c>
      <c r="C15" s="836"/>
      <c r="D15" s="837">
        <f>IF(ISERROR((D14/C14)-1),0,((D14/C14)-1))</f>
        <v>0.19719398764283902</v>
      </c>
      <c r="E15" s="872">
        <f t="shared" ref="E15:K15" si="1">IF(ISERROR((E14/D14)-1),0,((E14/D14)-1))</f>
        <v>0.11079801436212744</v>
      </c>
      <c r="F15" s="1228">
        <f t="shared" si="1"/>
        <v>-5.8964874001882217E-2</v>
      </c>
      <c r="G15" s="837">
        <f t="shared" si="1"/>
        <v>0</v>
      </c>
      <c r="H15" s="872">
        <f t="shared" si="1"/>
        <v>0</v>
      </c>
      <c r="I15" s="1228">
        <f t="shared" si="1"/>
        <v>8.2574498863401624E-2</v>
      </c>
      <c r="J15" s="837">
        <f t="shared" si="1"/>
        <v>5.3003983141989952E-2</v>
      </c>
      <c r="K15" s="872">
        <f t="shared" si="1"/>
        <v>5.4978446836148498E-2</v>
      </c>
      <c r="L15" s="373"/>
    </row>
    <row r="16" spans="1:12" ht="5.0999999999999996" customHeight="1">
      <c r="A16" s="274"/>
      <c r="B16" s="183"/>
      <c r="C16" s="521"/>
      <c r="D16" s="406"/>
      <c r="E16" s="196"/>
      <c r="F16" s="403"/>
      <c r="G16" s="406"/>
      <c r="H16" s="196"/>
      <c r="I16" s="310"/>
      <c r="J16" s="406"/>
      <c r="K16" s="196"/>
      <c r="L16" s="373"/>
    </row>
    <row r="17" spans="1:12" ht="11.25" customHeight="1">
      <c r="A17" s="250" t="s">
        <v>1427</v>
      </c>
      <c r="B17" s="183">
        <v>2</v>
      </c>
      <c r="C17" s="208"/>
      <c r="D17" s="204"/>
      <c r="E17" s="205"/>
      <c r="F17" s="206"/>
      <c r="G17" s="204"/>
      <c r="H17" s="205"/>
      <c r="I17" s="203"/>
      <c r="J17" s="204"/>
      <c r="K17" s="205"/>
      <c r="L17" s="373"/>
    </row>
    <row r="18" spans="1:12" ht="11.25" customHeight="1">
      <c r="A18" s="251" t="str">
        <f>$A$6</f>
        <v>Salary</v>
      </c>
      <c r="B18" s="183"/>
      <c r="C18" s="1081">
        <v>3457952</v>
      </c>
      <c r="D18" s="1082">
        <f>835816+4336988</f>
        <v>5172804</v>
      </c>
      <c r="E18" s="1731">
        <v>4651086</v>
      </c>
      <c r="F18" s="1712">
        <v>4295000</v>
      </c>
      <c r="G18" s="1712">
        <v>4295000</v>
      </c>
      <c r="H18" s="1712">
        <v>4295000</v>
      </c>
      <c r="I18" s="1731">
        <v>3783914</v>
      </c>
      <c r="J18" s="1708">
        <v>4048787.9800000004</v>
      </c>
      <c r="K18" s="1730">
        <v>4332203.1386000011</v>
      </c>
      <c r="L18" s="373"/>
    </row>
    <row r="19" spans="1:12" ht="11.25" customHeight="1">
      <c r="A19" s="251" t="str">
        <f>A7</f>
        <v>Pension Contributions</v>
      </c>
      <c r="B19" s="183"/>
      <c r="C19" s="1081">
        <v>305478</v>
      </c>
      <c r="D19" s="1082"/>
      <c r="E19" s="1731">
        <v>401837</v>
      </c>
      <c r="F19" s="1712">
        <v>148000</v>
      </c>
      <c r="G19" s="1712">
        <v>148000</v>
      </c>
      <c r="H19" s="1712">
        <v>148000</v>
      </c>
      <c r="I19" s="1731">
        <v>254570</v>
      </c>
      <c r="J19" s="1708">
        <v>272389.90000000002</v>
      </c>
      <c r="K19" s="1730">
        <v>291457.19300000003</v>
      </c>
      <c r="L19" s="373"/>
    </row>
    <row r="20" spans="1:12" ht="11.25" customHeight="1">
      <c r="A20" s="251" t="str">
        <f>A8</f>
        <v>Medical Aid Contributions</v>
      </c>
      <c r="B20" s="183"/>
      <c r="C20" s="1081"/>
      <c r="D20" s="1082"/>
      <c r="E20" s="1731">
        <v>48844</v>
      </c>
      <c r="F20" s="1712">
        <v>44000</v>
      </c>
      <c r="G20" s="1712">
        <v>44000</v>
      </c>
      <c r="H20" s="1712">
        <v>44000</v>
      </c>
      <c r="I20" s="1731">
        <v>60129</v>
      </c>
      <c r="J20" s="1708">
        <v>64338.030000000006</v>
      </c>
      <c r="K20" s="1730">
        <v>68841.692100000015</v>
      </c>
      <c r="L20" s="373"/>
    </row>
    <row r="21" spans="1:12" ht="11.25" customHeight="1">
      <c r="A21" s="251" t="str">
        <f>A9</f>
        <v>Motor vehicle allowance</v>
      </c>
      <c r="B21" s="183"/>
      <c r="C21" s="1081">
        <v>535782</v>
      </c>
      <c r="D21" s="1082">
        <f>66000+639351</f>
        <v>705351</v>
      </c>
      <c r="E21" s="1731">
        <v>511439</v>
      </c>
      <c r="F21" s="1712">
        <v>463000</v>
      </c>
      <c r="G21" s="1712">
        <v>463000</v>
      </c>
      <c r="H21" s="1712">
        <v>463000</v>
      </c>
      <c r="I21" s="1731">
        <v>429579</v>
      </c>
      <c r="J21" s="1708">
        <v>459649.53</v>
      </c>
      <c r="K21" s="1730">
        <v>491824.99710000004</v>
      </c>
      <c r="L21" s="373"/>
    </row>
    <row r="22" spans="1:12" ht="11.25" customHeight="1">
      <c r="A22" s="251" t="s">
        <v>1678</v>
      </c>
      <c r="B22" s="183"/>
      <c r="C22" s="1081"/>
      <c r="D22" s="1082"/>
      <c r="E22" s="1731"/>
      <c r="F22" s="1712"/>
      <c r="G22" s="1712"/>
      <c r="H22" s="1712"/>
      <c r="I22" s="1731"/>
      <c r="J22" s="1708"/>
      <c r="K22" s="1730"/>
      <c r="L22" s="373"/>
    </row>
    <row r="23" spans="1:12" ht="11.25" customHeight="1">
      <c r="A23" s="251" t="str">
        <f>A11</f>
        <v>Housing allowance</v>
      </c>
      <c r="B23" s="183"/>
      <c r="C23" s="1081">
        <v>262690</v>
      </c>
      <c r="D23" s="1082"/>
      <c r="E23" s="1731"/>
      <c r="F23" s="1712"/>
      <c r="G23" s="1712"/>
      <c r="H23" s="1712"/>
      <c r="I23" s="1731"/>
      <c r="J23" s="1708"/>
      <c r="K23" s="1730"/>
      <c r="L23" s="373"/>
    </row>
    <row r="24" spans="1:12" ht="11.25" customHeight="1">
      <c r="A24" s="251" t="s">
        <v>810</v>
      </c>
      <c r="B24" s="183"/>
      <c r="C24" s="1081">
        <v>389111</v>
      </c>
      <c r="D24" s="1082">
        <f>172884+264787</f>
        <v>437671</v>
      </c>
      <c r="E24" s="1731">
        <v>0</v>
      </c>
      <c r="F24" s="1712"/>
      <c r="G24" s="1712"/>
      <c r="H24" s="1712"/>
      <c r="I24" s="1731">
        <v>0</v>
      </c>
      <c r="J24" s="1708"/>
      <c r="K24" s="1730"/>
      <c r="L24" s="373"/>
    </row>
    <row r="25" spans="1:12" ht="11.25" customHeight="1">
      <c r="A25" s="251" t="s">
        <v>1429</v>
      </c>
      <c r="B25" s="183"/>
      <c r="C25" s="1081"/>
      <c r="D25" s="1082"/>
      <c r="E25" s="1083"/>
      <c r="F25" s="1712">
        <v>3000</v>
      </c>
      <c r="G25" s="1712">
        <v>3000</v>
      </c>
      <c r="H25" s="1712">
        <v>3000</v>
      </c>
      <c r="I25" s="1081"/>
      <c r="J25" s="1708"/>
      <c r="K25" s="1730"/>
      <c r="L25" s="373"/>
    </row>
    <row r="26" spans="1:12" ht="11.25" customHeight="1">
      <c r="A26" s="251" t="s">
        <v>1052</v>
      </c>
      <c r="B26" s="183"/>
      <c r="C26" s="1081"/>
      <c r="D26" s="1082"/>
      <c r="E26" s="1083"/>
      <c r="F26" s="1712"/>
      <c r="G26" s="1708"/>
      <c r="H26" s="1730"/>
      <c r="I26" s="1081"/>
      <c r="J26" s="1708"/>
      <c r="K26" s="1730"/>
      <c r="L26" s="373"/>
    </row>
    <row r="27" spans="1:12" ht="11.25" customHeight="1">
      <c r="A27" s="266" t="s">
        <v>811</v>
      </c>
      <c r="B27" s="183"/>
      <c r="C27" s="268">
        <f>SUM(C18:C26)</f>
        <v>4951013</v>
      </c>
      <c r="D27" s="214">
        <f t="shared" ref="D27:K27" si="2">SUM(D18:D26)</f>
        <v>6315826</v>
      </c>
      <c r="E27" s="215">
        <f t="shared" si="2"/>
        <v>5613206</v>
      </c>
      <c r="F27" s="216">
        <f t="shared" si="2"/>
        <v>4953000</v>
      </c>
      <c r="G27" s="214">
        <f t="shared" si="2"/>
        <v>4953000</v>
      </c>
      <c r="H27" s="215">
        <f t="shared" si="2"/>
        <v>4953000</v>
      </c>
      <c r="I27" s="213">
        <f t="shared" si="2"/>
        <v>4528192</v>
      </c>
      <c r="J27" s="214">
        <f t="shared" si="2"/>
        <v>4845165.4400000013</v>
      </c>
      <c r="K27" s="215">
        <f t="shared" si="2"/>
        <v>5184327.020800001</v>
      </c>
      <c r="L27" s="373"/>
    </row>
    <row r="28" spans="1:12" ht="11.25" customHeight="1">
      <c r="A28" s="376" t="str">
        <f>$A$15</f>
        <v>% increase</v>
      </c>
      <c r="B28" s="183">
        <f>$B$15</f>
        <v>4</v>
      </c>
      <c r="C28" s="836"/>
      <c r="D28" s="837">
        <f>IF(ISERROR((D27/C27)-1),0,((D27/C27)-1))</f>
        <v>0.27566338444273919</v>
      </c>
      <c r="E28" s="838">
        <f t="shared" ref="E28:K28" si="3">IF(ISERROR((E27/D27)-1),0,((E27/D27)-1))</f>
        <v>-0.11124752328515697</v>
      </c>
      <c r="F28" s="839">
        <f t="shared" si="3"/>
        <v>-0.11761656351112004</v>
      </c>
      <c r="G28" s="837">
        <f t="shared" si="3"/>
        <v>0</v>
      </c>
      <c r="H28" s="838">
        <f t="shared" si="3"/>
        <v>0</v>
      </c>
      <c r="I28" s="840">
        <f t="shared" si="3"/>
        <v>-8.5767817484352915E-2</v>
      </c>
      <c r="J28" s="837">
        <f t="shared" si="3"/>
        <v>7.0000000000000284E-2</v>
      </c>
      <c r="K28" s="838">
        <f t="shared" si="3"/>
        <v>6.999999999999984E-2</v>
      </c>
      <c r="L28" s="373"/>
    </row>
    <row r="29" spans="1:12" ht="5.0999999999999996" customHeight="1">
      <c r="A29" s="274"/>
      <c r="B29" s="183"/>
      <c r="C29" s="521"/>
      <c r="D29" s="406"/>
      <c r="E29" s="196"/>
      <c r="F29" s="403"/>
      <c r="G29" s="406"/>
      <c r="H29" s="196"/>
      <c r="I29" s="310"/>
      <c r="J29" s="406"/>
      <c r="K29" s="196"/>
      <c r="L29" s="373"/>
    </row>
    <row r="30" spans="1:12" ht="11.25" customHeight="1">
      <c r="A30" s="250" t="s">
        <v>812</v>
      </c>
      <c r="B30" s="183"/>
      <c r="C30" s="208"/>
      <c r="D30" s="204"/>
      <c r="E30" s="205"/>
      <c r="F30" s="206"/>
      <c r="G30" s="204"/>
      <c r="H30" s="205"/>
      <c r="I30" s="203"/>
      <c r="J30" s="204"/>
      <c r="K30" s="205"/>
      <c r="L30" s="373"/>
    </row>
    <row r="31" spans="1:12" ht="11.25" customHeight="1">
      <c r="A31" s="251" t="s">
        <v>1428</v>
      </c>
      <c r="B31" s="183"/>
      <c r="C31" s="1081">
        <v>332103247</v>
      </c>
      <c r="D31" s="1082">
        <v>352379666</v>
      </c>
      <c r="E31" s="1083">
        <v>427607755</v>
      </c>
      <c r="F31" s="1712">
        <v>412845000</v>
      </c>
      <c r="G31" s="1712">
        <v>412845000</v>
      </c>
      <c r="H31" s="1712">
        <v>412845000</v>
      </c>
      <c r="I31" s="1081">
        <v>387584888</v>
      </c>
      <c r="J31" s="1708">
        <v>414715830.16000003</v>
      </c>
      <c r="K31" s="1730">
        <v>443745938.27120006</v>
      </c>
      <c r="L31" s="373"/>
    </row>
    <row r="32" spans="1:12" ht="11.25" customHeight="1">
      <c r="A32" s="251" t="s">
        <v>807</v>
      </c>
      <c r="B32" s="183"/>
      <c r="C32" s="1081">
        <v>62809229</v>
      </c>
      <c r="D32" s="1082">
        <v>64456656</v>
      </c>
      <c r="E32" s="1083">
        <v>80872302</v>
      </c>
      <c r="F32" s="1712">
        <v>83097000</v>
      </c>
      <c r="G32" s="1712">
        <v>83097000</v>
      </c>
      <c r="H32" s="1712">
        <v>83097000</v>
      </c>
      <c r="I32" s="1081">
        <v>98576808</v>
      </c>
      <c r="J32" s="1708">
        <v>105477184.56</v>
      </c>
      <c r="K32" s="1730">
        <v>112860587.47920001</v>
      </c>
      <c r="L32" s="373"/>
    </row>
    <row r="33" spans="1:15" ht="11.25" customHeight="1">
      <c r="A33" s="251" t="s">
        <v>808</v>
      </c>
      <c r="B33" s="183"/>
      <c r="C33" s="1081">
        <v>19034940</v>
      </c>
      <c r="D33" s="1082">
        <v>23682988</v>
      </c>
      <c r="E33" s="1083">
        <v>25099811</v>
      </c>
      <c r="F33" s="1712">
        <v>29005000</v>
      </c>
      <c r="G33" s="1712">
        <v>29005000</v>
      </c>
      <c r="H33" s="1712">
        <v>29005000</v>
      </c>
      <c r="I33" s="1081">
        <v>30410835</v>
      </c>
      <c r="J33" s="1708">
        <v>32539593.450000003</v>
      </c>
      <c r="K33" s="1730">
        <v>34817364.991500005</v>
      </c>
      <c r="L33" s="373"/>
    </row>
    <row r="34" spans="1:15" ht="11.25" customHeight="1">
      <c r="A34" s="251" t="str">
        <f>A21</f>
        <v>Motor vehicle allowance</v>
      </c>
      <c r="B34" s="183"/>
      <c r="C34" s="1081">
        <v>8409617</v>
      </c>
      <c r="D34" s="1082">
        <v>4205833</v>
      </c>
      <c r="E34" s="1083">
        <v>8404273</v>
      </c>
      <c r="F34" s="1712">
        <v>13387000</v>
      </c>
      <c r="G34" s="1712">
        <v>13387000</v>
      </c>
      <c r="H34" s="1712">
        <v>13387000</v>
      </c>
      <c r="I34" s="1081">
        <v>10453590</v>
      </c>
      <c r="J34" s="1708">
        <v>11185341.300000001</v>
      </c>
      <c r="K34" s="1730">
        <v>11968315.191000002</v>
      </c>
      <c r="L34" s="373"/>
    </row>
    <row r="35" spans="1:15" ht="11.25" customHeight="1">
      <c r="A35" s="251" t="s">
        <v>1678</v>
      </c>
      <c r="B35" s="183"/>
      <c r="C35" s="1081">
        <v>5306271</v>
      </c>
      <c r="D35" s="1082">
        <v>4770274</v>
      </c>
      <c r="E35" s="1083">
        <v>6948163</v>
      </c>
      <c r="F35" s="1712">
        <v>0</v>
      </c>
      <c r="G35" s="1712">
        <v>0</v>
      </c>
      <c r="H35" s="1712">
        <v>0</v>
      </c>
      <c r="I35" s="1081">
        <v>1506480</v>
      </c>
      <c r="J35" s="1708">
        <v>1611933.6</v>
      </c>
      <c r="K35" s="1730">
        <v>1724768.9520000003</v>
      </c>
      <c r="L35" s="373"/>
    </row>
    <row r="36" spans="1:15" ht="11.25" customHeight="1">
      <c r="A36" s="251" t="str">
        <f>A23</f>
        <v>Housing allowance</v>
      </c>
      <c r="B36" s="183"/>
      <c r="C36" s="1081">
        <v>49964735</v>
      </c>
      <c r="D36" s="1082">
        <v>33538312</v>
      </c>
      <c r="E36" s="1083">
        <v>33538311</v>
      </c>
      <c r="F36" s="1712">
        <v>4290000</v>
      </c>
      <c r="G36" s="1712">
        <v>4290000</v>
      </c>
      <c r="H36" s="1712">
        <v>4290000</v>
      </c>
      <c r="I36" s="1081">
        <v>3475270</v>
      </c>
      <c r="J36" s="1708">
        <v>3718538.9000000004</v>
      </c>
      <c r="K36" s="1730">
        <v>3978836.6230000006</v>
      </c>
      <c r="L36" s="373"/>
    </row>
    <row r="37" spans="1:15" ht="11.25" customHeight="1">
      <c r="A37" s="251" t="s">
        <v>1180</v>
      </c>
      <c r="B37" s="183"/>
      <c r="C37" s="1081"/>
      <c r="D37" s="1082"/>
      <c r="E37" s="1083"/>
      <c r="F37" s="1712">
        <v>14999998</v>
      </c>
      <c r="G37" s="1712">
        <v>14999998</v>
      </c>
      <c r="H37" s="1712">
        <v>14999998</v>
      </c>
      <c r="I37" s="1081">
        <v>19295946</v>
      </c>
      <c r="J37" s="1708">
        <v>20646662.220000003</v>
      </c>
      <c r="K37" s="1730">
        <v>22091928.575400002</v>
      </c>
      <c r="L37" s="373"/>
      <c r="O37" s="373"/>
    </row>
    <row r="38" spans="1:15" ht="11.25" customHeight="1">
      <c r="A38" s="251" t="s">
        <v>810</v>
      </c>
      <c r="B38" s="183"/>
      <c r="C38" s="1081">
        <v>18280185</v>
      </c>
      <c r="D38" s="1082">
        <v>32770741</v>
      </c>
      <c r="E38" s="1083">
        <v>23444425</v>
      </c>
      <c r="F38" s="1712"/>
      <c r="G38" s="1712"/>
      <c r="H38" s="1712"/>
      <c r="I38" s="1081"/>
      <c r="J38" s="1708">
        <v>0</v>
      </c>
      <c r="K38" s="1730">
        <v>0</v>
      </c>
      <c r="L38" s="373"/>
    </row>
    <row r="39" spans="1:15" ht="11.25" customHeight="1">
      <c r="A39" s="251" t="str">
        <f>A25</f>
        <v>Other benefits or allowances</v>
      </c>
      <c r="B39" s="183"/>
      <c r="C39" s="1081"/>
      <c r="D39" s="1082"/>
      <c r="E39" s="1083"/>
      <c r="F39" s="1712">
        <v>35438000</v>
      </c>
      <c r="G39" s="1712">
        <v>35438000</v>
      </c>
      <c r="H39" s="1712">
        <v>35438000</v>
      </c>
      <c r="I39" s="1081">
        <v>27649270</v>
      </c>
      <c r="J39" s="1708">
        <v>29584718.900000002</v>
      </c>
      <c r="K39" s="1730">
        <v>31655649.223000005</v>
      </c>
      <c r="L39" s="373"/>
    </row>
    <row r="40" spans="1:15" ht="11.25" customHeight="1">
      <c r="A40" s="251" t="str">
        <f>$A$26</f>
        <v>In-kind benefits</v>
      </c>
      <c r="B40" s="183"/>
      <c r="C40" s="1081"/>
      <c r="D40" s="1082"/>
      <c r="E40" s="1083"/>
      <c r="F40" s="1712"/>
      <c r="G40" s="1708"/>
      <c r="H40" s="1730"/>
      <c r="I40" s="1081"/>
      <c r="J40" s="1708"/>
      <c r="K40" s="1730"/>
      <c r="L40" s="373"/>
    </row>
    <row r="41" spans="1:15" ht="11.25" customHeight="1">
      <c r="A41" s="266" t="s">
        <v>1973</v>
      </c>
      <c r="B41" s="183"/>
      <c r="C41" s="214">
        <f>SUM(C31:C40)</f>
        <v>495908224</v>
      </c>
      <c r="D41" s="214">
        <f t="shared" ref="D41:K41" si="4">SUM(D31:D40)</f>
        <v>515804470</v>
      </c>
      <c r="E41" s="215">
        <f t="shared" si="4"/>
        <v>605915040</v>
      </c>
      <c r="F41" s="216">
        <f t="shared" si="4"/>
        <v>593061998</v>
      </c>
      <c r="G41" s="214">
        <f t="shared" si="4"/>
        <v>593061998</v>
      </c>
      <c r="H41" s="215">
        <f t="shared" si="4"/>
        <v>593061998</v>
      </c>
      <c r="I41" s="213">
        <f t="shared" si="4"/>
        <v>578953087</v>
      </c>
      <c r="J41" s="214">
        <f t="shared" si="4"/>
        <v>619479803.09000003</v>
      </c>
      <c r="K41" s="215">
        <f t="shared" si="4"/>
        <v>662843389.30630016</v>
      </c>
      <c r="L41" s="373"/>
    </row>
    <row r="42" spans="1:15" ht="11.25" customHeight="1">
      <c r="A42" s="376" t="str">
        <f>$A$15</f>
        <v>% increase</v>
      </c>
      <c r="B42" s="183">
        <f>$B$15</f>
        <v>4</v>
      </c>
      <c r="C42" s="841"/>
      <c r="D42" s="837">
        <f>IF(ISERROR((D41/C41)-1),0,((D41/C41)-1))</f>
        <v>4.0120822839993853E-2</v>
      </c>
      <c r="E42" s="838">
        <f t="shared" ref="E42:K42" si="5">IF(ISERROR((E41/D41)-1),0,((E41/D41)-1))</f>
        <v>0.17469908703970716</v>
      </c>
      <c r="F42" s="839">
        <f t="shared" si="5"/>
        <v>-2.1212614230536331E-2</v>
      </c>
      <c r="G42" s="837">
        <f t="shared" si="5"/>
        <v>0</v>
      </c>
      <c r="H42" s="838">
        <f t="shared" si="5"/>
        <v>0</v>
      </c>
      <c r="I42" s="840">
        <f t="shared" si="5"/>
        <v>-2.3789942784362972E-2</v>
      </c>
      <c r="J42" s="837">
        <f t="shared" si="5"/>
        <v>7.0000000000000062E-2</v>
      </c>
      <c r="K42" s="838">
        <f t="shared" si="5"/>
        <v>7.0000000000000284E-2</v>
      </c>
      <c r="L42" s="373"/>
    </row>
    <row r="43" spans="1:15" ht="5.0999999999999996" customHeight="1">
      <c r="A43" s="274"/>
      <c r="B43" s="183"/>
      <c r="C43" s="406"/>
      <c r="D43" s="406"/>
      <c r="E43" s="196"/>
      <c r="F43" s="403"/>
      <c r="G43" s="406"/>
      <c r="H43" s="196"/>
      <c r="I43" s="310"/>
      <c r="J43" s="406"/>
      <c r="K43" s="196"/>
      <c r="L43" s="373"/>
    </row>
    <row r="44" spans="1:15" ht="11.25" customHeight="1">
      <c r="A44" s="810" t="s">
        <v>1700</v>
      </c>
      <c r="B44" s="811"/>
      <c r="C44" s="277">
        <f>C14+C27+C41</f>
        <v>516326382</v>
      </c>
      <c r="D44" s="277">
        <f>D14+D27+D41</f>
        <v>540637469</v>
      </c>
      <c r="E44" s="278">
        <f t="shared" ref="E44:K44" si="6">E14+E27+E41</f>
        <v>632097085</v>
      </c>
      <c r="F44" s="279">
        <f t="shared" si="6"/>
        <v>617370998</v>
      </c>
      <c r="G44" s="277">
        <f t="shared" si="6"/>
        <v>617370998</v>
      </c>
      <c r="H44" s="278">
        <f t="shared" si="6"/>
        <v>617370998</v>
      </c>
      <c r="I44" s="276">
        <f t="shared" si="6"/>
        <v>604435591</v>
      </c>
      <c r="J44" s="277">
        <f t="shared" si="6"/>
        <v>646389942.53000009</v>
      </c>
      <c r="K44" s="278">
        <f t="shared" si="6"/>
        <v>691305788.32710016</v>
      </c>
      <c r="L44" s="373"/>
    </row>
    <row r="45" spans="1:15" ht="11.25" customHeight="1">
      <c r="A45" s="274"/>
      <c r="B45" s="183"/>
      <c r="C45" s="842"/>
      <c r="D45" s="837">
        <f>IF(ISERROR((D44/C44)-1),0,((D44/C44)-1))</f>
        <v>4.7084727504782098E-2</v>
      </c>
      <c r="E45" s="838">
        <f t="shared" ref="E45:K45" si="7">IF(ISERROR((E44/D44)-1),0,((E44/D44)-1))</f>
        <v>0.16916995444131899</v>
      </c>
      <c r="F45" s="839">
        <f t="shared" si="7"/>
        <v>-2.329719175971201E-2</v>
      </c>
      <c r="G45" s="837">
        <f t="shared" si="7"/>
        <v>0</v>
      </c>
      <c r="H45" s="838">
        <f t="shared" si="7"/>
        <v>0</v>
      </c>
      <c r="I45" s="840">
        <f t="shared" si="7"/>
        <v>-2.0952404699774996E-2</v>
      </c>
      <c r="J45" s="837">
        <f t="shared" si="7"/>
        <v>6.941078942851342E-2</v>
      </c>
      <c r="K45" s="838">
        <f t="shared" si="7"/>
        <v>6.9487228748172258E-2</v>
      </c>
      <c r="L45" s="373"/>
    </row>
    <row r="46" spans="1:15" ht="5.0999999999999996" customHeight="1">
      <c r="A46" s="274"/>
      <c r="B46" s="183"/>
      <c r="C46" s="406"/>
      <c r="D46" s="843"/>
      <c r="E46" s="844"/>
      <c r="F46" s="845"/>
      <c r="G46" s="843"/>
      <c r="H46" s="844"/>
      <c r="I46" s="846"/>
      <c r="J46" s="843"/>
      <c r="K46" s="844"/>
      <c r="L46" s="373"/>
    </row>
    <row r="47" spans="1:15" ht="11.25" customHeight="1">
      <c r="A47" s="250" t="s">
        <v>986</v>
      </c>
      <c r="B47" s="183"/>
      <c r="C47" s="204"/>
      <c r="D47" s="204"/>
      <c r="E47" s="205"/>
      <c r="F47" s="206"/>
      <c r="G47" s="204"/>
      <c r="H47" s="205"/>
      <c r="I47" s="203"/>
      <c r="J47" s="204"/>
      <c r="K47" s="205"/>
      <c r="L47" s="373"/>
    </row>
    <row r="48" spans="1:15" ht="11.25" customHeight="1">
      <c r="A48" s="251" t="str">
        <f>A6</f>
        <v>Salary</v>
      </c>
      <c r="B48" s="183"/>
      <c r="C48" s="1708"/>
      <c r="D48" s="1708"/>
      <c r="E48" s="1730"/>
      <c r="F48" s="1731"/>
      <c r="G48" s="1708"/>
      <c r="H48" s="1730"/>
      <c r="I48" s="1732"/>
      <c r="J48" s="1708"/>
      <c r="K48" s="1730"/>
      <c r="L48" s="373"/>
    </row>
    <row r="49" spans="1:12" ht="11.25" customHeight="1">
      <c r="A49" s="251" t="str">
        <f>A7</f>
        <v>Pension Contributions</v>
      </c>
      <c r="B49" s="183"/>
      <c r="C49" s="1708"/>
      <c r="D49" s="1708"/>
      <c r="E49" s="1730"/>
      <c r="F49" s="1731"/>
      <c r="G49" s="1708"/>
      <c r="H49" s="1730"/>
      <c r="I49" s="1732"/>
      <c r="J49" s="1708"/>
      <c r="K49" s="1730"/>
      <c r="L49" s="373"/>
    </row>
    <row r="50" spans="1:12" ht="11.25" customHeight="1">
      <c r="A50" s="251" t="str">
        <f>A8</f>
        <v>Medical Aid Contributions</v>
      </c>
      <c r="B50" s="183"/>
      <c r="C50" s="1708"/>
      <c r="D50" s="1708"/>
      <c r="E50" s="1730"/>
      <c r="F50" s="1731"/>
      <c r="G50" s="1708"/>
      <c r="H50" s="1730"/>
      <c r="I50" s="1732"/>
      <c r="J50" s="1708"/>
      <c r="K50" s="1730"/>
      <c r="L50" s="373"/>
    </row>
    <row r="51" spans="1:12" ht="11.25" customHeight="1">
      <c r="A51" s="251" t="str">
        <f>A9</f>
        <v>Motor vehicle allowance</v>
      </c>
      <c r="B51" s="183"/>
      <c r="C51" s="1708"/>
      <c r="D51" s="1708"/>
      <c r="E51" s="1730"/>
      <c r="F51" s="1731"/>
      <c r="G51" s="1708"/>
      <c r="H51" s="1730"/>
      <c r="I51" s="1732"/>
      <c r="J51" s="1708"/>
      <c r="K51" s="1730"/>
      <c r="L51" s="373"/>
    </row>
    <row r="52" spans="1:12" ht="11.25" customHeight="1">
      <c r="A52" s="251" t="s">
        <v>1680</v>
      </c>
      <c r="B52" s="183"/>
      <c r="C52" s="1708"/>
      <c r="D52" s="1708"/>
      <c r="E52" s="1730"/>
      <c r="F52" s="1731"/>
      <c r="G52" s="1708"/>
      <c r="H52" s="1730"/>
      <c r="I52" s="1732"/>
      <c r="J52" s="1708"/>
      <c r="K52" s="1730"/>
      <c r="L52" s="373"/>
    </row>
    <row r="53" spans="1:12" ht="11.25" customHeight="1">
      <c r="A53" s="251" t="str">
        <f>A11</f>
        <v>Housing allowance</v>
      </c>
      <c r="B53" s="183"/>
      <c r="C53" s="1708"/>
      <c r="D53" s="1708"/>
      <c r="E53" s="1730"/>
      <c r="F53" s="1731"/>
      <c r="G53" s="1708"/>
      <c r="H53" s="1730"/>
      <c r="I53" s="1732"/>
      <c r="J53" s="1708"/>
      <c r="K53" s="1730"/>
      <c r="L53" s="373"/>
    </row>
    <row r="54" spans="1:12" ht="11.25" customHeight="1">
      <c r="A54" s="251" t="s">
        <v>987</v>
      </c>
      <c r="B54" s="183"/>
      <c r="C54" s="1708"/>
      <c r="D54" s="1708"/>
      <c r="E54" s="1730"/>
      <c r="F54" s="1731"/>
      <c r="G54" s="1708"/>
      <c r="H54" s="1730"/>
      <c r="I54" s="1732"/>
      <c r="J54" s="1708"/>
      <c r="K54" s="1730"/>
      <c r="L54" s="373"/>
    </row>
    <row r="55" spans="1:12" ht="11.25" customHeight="1">
      <c r="A55" s="251" t="s">
        <v>1679</v>
      </c>
      <c r="B55" s="183"/>
      <c r="C55" s="1708"/>
      <c r="D55" s="1708"/>
      <c r="E55" s="1730"/>
      <c r="F55" s="1731"/>
      <c r="G55" s="1708"/>
      <c r="H55" s="1730"/>
      <c r="I55" s="1732"/>
      <c r="J55" s="1708"/>
      <c r="K55" s="1730"/>
      <c r="L55" s="373"/>
    </row>
    <row r="56" spans="1:12" ht="11.25" customHeight="1">
      <c r="A56" s="251" t="str">
        <f>$A$26</f>
        <v>In-kind benefits</v>
      </c>
      <c r="B56" s="183"/>
      <c r="C56" s="1708"/>
      <c r="D56" s="1708"/>
      <c r="E56" s="1730"/>
      <c r="F56" s="1731"/>
      <c r="G56" s="1708"/>
      <c r="H56" s="1730"/>
      <c r="I56" s="1732"/>
      <c r="J56" s="1708"/>
      <c r="K56" s="1730"/>
      <c r="L56" s="373"/>
    </row>
    <row r="57" spans="1:12" ht="11.25" customHeight="1">
      <c r="A57" s="266" t="s">
        <v>1455</v>
      </c>
      <c r="B57" s="183"/>
      <c r="C57" s="214">
        <f>SUM(C48:C56)</f>
        <v>0</v>
      </c>
      <c r="D57" s="214">
        <f t="shared" ref="D57:K57" si="8">SUM(D48:D56)</f>
        <v>0</v>
      </c>
      <c r="E57" s="215">
        <f t="shared" si="8"/>
        <v>0</v>
      </c>
      <c r="F57" s="216">
        <f t="shared" si="8"/>
        <v>0</v>
      </c>
      <c r="G57" s="214">
        <f t="shared" si="8"/>
        <v>0</v>
      </c>
      <c r="H57" s="215">
        <f t="shared" si="8"/>
        <v>0</v>
      </c>
      <c r="I57" s="213">
        <f t="shared" si="8"/>
        <v>0</v>
      </c>
      <c r="J57" s="214">
        <f t="shared" si="8"/>
        <v>0</v>
      </c>
      <c r="K57" s="215">
        <f t="shared" si="8"/>
        <v>0</v>
      </c>
      <c r="L57" s="373"/>
    </row>
    <row r="58" spans="1:12" ht="11.25" customHeight="1">
      <c r="A58" s="376" t="str">
        <f>$A$15</f>
        <v>% increase</v>
      </c>
      <c r="B58" s="183">
        <f>$B$15</f>
        <v>4</v>
      </c>
      <c r="C58" s="841"/>
      <c r="D58" s="837">
        <f>IF(ISERROR((D57/C57)-1),0,((D57/C57)-1))</f>
        <v>0</v>
      </c>
      <c r="E58" s="838">
        <f t="shared" ref="E58:K58" si="9">IF(ISERROR((E57/D57)-1),0,((E57/D57)-1))</f>
        <v>0</v>
      </c>
      <c r="F58" s="839">
        <f t="shared" si="9"/>
        <v>0</v>
      </c>
      <c r="G58" s="837">
        <f t="shared" si="9"/>
        <v>0</v>
      </c>
      <c r="H58" s="838">
        <f t="shared" si="9"/>
        <v>0</v>
      </c>
      <c r="I58" s="840">
        <f t="shared" si="9"/>
        <v>0</v>
      </c>
      <c r="J58" s="837">
        <f t="shared" si="9"/>
        <v>0</v>
      </c>
      <c r="K58" s="838">
        <f t="shared" si="9"/>
        <v>0</v>
      </c>
      <c r="L58" s="373"/>
    </row>
    <row r="59" spans="1:12" ht="5.0999999999999996" customHeight="1">
      <c r="A59" s="274"/>
      <c r="B59" s="183"/>
      <c r="C59" s="406"/>
      <c r="D59" s="406"/>
      <c r="E59" s="196"/>
      <c r="F59" s="403"/>
      <c r="G59" s="406"/>
      <c r="H59" s="196"/>
      <c r="I59" s="310"/>
      <c r="J59" s="406"/>
      <c r="K59" s="196"/>
      <c r="L59" s="373"/>
    </row>
    <row r="60" spans="1:12" ht="11.25" customHeight="1">
      <c r="A60" s="250" t="s">
        <v>294</v>
      </c>
      <c r="B60" s="183"/>
      <c r="C60" s="204"/>
      <c r="D60" s="204"/>
      <c r="E60" s="205"/>
      <c r="F60" s="206"/>
      <c r="G60" s="204"/>
      <c r="H60" s="205"/>
      <c r="I60" s="203"/>
      <c r="J60" s="204"/>
      <c r="K60" s="205"/>
      <c r="L60" s="373"/>
    </row>
    <row r="61" spans="1:12" ht="11.25" customHeight="1">
      <c r="A61" s="251" t="str">
        <f>A48</f>
        <v>Salary</v>
      </c>
      <c r="B61" s="183"/>
      <c r="C61" s="1708"/>
      <c r="D61" s="1708"/>
      <c r="E61" s="1730"/>
      <c r="F61" s="1731"/>
      <c r="G61" s="1708"/>
      <c r="H61" s="1730"/>
      <c r="I61" s="1732"/>
      <c r="J61" s="1708"/>
      <c r="K61" s="1730"/>
      <c r="L61" s="373"/>
    </row>
    <row r="62" spans="1:12" ht="11.25" customHeight="1">
      <c r="A62" s="251" t="str">
        <f>A49</f>
        <v>Pension Contributions</v>
      </c>
      <c r="B62" s="183"/>
      <c r="C62" s="1708"/>
      <c r="D62" s="1708"/>
      <c r="E62" s="1730"/>
      <c r="F62" s="1731"/>
      <c r="G62" s="1708"/>
      <c r="H62" s="1730"/>
      <c r="I62" s="1732"/>
      <c r="J62" s="1708"/>
      <c r="K62" s="1730"/>
      <c r="L62" s="373"/>
    </row>
    <row r="63" spans="1:12" ht="11.25" customHeight="1">
      <c r="A63" s="251" t="str">
        <f>A50</f>
        <v>Medical Aid Contributions</v>
      </c>
      <c r="B63" s="183"/>
      <c r="C63" s="1708"/>
      <c r="D63" s="1708"/>
      <c r="E63" s="1730"/>
      <c r="F63" s="1731"/>
      <c r="G63" s="1708"/>
      <c r="H63" s="1730"/>
      <c r="I63" s="1732"/>
      <c r="J63" s="1708"/>
      <c r="K63" s="1730"/>
      <c r="L63" s="373"/>
    </row>
    <row r="64" spans="1:12" ht="11.25" customHeight="1">
      <c r="A64" s="251" t="str">
        <f>A51</f>
        <v>Motor vehicle allowance</v>
      </c>
      <c r="B64" s="183"/>
      <c r="C64" s="1708"/>
      <c r="D64" s="1708"/>
      <c r="E64" s="1730"/>
      <c r="F64" s="1731"/>
      <c r="G64" s="1708"/>
      <c r="H64" s="1730"/>
      <c r="I64" s="1732"/>
      <c r="J64" s="1708"/>
      <c r="K64" s="1730"/>
      <c r="L64" s="373"/>
    </row>
    <row r="65" spans="1:12" ht="11.25" customHeight="1">
      <c r="A65" s="251" t="s">
        <v>1680</v>
      </c>
      <c r="B65" s="183"/>
      <c r="C65" s="1708"/>
      <c r="D65" s="1708"/>
      <c r="E65" s="1730"/>
      <c r="F65" s="1731"/>
      <c r="G65" s="1708"/>
      <c r="H65" s="1730"/>
      <c r="I65" s="1732"/>
      <c r="J65" s="1708"/>
      <c r="K65" s="1730"/>
      <c r="L65" s="373"/>
    </row>
    <row r="66" spans="1:12" ht="11.25" customHeight="1">
      <c r="A66" s="251" t="str">
        <f>A53</f>
        <v>Housing allowance</v>
      </c>
      <c r="B66" s="183"/>
      <c r="C66" s="1708"/>
      <c r="D66" s="1708"/>
      <c r="E66" s="1730"/>
      <c r="F66" s="1731"/>
      <c r="G66" s="1708"/>
      <c r="H66" s="1730"/>
      <c r="I66" s="1732"/>
      <c r="J66" s="1708"/>
      <c r="K66" s="1730"/>
      <c r="L66" s="373"/>
    </row>
    <row r="67" spans="1:12" ht="11.25" customHeight="1">
      <c r="A67" s="251" t="s">
        <v>810</v>
      </c>
      <c r="B67" s="183"/>
      <c r="C67" s="1708"/>
      <c r="D67" s="1708"/>
      <c r="E67" s="1730"/>
      <c r="F67" s="1731"/>
      <c r="G67" s="1708"/>
      <c r="H67" s="1730"/>
      <c r="I67" s="1732"/>
      <c r="J67" s="1708"/>
      <c r="K67" s="1730"/>
      <c r="L67" s="373"/>
    </row>
    <row r="68" spans="1:12" ht="11.25" customHeight="1">
      <c r="A68" s="251" t="str">
        <f>A25</f>
        <v>Other benefits or allowances</v>
      </c>
      <c r="B68" s="183"/>
      <c r="C68" s="1708"/>
      <c r="D68" s="1708"/>
      <c r="E68" s="1730"/>
      <c r="F68" s="1731"/>
      <c r="G68" s="1708"/>
      <c r="H68" s="1730"/>
      <c r="I68" s="1732"/>
      <c r="J68" s="1708"/>
      <c r="K68" s="1730"/>
      <c r="L68" s="373"/>
    </row>
    <row r="69" spans="1:12" ht="11.25" customHeight="1">
      <c r="A69" s="251" t="str">
        <f>$A$26</f>
        <v>In-kind benefits</v>
      </c>
      <c r="B69" s="183"/>
      <c r="C69" s="1708"/>
      <c r="D69" s="1708"/>
      <c r="E69" s="1730"/>
      <c r="F69" s="1731"/>
      <c r="G69" s="1708"/>
      <c r="H69" s="1730"/>
      <c r="I69" s="1732"/>
      <c r="J69" s="1708"/>
      <c r="K69" s="1730"/>
      <c r="L69" s="373"/>
    </row>
    <row r="70" spans="1:12" ht="11.25" customHeight="1">
      <c r="A70" s="266" t="s">
        <v>295</v>
      </c>
      <c r="B70" s="183"/>
      <c r="C70" s="214">
        <f>SUM(C61:C69)</f>
        <v>0</v>
      </c>
      <c r="D70" s="214">
        <f t="shared" ref="D70:K70" si="10">SUM(D61:D69)</f>
        <v>0</v>
      </c>
      <c r="E70" s="215">
        <f t="shared" si="10"/>
        <v>0</v>
      </c>
      <c r="F70" s="216">
        <f t="shared" si="10"/>
        <v>0</v>
      </c>
      <c r="G70" s="214">
        <f t="shared" si="10"/>
        <v>0</v>
      </c>
      <c r="H70" s="215">
        <f t="shared" si="10"/>
        <v>0</v>
      </c>
      <c r="I70" s="213">
        <f t="shared" si="10"/>
        <v>0</v>
      </c>
      <c r="J70" s="214">
        <f t="shared" si="10"/>
        <v>0</v>
      </c>
      <c r="K70" s="215">
        <f t="shared" si="10"/>
        <v>0</v>
      </c>
      <c r="L70" s="373"/>
    </row>
    <row r="71" spans="1:12" ht="11.25" customHeight="1">
      <c r="A71" s="376" t="str">
        <f>$A$15</f>
        <v>% increase</v>
      </c>
      <c r="B71" s="183">
        <f>$B$15</f>
        <v>4</v>
      </c>
      <c r="C71" s="841"/>
      <c r="D71" s="837">
        <f>IF(ISERROR((D70/C70)-1),0,((D70/C70)-1))</f>
        <v>0</v>
      </c>
      <c r="E71" s="838">
        <f t="shared" ref="E71:K71" si="11">IF(ISERROR((E70/D70)-1),0,((E70/D70)-1))</f>
        <v>0</v>
      </c>
      <c r="F71" s="839">
        <f t="shared" si="11"/>
        <v>0</v>
      </c>
      <c r="G71" s="837">
        <f t="shared" si="11"/>
        <v>0</v>
      </c>
      <c r="H71" s="838">
        <f t="shared" si="11"/>
        <v>0</v>
      </c>
      <c r="I71" s="840">
        <f t="shared" si="11"/>
        <v>0</v>
      </c>
      <c r="J71" s="837">
        <f t="shared" si="11"/>
        <v>0</v>
      </c>
      <c r="K71" s="838">
        <f t="shared" si="11"/>
        <v>0</v>
      </c>
      <c r="L71" s="373"/>
    </row>
    <row r="72" spans="1:12" ht="5.0999999999999996" customHeight="1">
      <c r="A72" s="274"/>
      <c r="B72" s="183"/>
      <c r="C72" s="406"/>
      <c r="D72" s="406"/>
      <c r="E72" s="196"/>
      <c r="F72" s="403"/>
      <c r="G72" s="406"/>
      <c r="H72" s="196"/>
      <c r="I72" s="310"/>
      <c r="J72" s="406"/>
      <c r="K72" s="196"/>
      <c r="L72" s="373"/>
    </row>
    <row r="73" spans="1:12" ht="11.25" customHeight="1">
      <c r="A73" s="250" t="s">
        <v>296</v>
      </c>
      <c r="B73" s="183"/>
      <c r="C73" s="204"/>
      <c r="D73" s="204"/>
      <c r="E73" s="205"/>
      <c r="F73" s="206"/>
      <c r="G73" s="204"/>
      <c r="H73" s="205"/>
      <c r="I73" s="203"/>
      <c r="J73" s="204"/>
      <c r="K73" s="205"/>
      <c r="L73" s="373"/>
    </row>
    <row r="74" spans="1:12" ht="11.25" customHeight="1">
      <c r="A74" s="251" t="s">
        <v>1428</v>
      </c>
      <c r="B74" s="183"/>
      <c r="C74" s="1708"/>
      <c r="D74" s="1708"/>
      <c r="E74" s="1730"/>
      <c r="F74" s="1731"/>
      <c r="G74" s="1708"/>
      <c r="H74" s="1730"/>
      <c r="I74" s="1732"/>
      <c r="J74" s="1708"/>
      <c r="K74" s="1730"/>
      <c r="L74" s="373"/>
    </row>
    <row r="75" spans="1:12" ht="11.25" customHeight="1">
      <c r="A75" s="251" t="str">
        <f>A62</f>
        <v>Pension Contributions</v>
      </c>
      <c r="B75" s="183"/>
      <c r="C75" s="1708"/>
      <c r="D75" s="1708"/>
      <c r="E75" s="1730"/>
      <c r="F75" s="1731"/>
      <c r="G75" s="1708"/>
      <c r="H75" s="1730"/>
      <c r="I75" s="1732"/>
      <c r="J75" s="1708"/>
      <c r="K75" s="1730"/>
      <c r="L75" s="373"/>
    </row>
    <row r="76" spans="1:12" ht="11.25" customHeight="1">
      <c r="A76" s="251" t="str">
        <f>A63</f>
        <v>Medical Aid Contributions</v>
      </c>
      <c r="B76" s="183"/>
      <c r="C76" s="1708"/>
      <c r="D76" s="1708"/>
      <c r="E76" s="1730"/>
      <c r="F76" s="1731"/>
      <c r="G76" s="1708"/>
      <c r="H76" s="1730"/>
      <c r="I76" s="1732"/>
      <c r="J76" s="1708"/>
      <c r="K76" s="1730"/>
      <c r="L76" s="373"/>
    </row>
    <row r="77" spans="1:12" ht="11.25" customHeight="1">
      <c r="A77" s="251" t="str">
        <f>A64</f>
        <v>Motor vehicle allowance</v>
      </c>
      <c r="B77" s="183"/>
      <c r="C77" s="1708"/>
      <c r="D77" s="1708"/>
      <c r="E77" s="1730"/>
      <c r="F77" s="1731"/>
      <c r="G77" s="1708"/>
      <c r="H77" s="1730"/>
      <c r="I77" s="1732"/>
      <c r="J77" s="1708"/>
      <c r="K77" s="1730"/>
      <c r="L77" s="373"/>
    </row>
    <row r="78" spans="1:12" ht="11.25" customHeight="1">
      <c r="A78" s="251" t="s">
        <v>1680</v>
      </c>
      <c r="B78" s="183"/>
      <c r="C78" s="1708"/>
      <c r="D78" s="1708"/>
      <c r="E78" s="1730"/>
      <c r="F78" s="1731"/>
      <c r="G78" s="1708"/>
      <c r="H78" s="1730"/>
      <c r="I78" s="1732"/>
      <c r="J78" s="1708"/>
      <c r="K78" s="1730"/>
      <c r="L78" s="373"/>
    </row>
    <row r="79" spans="1:12" ht="11.25" customHeight="1">
      <c r="A79" s="251" t="str">
        <f>A66</f>
        <v>Housing allowance</v>
      </c>
      <c r="B79" s="183"/>
      <c r="C79" s="1708"/>
      <c r="D79" s="1708"/>
      <c r="E79" s="1730"/>
      <c r="F79" s="1731"/>
      <c r="G79" s="1708"/>
      <c r="H79" s="1730"/>
      <c r="I79" s="1732"/>
      <c r="J79" s="1708"/>
      <c r="K79" s="1730"/>
      <c r="L79" s="373"/>
    </row>
    <row r="80" spans="1:12" ht="11.25" customHeight="1">
      <c r="A80" s="251" t="s">
        <v>1180</v>
      </c>
      <c r="B80" s="183"/>
      <c r="C80" s="1708"/>
      <c r="D80" s="1708"/>
      <c r="E80" s="1730"/>
      <c r="F80" s="1731"/>
      <c r="G80" s="1708"/>
      <c r="H80" s="1730"/>
      <c r="I80" s="1732"/>
      <c r="J80" s="1708"/>
      <c r="K80" s="1730"/>
      <c r="L80" s="373"/>
    </row>
    <row r="81" spans="1:14" ht="11.25" customHeight="1">
      <c r="A81" s="251" t="s">
        <v>810</v>
      </c>
      <c r="B81" s="183"/>
      <c r="C81" s="1708"/>
      <c r="D81" s="1708"/>
      <c r="E81" s="1730"/>
      <c r="F81" s="1731"/>
      <c r="G81" s="1708"/>
      <c r="H81" s="1730"/>
      <c r="I81" s="1732"/>
      <c r="J81" s="1708"/>
      <c r="K81" s="1730"/>
      <c r="L81" s="373"/>
    </row>
    <row r="82" spans="1:14" ht="11.25" customHeight="1">
      <c r="A82" s="251" t="str">
        <f>A68</f>
        <v>Other benefits or allowances</v>
      </c>
      <c r="B82" s="183"/>
      <c r="C82" s="1708"/>
      <c r="D82" s="1708"/>
      <c r="E82" s="1730"/>
      <c r="F82" s="1731"/>
      <c r="G82" s="1708"/>
      <c r="H82" s="1730"/>
      <c r="I82" s="1732"/>
      <c r="J82" s="1708"/>
      <c r="K82" s="1730"/>
      <c r="L82" s="373"/>
    </row>
    <row r="83" spans="1:14" ht="11.25" customHeight="1">
      <c r="A83" s="251" t="str">
        <f>$A$26</f>
        <v>In-kind benefits</v>
      </c>
      <c r="B83" s="183"/>
      <c r="C83" s="1708"/>
      <c r="D83" s="1708"/>
      <c r="E83" s="1730"/>
      <c r="F83" s="1731"/>
      <c r="G83" s="1708"/>
      <c r="H83" s="1730"/>
      <c r="I83" s="1732"/>
      <c r="J83" s="1708"/>
      <c r="K83" s="1730"/>
      <c r="L83" s="373"/>
    </row>
    <row r="84" spans="1:14" ht="11.25" customHeight="1">
      <c r="A84" s="266" t="s">
        <v>1426</v>
      </c>
      <c r="B84" s="183"/>
      <c r="C84" s="214">
        <f>SUM(C74:C83)</f>
        <v>0</v>
      </c>
      <c r="D84" s="214">
        <f t="shared" ref="D84:K84" si="12">SUM(D74:D83)</f>
        <v>0</v>
      </c>
      <c r="E84" s="215">
        <f t="shared" si="12"/>
        <v>0</v>
      </c>
      <c r="F84" s="216">
        <f t="shared" si="12"/>
        <v>0</v>
      </c>
      <c r="G84" s="214">
        <f t="shared" si="12"/>
        <v>0</v>
      </c>
      <c r="H84" s="215">
        <f t="shared" si="12"/>
        <v>0</v>
      </c>
      <c r="I84" s="213">
        <f t="shared" si="12"/>
        <v>0</v>
      </c>
      <c r="J84" s="214">
        <f t="shared" si="12"/>
        <v>0</v>
      </c>
      <c r="K84" s="215">
        <f t="shared" si="12"/>
        <v>0</v>
      </c>
      <c r="L84" s="373"/>
    </row>
    <row r="85" spans="1:14" ht="11.25" customHeight="1">
      <c r="A85" s="376" t="str">
        <f>$A$15</f>
        <v>% increase</v>
      </c>
      <c r="B85" s="183">
        <f>$B$15</f>
        <v>4</v>
      </c>
      <c r="C85" s="841"/>
      <c r="D85" s="837">
        <f>IF(ISERROR((D84/C84)-1),0,((D84/C84)-1))</f>
        <v>0</v>
      </c>
      <c r="E85" s="838">
        <f t="shared" ref="E85:K85" si="13">IF(ISERROR((E84/D84)-1),0,((E84/D84)-1))</f>
        <v>0</v>
      </c>
      <c r="F85" s="839">
        <f t="shared" si="13"/>
        <v>0</v>
      </c>
      <c r="G85" s="837">
        <f t="shared" si="13"/>
        <v>0</v>
      </c>
      <c r="H85" s="838">
        <f t="shared" si="13"/>
        <v>0</v>
      </c>
      <c r="I85" s="840">
        <f t="shared" si="13"/>
        <v>0</v>
      </c>
      <c r="J85" s="837">
        <f t="shared" si="13"/>
        <v>0</v>
      </c>
      <c r="K85" s="838">
        <f t="shared" si="13"/>
        <v>0</v>
      </c>
      <c r="L85" s="373"/>
    </row>
    <row r="86" spans="1:14" ht="5.0999999999999996" customHeight="1">
      <c r="A86" s="274"/>
      <c r="B86" s="183"/>
      <c r="C86" s="406"/>
      <c r="D86" s="406"/>
      <c r="E86" s="196"/>
      <c r="F86" s="403"/>
      <c r="G86" s="406"/>
      <c r="H86" s="196"/>
      <c r="I86" s="310"/>
      <c r="J86" s="406"/>
      <c r="K86" s="196"/>
      <c r="L86" s="373"/>
    </row>
    <row r="87" spans="1:14" ht="11.25" customHeight="1">
      <c r="A87" s="810" t="s">
        <v>1701</v>
      </c>
      <c r="B87" s="811"/>
      <c r="C87" s="277">
        <f>C57+C70+C84</f>
        <v>0</v>
      </c>
      <c r="D87" s="277">
        <f t="shared" ref="D87:K87" si="14">D57+D70+D84</f>
        <v>0</v>
      </c>
      <c r="E87" s="278">
        <f t="shared" si="14"/>
        <v>0</v>
      </c>
      <c r="F87" s="279">
        <f t="shared" si="14"/>
        <v>0</v>
      </c>
      <c r="G87" s="277">
        <f t="shared" si="14"/>
        <v>0</v>
      </c>
      <c r="H87" s="278">
        <f t="shared" si="14"/>
        <v>0</v>
      </c>
      <c r="I87" s="276">
        <f t="shared" si="14"/>
        <v>0</v>
      </c>
      <c r="J87" s="277">
        <f t="shared" si="14"/>
        <v>0</v>
      </c>
      <c r="K87" s="278">
        <f t="shared" si="14"/>
        <v>0</v>
      </c>
      <c r="L87" s="373"/>
    </row>
    <row r="88" spans="1:14" ht="6" customHeight="1">
      <c r="A88" s="274"/>
      <c r="B88" s="183"/>
      <c r="C88" s="406"/>
      <c r="D88" s="406"/>
      <c r="E88" s="196"/>
      <c r="F88" s="403"/>
      <c r="G88" s="406"/>
      <c r="H88" s="196"/>
      <c r="I88" s="310"/>
      <c r="J88" s="406"/>
      <c r="K88" s="196"/>
      <c r="L88" s="373"/>
    </row>
    <row r="89" spans="1:14" ht="25.5">
      <c r="A89" s="1403" t="s">
        <v>598</v>
      </c>
      <c r="B89" s="385"/>
      <c r="C89" s="284">
        <f>C44+C87</f>
        <v>516326382</v>
      </c>
      <c r="D89" s="284">
        <f>D44+D87</f>
        <v>540637469</v>
      </c>
      <c r="E89" s="285">
        <f t="shared" ref="E89:K89" si="15">E44+E87</f>
        <v>632097085</v>
      </c>
      <c r="F89" s="286">
        <f t="shared" si="15"/>
        <v>617370998</v>
      </c>
      <c r="G89" s="284">
        <f t="shared" si="15"/>
        <v>617370998</v>
      </c>
      <c r="H89" s="285">
        <f t="shared" si="15"/>
        <v>617370998</v>
      </c>
      <c r="I89" s="283">
        <f t="shared" si="15"/>
        <v>604435591</v>
      </c>
      <c r="J89" s="284">
        <f t="shared" si="15"/>
        <v>646389942.53000009</v>
      </c>
      <c r="K89" s="285">
        <f t="shared" si="15"/>
        <v>691305788.32710016</v>
      </c>
      <c r="L89" s="373"/>
    </row>
    <row r="90" spans="1:14" ht="12.75" customHeight="1">
      <c r="A90" s="376" t="str">
        <f>$A$15</f>
        <v>% increase</v>
      </c>
      <c r="B90" s="183">
        <f>$B$15</f>
        <v>4</v>
      </c>
      <c r="C90" s="842"/>
      <c r="D90" s="837">
        <f>IF(ISERROR((D89/C89)-1),0,((D89/C89)-1))</f>
        <v>4.7084727504782098E-2</v>
      </c>
      <c r="E90" s="840">
        <f t="shared" ref="E90:K90" si="16">IF(ISERROR((E89/D89)-1),0,((E89/D89)-1))</f>
        <v>0.16916995444131899</v>
      </c>
      <c r="F90" s="839">
        <f t="shared" si="16"/>
        <v>-2.329719175971201E-2</v>
      </c>
      <c r="G90" s="837">
        <f t="shared" si="16"/>
        <v>0</v>
      </c>
      <c r="H90" s="838">
        <f t="shared" si="16"/>
        <v>0</v>
      </c>
      <c r="I90" s="840">
        <f t="shared" si="16"/>
        <v>-2.0952404699774996E-2</v>
      </c>
      <c r="J90" s="837">
        <f t="shared" si="16"/>
        <v>6.941078942851342E-2</v>
      </c>
      <c r="K90" s="838">
        <f t="shared" si="16"/>
        <v>6.9487228748172258E-2</v>
      </c>
      <c r="L90" s="362"/>
      <c r="M90" s="247"/>
      <c r="N90" s="247"/>
    </row>
    <row r="91" spans="1:14" ht="12.75" customHeight="1">
      <c r="A91" s="282" t="s">
        <v>1569</v>
      </c>
      <c r="B91" s="226">
        <v>5</v>
      </c>
      <c r="C91" s="231">
        <f>C27+C41+C70+C84</f>
        <v>500859237</v>
      </c>
      <c r="D91" s="231">
        <f>D27+D41+D70+D84</f>
        <v>522120296</v>
      </c>
      <c r="E91" s="232">
        <f t="shared" ref="E91:K91" si="17">E27+E41+E70+E84</f>
        <v>611528246</v>
      </c>
      <c r="F91" s="230">
        <f t="shared" si="17"/>
        <v>598014998</v>
      </c>
      <c r="G91" s="231">
        <f t="shared" si="17"/>
        <v>598014998</v>
      </c>
      <c r="H91" s="229">
        <f t="shared" si="17"/>
        <v>598014998</v>
      </c>
      <c r="I91" s="232">
        <f t="shared" si="17"/>
        <v>583481279</v>
      </c>
      <c r="J91" s="231">
        <f t="shared" si="17"/>
        <v>624324968.53000009</v>
      </c>
      <c r="K91" s="229">
        <f t="shared" si="17"/>
        <v>668027716.32710016</v>
      </c>
      <c r="L91" s="362"/>
      <c r="M91" s="247"/>
      <c r="N91" s="247"/>
    </row>
    <row r="92" spans="1:14" s="722" customFormat="1">
      <c r="A92" s="1305" t="str">
        <f>head27a</f>
        <v>References</v>
      </c>
      <c r="B92" s="1065"/>
      <c r="C92" s="1107"/>
      <c r="D92" s="1107"/>
      <c r="E92" s="1107"/>
      <c r="F92" s="1107"/>
      <c r="G92" s="1107"/>
      <c r="H92" s="1107"/>
      <c r="I92" s="1107"/>
      <c r="J92" s="1107"/>
      <c r="K92" s="1107"/>
      <c r="L92" s="1089"/>
      <c r="M92" s="1089"/>
      <c r="N92" s="1089"/>
    </row>
    <row r="93" spans="1:14" s="722" customFormat="1">
      <c r="A93" s="1306" t="s">
        <v>1816</v>
      </c>
      <c r="B93" s="1065"/>
      <c r="C93" s="1107"/>
      <c r="D93" s="1107"/>
      <c r="E93" s="1107"/>
      <c r="F93" s="1107"/>
      <c r="G93" s="1107"/>
      <c r="H93" s="1107"/>
      <c r="I93" s="1107"/>
      <c r="J93" s="1107"/>
      <c r="K93" s="1107"/>
      <c r="L93" s="1089"/>
      <c r="M93" s="1089"/>
      <c r="N93" s="1089"/>
    </row>
    <row r="94" spans="1:14" s="722" customFormat="1">
      <c r="A94" s="1462" t="s">
        <v>719</v>
      </c>
      <c r="B94" s="1065"/>
      <c r="C94" s="1107"/>
      <c r="D94" s="1107"/>
      <c r="E94" s="1107"/>
      <c r="F94" s="1107"/>
      <c r="G94" s="1107"/>
      <c r="H94" s="1107"/>
      <c r="I94" s="1107"/>
      <c r="J94" s="1107"/>
      <c r="K94" s="1107"/>
      <c r="L94" s="1089"/>
      <c r="M94" s="1089"/>
      <c r="N94" s="1089"/>
    </row>
    <row r="95" spans="1:14" s="722" customFormat="1">
      <c r="A95" s="1306" t="s">
        <v>129</v>
      </c>
      <c r="B95" s="1065"/>
      <c r="C95" s="1107"/>
      <c r="D95" s="1107"/>
      <c r="E95" s="1107"/>
      <c r="F95" s="1107"/>
      <c r="G95" s="1107"/>
      <c r="H95" s="1107"/>
      <c r="I95" s="1107"/>
      <c r="J95" s="1107"/>
      <c r="K95" s="1107"/>
      <c r="L95" s="1089"/>
      <c r="M95" s="1089"/>
      <c r="N95" s="1089"/>
    </row>
    <row r="96" spans="1:14" s="722" customFormat="1">
      <c r="A96" s="1462" t="s">
        <v>1817</v>
      </c>
      <c r="B96" s="1075"/>
      <c r="C96" s="1111"/>
    </row>
    <row r="97" spans="1:3" s="722" customFormat="1">
      <c r="A97" s="1462" t="s">
        <v>130</v>
      </c>
      <c r="B97" s="1075"/>
      <c r="C97" s="1111"/>
    </row>
    <row r="98" spans="1:3" s="722" customFormat="1">
      <c r="A98" s="1463" t="s">
        <v>576</v>
      </c>
      <c r="B98" s="1075"/>
    </row>
    <row r="99" spans="1:3" s="722" customFormat="1">
      <c r="A99" s="1462" t="s">
        <v>1888</v>
      </c>
      <c r="B99" s="1075"/>
    </row>
    <row r="100" spans="1:3" s="722" customFormat="1">
      <c r="A100" s="1462" t="s">
        <v>170</v>
      </c>
      <c r="B100" s="1075"/>
    </row>
    <row r="101" spans="1:3" s="722" customFormat="1">
      <c r="A101" s="1462" t="s">
        <v>171</v>
      </c>
      <c r="B101" s="1075"/>
    </row>
    <row r="102" spans="1:3" s="722" customFormat="1">
      <c r="A102" s="1462" t="s">
        <v>172</v>
      </c>
      <c r="B102" s="1075"/>
    </row>
    <row r="103" spans="1:3" s="722" customFormat="1">
      <c r="A103" s="1462" t="s">
        <v>173</v>
      </c>
      <c r="B103" s="1075"/>
    </row>
    <row r="104" spans="1:3" s="722" customFormat="1">
      <c r="A104" s="1462" t="s">
        <v>174</v>
      </c>
      <c r="B104" s="1075"/>
    </row>
    <row r="106" spans="1:3">
      <c r="B106" s="150"/>
    </row>
    <row r="107" spans="1:3">
      <c r="B107" s="150"/>
    </row>
    <row r="108" spans="1:3">
      <c r="B108" s="150"/>
    </row>
    <row r="109" spans="1:3">
      <c r="B109" s="150"/>
    </row>
    <row r="110" spans="1:3">
      <c r="B110" s="150"/>
    </row>
    <row r="111" spans="1:3">
      <c r="B111" s="150"/>
    </row>
    <row r="112" spans="1:3">
      <c r="B112" s="150"/>
    </row>
    <row r="113" spans="2:2">
      <c r="B113" s="150"/>
    </row>
    <row r="114" spans="2:2">
      <c r="B114" s="150"/>
    </row>
    <row r="115" spans="2:2">
      <c r="B115" s="150"/>
    </row>
    <row r="116" spans="2:2">
      <c r="B116" s="150"/>
    </row>
    <row r="117" spans="2:2">
      <c r="B117" s="150"/>
    </row>
    <row r="118" spans="2:2">
      <c r="B118" s="150"/>
    </row>
    <row r="119" spans="2:2">
      <c r="B119" s="150"/>
    </row>
    <row r="120" spans="2:2">
      <c r="B120" s="150"/>
    </row>
    <row r="121" spans="2:2">
      <c r="B121" s="150"/>
    </row>
    <row r="122" spans="2:2">
      <c r="B122" s="150"/>
    </row>
    <row r="123" spans="2:2">
      <c r="B123" s="150"/>
    </row>
    <row r="124" spans="2:2">
      <c r="B124" s="150"/>
    </row>
    <row r="125" spans="2:2">
      <c r="B125" s="150"/>
    </row>
    <row r="126" spans="2:2">
      <c r="B126" s="150"/>
    </row>
    <row r="127" spans="2:2">
      <c r="B127" s="150"/>
    </row>
    <row r="128" spans="2:2">
      <c r="B128" s="150"/>
    </row>
    <row r="129" spans="2:2">
      <c r="B129" s="150"/>
    </row>
    <row r="130" spans="2:2">
      <c r="B130" s="150"/>
    </row>
    <row r="131" spans="2:2">
      <c r="B131" s="150"/>
    </row>
    <row r="132" spans="2:2">
      <c r="B132" s="150"/>
    </row>
    <row r="133" spans="2:2">
      <c r="B133" s="150"/>
    </row>
    <row r="134" spans="2:2">
      <c r="B134" s="150"/>
    </row>
    <row r="135" spans="2:2">
      <c r="B135" s="150"/>
    </row>
    <row r="136" spans="2:2">
      <c r="B136" s="150"/>
    </row>
    <row r="137" spans="2:2">
      <c r="B137" s="150"/>
    </row>
    <row r="138" spans="2:2">
      <c r="B138" s="150"/>
    </row>
    <row r="139" spans="2:2">
      <c r="B139" s="150"/>
    </row>
    <row r="140" spans="2:2">
      <c r="B140" s="150"/>
    </row>
    <row r="141" spans="2:2">
      <c r="B141" s="150"/>
    </row>
    <row r="142" spans="2:2">
      <c r="B142" s="150"/>
    </row>
    <row r="143" spans="2:2">
      <c r="B143" s="150"/>
    </row>
    <row r="144" spans="2:2">
      <c r="B144" s="150"/>
    </row>
    <row r="145" spans="2:2">
      <c r="B145" s="150"/>
    </row>
    <row r="146" spans="2:2">
      <c r="B146" s="150"/>
    </row>
    <row r="147" spans="2:2">
      <c r="B147" s="150"/>
    </row>
    <row r="148" spans="2:2">
      <c r="B148" s="150"/>
    </row>
    <row r="149" spans="2:2">
      <c r="B149" s="150"/>
    </row>
    <row r="150" spans="2:2">
      <c r="B150" s="150"/>
    </row>
    <row r="151" spans="2:2">
      <c r="B151" s="150"/>
    </row>
    <row r="152" spans="2:2">
      <c r="B152" s="150"/>
    </row>
    <row r="153" spans="2:2">
      <c r="B153" s="150"/>
    </row>
    <row r="154" spans="2:2">
      <c r="B154" s="150"/>
    </row>
    <row r="155" spans="2:2">
      <c r="B155" s="150"/>
    </row>
    <row r="156" spans="2:2">
      <c r="B156" s="150"/>
    </row>
    <row r="157" spans="2:2">
      <c r="B157" s="150"/>
    </row>
    <row r="158" spans="2:2">
      <c r="B158" s="150"/>
    </row>
    <row r="159" spans="2:2">
      <c r="B159" s="150"/>
    </row>
    <row r="160" spans="2:2">
      <c r="B160" s="150"/>
    </row>
    <row r="161" spans="2:2">
      <c r="B161" s="150"/>
    </row>
    <row r="162" spans="2:2">
      <c r="B162" s="150"/>
    </row>
    <row r="163" spans="2:2">
      <c r="B163" s="150"/>
    </row>
    <row r="164" spans="2:2">
      <c r="B164" s="150"/>
    </row>
    <row r="165" spans="2:2">
      <c r="B165" s="150"/>
    </row>
    <row r="166" spans="2:2">
      <c r="B166" s="150"/>
    </row>
    <row r="167" spans="2:2">
      <c r="B167" s="150"/>
    </row>
    <row r="168" spans="2:2">
      <c r="B168" s="150"/>
    </row>
    <row r="169" spans="2:2">
      <c r="B169" s="150"/>
    </row>
    <row r="170" spans="2:2">
      <c r="B170" s="150"/>
    </row>
    <row r="171" spans="2:2">
      <c r="B171" s="150"/>
    </row>
    <row r="172" spans="2:2">
      <c r="B172" s="150"/>
    </row>
    <row r="173" spans="2:2">
      <c r="B173" s="150"/>
    </row>
    <row r="174" spans="2:2">
      <c r="B174" s="150"/>
    </row>
    <row r="175" spans="2:2">
      <c r="B175" s="150"/>
    </row>
    <row r="176" spans="2:2">
      <c r="B176" s="150"/>
    </row>
    <row r="177" spans="2:2">
      <c r="B177" s="150"/>
    </row>
    <row r="178" spans="2:2">
      <c r="B178" s="150"/>
    </row>
    <row r="179" spans="2:2">
      <c r="B179" s="150"/>
    </row>
    <row r="180" spans="2:2">
      <c r="B180" s="150"/>
    </row>
  </sheetData>
  <sheetProtection password="A35B" sheet="1" objects="1" scenarios="1"/>
  <mergeCells count="2">
    <mergeCell ref="F2:H2"/>
    <mergeCell ref="I2:K2"/>
  </mergeCells>
  <phoneticPr fontId="2" type="noConversion"/>
  <dataValidations count="1">
    <dataValidation type="whole" allowBlank="1" showInputMessage="1" showErrorMessage="1" sqref="C6:K13 C18:K26 C31:K40 C48:K56 C61:K69 C74:K83">
      <formula1>-9999999999999</formula1>
      <formula2>99999999999999</formula2>
    </dataValidation>
  </dataValidations>
  <printOptions horizontalCentered="1"/>
  <pageMargins left="0" right="0" top="0.78740157480314965" bottom="0.39370078740157483" header="0.51181102362204722" footer="0.39370078740157483"/>
  <pageSetup paperSize="9" scale="64" orientation="portrait" r:id="rId1"/>
  <headerFooter alignWithMargins="0"/>
  <rowBreaks count="1" manualBreakCount="1">
    <brk id="9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D11" sqref="D11"/>
    </sheetView>
  </sheetViews>
  <sheetFormatPr defaultRowHeight="12.75"/>
  <cols>
    <col min="1" max="1" width="38.85546875" style="150" customWidth="1"/>
    <col min="2" max="2" width="3" style="248" customWidth="1"/>
    <col min="3" max="3" width="4.140625" style="248" customWidth="1"/>
    <col min="4" max="9" width="9.28515625" style="150" customWidth="1"/>
    <col min="10" max="10" width="9.85546875" style="150" customWidth="1"/>
    <col min="11" max="11" width="9.5703125" style="150" customWidth="1"/>
    <col min="12" max="12" width="9.85546875" style="150" customWidth="1"/>
    <col min="13" max="15" width="9.5703125" style="150" customWidth="1"/>
    <col min="16" max="16" width="9.85546875" style="150" customWidth="1"/>
    <col min="17" max="19" width="9.5703125" style="150" customWidth="1"/>
    <col min="20" max="21" width="9.85546875" style="150" customWidth="1"/>
    <col min="22" max="16384" width="9.140625" style="150"/>
  </cols>
  <sheetData>
    <row r="1" spans="1:9" ht="13.5" customHeight="1">
      <c r="A1" s="148" t="str">
        <f>muni&amp;" - "&amp;TableA23</f>
        <v>KZN225 Msunduzi - Supporting Table SA23 Salaries, allowances &amp; benefits (political office bearers/councillors/senior managers)</v>
      </c>
      <c r="B1" s="148"/>
      <c r="C1" s="148"/>
      <c r="D1" s="148"/>
      <c r="E1" s="148"/>
      <c r="F1" s="148"/>
      <c r="G1" s="148"/>
      <c r="H1" s="148"/>
      <c r="I1" s="148"/>
    </row>
    <row r="2" spans="1:9" ht="24.75" customHeight="1">
      <c r="A2" s="1011" t="s">
        <v>345</v>
      </c>
      <c r="B2" s="422" t="str">
        <f>head27</f>
        <v>Ref</v>
      </c>
      <c r="C2" s="2457" t="s">
        <v>486</v>
      </c>
      <c r="D2" s="142" t="s">
        <v>112</v>
      </c>
      <c r="E2" s="142" t="s">
        <v>1780</v>
      </c>
      <c r="F2" s="142" t="s">
        <v>113</v>
      </c>
      <c r="G2" s="142" t="s">
        <v>804</v>
      </c>
      <c r="H2" s="849" t="s">
        <v>1052</v>
      </c>
      <c r="I2" s="849" t="s">
        <v>1053</v>
      </c>
    </row>
    <row r="3" spans="1:9" ht="12.75" customHeight="1">
      <c r="A3" s="181" t="s">
        <v>826</v>
      </c>
      <c r="B3" s="1624"/>
      <c r="C3" s="2458"/>
      <c r="D3" s="393"/>
      <c r="E3" s="1026" t="s">
        <v>706</v>
      </c>
      <c r="F3" s="393"/>
      <c r="G3" s="393"/>
      <c r="H3" s="1027" t="s">
        <v>1980</v>
      </c>
      <c r="I3" s="1027" t="s">
        <v>1981</v>
      </c>
    </row>
    <row r="4" spans="1:9" ht="11.25" customHeight="1">
      <c r="A4" s="250" t="s">
        <v>111</v>
      </c>
      <c r="B4" s="183">
        <v>4</v>
      </c>
      <c r="C4" s="850"/>
      <c r="D4" s="851"/>
      <c r="E4" s="851"/>
      <c r="F4" s="851"/>
      <c r="G4" s="395"/>
      <c r="H4" s="396"/>
      <c r="I4" s="852"/>
    </row>
    <row r="5" spans="1:9" ht="11.25" customHeight="1">
      <c r="A5" s="251" t="s">
        <v>762</v>
      </c>
      <c r="B5" s="183">
        <v>5</v>
      </c>
      <c r="C5" s="2018"/>
      <c r="D5" s="2305">
        <v>539828</v>
      </c>
      <c r="E5" s="2305">
        <v>0</v>
      </c>
      <c r="F5" s="2305">
        <v>0</v>
      </c>
      <c r="G5" s="2089"/>
      <c r="H5" s="2090"/>
      <c r="I5" s="852">
        <f t="shared" ref="I5:I10" si="0">SUM(D5:F5)</f>
        <v>539828</v>
      </c>
    </row>
    <row r="6" spans="1:9" ht="11.25" customHeight="1">
      <c r="A6" s="251" t="s">
        <v>1430</v>
      </c>
      <c r="B6" s="183"/>
      <c r="C6" s="2018"/>
      <c r="D6" s="2305">
        <v>523358</v>
      </c>
      <c r="E6" s="2305"/>
      <c r="F6" s="2305"/>
      <c r="G6" s="2089"/>
      <c r="H6" s="2090"/>
      <c r="I6" s="852">
        <f t="shared" si="0"/>
        <v>523358</v>
      </c>
    </row>
    <row r="7" spans="1:9" ht="11.25" customHeight="1">
      <c r="A7" s="251" t="s">
        <v>763</v>
      </c>
      <c r="B7" s="183"/>
      <c r="C7" s="2018"/>
      <c r="D7" s="2305">
        <v>692111</v>
      </c>
      <c r="E7" s="2305"/>
      <c r="F7" s="2305"/>
      <c r="G7" s="2089"/>
      <c r="H7" s="2090"/>
      <c r="I7" s="852">
        <f t="shared" si="0"/>
        <v>692111</v>
      </c>
    </row>
    <row r="8" spans="1:9" ht="11.25" customHeight="1">
      <c r="A8" s="251" t="s">
        <v>290</v>
      </c>
      <c r="B8" s="183"/>
      <c r="C8" s="2018"/>
      <c r="D8" s="2305">
        <v>557108</v>
      </c>
      <c r="E8" s="2305"/>
      <c r="F8" s="2305"/>
      <c r="G8" s="2089"/>
      <c r="H8" s="2090"/>
      <c r="I8" s="852">
        <f t="shared" si="0"/>
        <v>557108</v>
      </c>
    </row>
    <row r="9" spans="1:9" ht="11.25" customHeight="1">
      <c r="A9" s="251" t="s">
        <v>487</v>
      </c>
      <c r="B9" s="183"/>
      <c r="C9" s="2018"/>
      <c r="D9" s="2305">
        <v>4189860</v>
      </c>
      <c r="E9" s="2305"/>
      <c r="F9" s="2305"/>
      <c r="G9" s="2089"/>
      <c r="H9" s="2090"/>
      <c r="I9" s="852">
        <f t="shared" si="0"/>
        <v>4189860</v>
      </c>
    </row>
    <row r="10" spans="1:9" ht="11.25" customHeight="1">
      <c r="A10" s="251" t="s">
        <v>488</v>
      </c>
      <c r="B10" s="183"/>
      <c r="C10" s="2018"/>
      <c r="D10" s="2305">
        <f>11724398+2727337</f>
        <v>14451735</v>
      </c>
      <c r="E10" s="2305"/>
      <c r="F10" s="2305"/>
      <c r="G10" s="2089"/>
      <c r="H10" s="2090"/>
      <c r="I10" s="852">
        <f t="shared" si="0"/>
        <v>14451735</v>
      </c>
    </row>
    <row r="11" spans="1:9" ht="11.25" customHeight="1">
      <c r="A11" s="810" t="str">
        <f>"Total "&amp;A4</f>
        <v>Total Councillors</v>
      </c>
      <c r="B11" s="811">
        <v>9</v>
      </c>
      <c r="C11" s="854">
        <f t="shared" ref="C11:I11" si="1">SUM(C5:C10)</f>
        <v>0</v>
      </c>
      <c r="D11" s="855">
        <f t="shared" si="1"/>
        <v>20954000</v>
      </c>
      <c r="E11" s="855">
        <f t="shared" si="1"/>
        <v>0</v>
      </c>
      <c r="F11" s="856">
        <f t="shared" si="1"/>
        <v>0</v>
      </c>
      <c r="G11" s="855"/>
      <c r="H11" s="860"/>
      <c r="I11" s="857">
        <f t="shared" si="1"/>
        <v>20954000</v>
      </c>
    </row>
    <row r="12" spans="1:9">
      <c r="A12" s="274"/>
      <c r="B12" s="183"/>
      <c r="C12" s="850"/>
      <c r="D12" s="851"/>
      <c r="E12" s="395"/>
      <c r="F12" s="851"/>
      <c r="G12" s="395"/>
      <c r="H12" s="396"/>
      <c r="I12" s="852"/>
    </row>
    <row r="13" spans="1:9" ht="11.25" customHeight="1">
      <c r="A13" s="250" t="s">
        <v>1427</v>
      </c>
      <c r="B13" s="183">
        <v>6</v>
      </c>
      <c r="C13" s="850"/>
      <c r="D13" s="851"/>
      <c r="E13" s="395"/>
      <c r="F13" s="851"/>
      <c r="G13" s="395"/>
      <c r="H13" s="396"/>
      <c r="I13" s="852"/>
    </row>
    <row r="14" spans="1:9" ht="11.25" customHeight="1">
      <c r="A14" s="1989" t="s">
        <v>114</v>
      </c>
      <c r="B14" s="183"/>
      <c r="C14" s="2018"/>
      <c r="D14" s="2319">
        <f>94920*12</f>
        <v>1139040</v>
      </c>
      <c r="E14" s="2319"/>
      <c r="F14" s="2319"/>
      <c r="G14" s="1763"/>
      <c r="H14" s="1765"/>
      <c r="I14" s="852">
        <f t="shared" ref="I14:I19" si="2">SUM(D14:H14)</f>
        <v>1139040</v>
      </c>
    </row>
    <row r="15" spans="1:9" ht="11.25" customHeight="1">
      <c r="A15" s="1989" t="s">
        <v>115</v>
      </c>
      <c r="B15" s="183"/>
      <c r="C15" s="2018"/>
      <c r="D15" s="2319">
        <f>54287*12</f>
        <v>651444</v>
      </c>
      <c r="E15" s="2319">
        <f>15727*12</f>
        <v>188724</v>
      </c>
      <c r="F15" s="2319">
        <f>7824*12</f>
        <v>93888</v>
      </c>
      <c r="G15" s="1763"/>
      <c r="H15" s="1765"/>
      <c r="I15" s="852">
        <f t="shared" si="2"/>
        <v>934056</v>
      </c>
    </row>
    <row r="16" spans="1:9" ht="11.25" customHeight="1">
      <c r="A16" s="1989" t="s">
        <v>413</v>
      </c>
      <c r="B16" s="183"/>
      <c r="C16" s="2018"/>
      <c r="D16" s="2319">
        <f>70778*12</f>
        <v>849336</v>
      </c>
      <c r="E16" s="2305"/>
      <c r="F16" s="2319"/>
      <c r="G16" s="1763"/>
      <c r="H16" s="1765"/>
      <c r="I16" s="852">
        <f t="shared" si="2"/>
        <v>849336</v>
      </c>
    </row>
    <row r="17" spans="1:9" ht="11.25" customHeight="1">
      <c r="A17" s="1989" t="s">
        <v>414</v>
      </c>
      <c r="B17" s="183"/>
      <c r="C17" s="2018"/>
      <c r="D17" s="2319">
        <v>499509</v>
      </c>
      <c r="E17" s="2305">
        <v>126032</v>
      </c>
      <c r="F17" s="2319">
        <v>134793</v>
      </c>
      <c r="G17" s="1763"/>
      <c r="H17" s="1765"/>
      <c r="I17" s="852">
        <f t="shared" si="2"/>
        <v>760334</v>
      </c>
    </row>
    <row r="18" spans="1:9" ht="11.25" customHeight="1">
      <c r="A18" s="1989" t="s">
        <v>160</v>
      </c>
      <c r="B18" s="183"/>
      <c r="C18" s="2018"/>
      <c r="D18" s="2319">
        <v>849338</v>
      </c>
      <c r="E18" s="2305"/>
      <c r="F18" s="2319"/>
      <c r="G18" s="1763"/>
      <c r="H18" s="1765"/>
      <c r="I18" s="852">
        <f t="shared" si="2"/>
        <v>849338</v>
      </c>
    </row>
    <row r="19" spans="1:9" ht="11.25" customHeight="1">
      <c r="A19" s="1989" t="s">
        <v>1484</v>
      </c>
      <c r="B19" s="183"/>
      <c r="C19" s="2018"/>
      <c r="D19" s="2319"/>
      <c r="E19" s="2305"/>
      <c r="F19" s="2319"/>
      <c r="G19" s="1763"/>
      <c r="H19" s="1765"/>
      <c r="I19" s="852">
        <f t="shared" si="2"/>
        <v>0</v>
      </c>
    </row>
    <row r="20" spans="1:9" ht="5.0999999999999996" customHeight="1">
      <c r="A20" s="274"/>
      <c r="B20" s="183"/>
      <c r="C20" s="2154"/>
      <c r="D20" s="2155"/>
      <c r="E20" s="2156"/>
      <c r="F20" s="2155"/>
      <c r="G20" s="2156"/>
      <c r="H20" s="2157"/>
      <c r="I20" s="852"/>
    </row>
    <row r="21" spans="1:9" ht="11.25" customHeight="1">
      <c r="A21" s="972" t="s">
        <v>336</v>
      </c>
      <c r="B21" s="183"/>
      <c r="C21" s="850"/>
      <c r="D21" s="851"/>
      <c r="E21" s="395"/>
      <c r="F21" s="851"/>
      <c r="G21" s="395"/>
      <c r="H21" s="396"/>
      <c r="I21" s="852"/>
    </row>
    <row r="22" spans="1:9" ht="11.25" customHeight="1">
      <c r="A22" s="1989"/>
      <c r="B22" s="183"/>
      <c r="C22" s="2018"/>
      <c r="D22" s="1763"/>
      <c r="E22" s="1763"/>
      <c r="F22" s="1763"/>
      <c r="G22" s="1763"/>
      <c r="H22" s="1765"/>
      <c r="I22" s="852">
        <f>SUM(D22:H22)</f>
        <v>0</v>
      </c>
    </row>
    <row r="23" spans="1:9" ht="11.25" customHeight="1">
      <c r="A23" s="1989"/>
      <c r="B23" s="183"/>
      <c r="C23" s="2018"/>
      <c r="D23" s="1763"/>
      <c r="E23" s="1763"/>
      <c r="F23" s="1763"/>
      <c r="G23" s="1763"/>
      <c r="H23" s="1765"/>
      <c r="I23" s="852">
        <f t="shared" ref="I23:I32" si="3">SUM(D23:H23)</f>
        <v>0</v>
      </c>
    </row>
    <row r="24" spans="1:9" ht="11.25" customHeight="1">
      <c r="A24" s="1989"/>
      <c r="B24" s="183"/>
      <c r="C24" s="2018"/>
      <c r="D24" s="1763"/>
      <c r="E24" s="1763"/>
      <c r="F24" s="1763"/>
      <c r="G24" s="1763"/>
      <c r="H24" s="1765"/>
      <c r="I24" s="852">
        <f t="shared" si="3"/>
        <v>0</v>
      </c>
    </row>
    <row r="25" spans="1:9" ht="11.25" customHeight="1">
      <c r="A25" s="1989"/>
      <c r="B25" s="183"/>
      <c r="C25" s="2018"/>
      <c r="D25" s="1763"/>
      <c r="E25" s="1763"/>
      <c r="F25" s="1763"/>
      <c r="G25" s="1763"/>
      <c r="H25" s="1765"/>
      <c r="I25" s="852">
        <f t="shared" si="3"/>
        <v>0</v>
      </c>
    </row>
    <row r="26" spans="1:9" ht="11.25" customHeight="1">
      <c r="A26" s="1989"/>
      <c r="B26" s="183"/>
      <c r="C26" s="2018"/>
      <c r="D26" s="1763"/>
      <c r="E26" s="1763"/>
      <c r="F26" s="1763"/>
      <c r="G26" s="1763"/>
      <c r="H26" s="1765"/>
      <c r="I26" s="852">
        <f t="shared" si="3"/>
        <v>0</v>
      </c>
    </row>
    <row r="27" spans="1:9" ht="11.25" customHeight="1">
      <c r="A27" s="1989"/>
      <c r="B27" s="183"/>
      <c r="C27" s="2018"/>
      <c r="D27" s="1763"/>
      <c r="E27" s="1763"/>
      <c r="F27" s="1763"/>
      <c r="G27" s="1763"/>
      <c r="H27" s="1765"/>
      <c r="I27" s="852">
        <f t="shared" si="3"/>
        <v>0</v>
      </c>
    </row>
    <row r="28" spans="1:9" ht="11.25" customHeight="1">
      <c r="A28" s="1989"/>
      <c r="B28" s="183"/>
      <c r="C28" s="2018"/>
      <c r="D28" s="1763"/>
      <c r="E28" s="1763"/>
      <c r="F28" s="1763"/>
      <c r="G28" s="1763"/>
      <c r="H28" s="1765"/>
      <c r="I28" s="852">
        <f t="shared" si="3"/>
        <v>0</v>
      </c>
    </row>
    <row r="29" spans="1:9" ht="11.25" customHeight="1">
      <c r="A29" s="1989"/>
      <c r="B29" s="183"/>
      <c r="C29" s="2018"/>
      <c r="D29" s="1763"/>
      <c r="E29" s="1763"/>
      <c r="F29" s="1763"/>
      <c r="G29" s="1763"/>
      <c r="H29" s="1765"/>
      <c r="I29" s="852">
        <f t="shared" si="3"/>
        <v>0</v>
      </c>
    </row>
    <row r="30" spans="1:9" ht="11.25" customHeight="1">
      <c r="A30" s="1989"/>
      <c r="B30" s="183"/>
      <c r="C30" s="2018"/>
      <c r="D30" s="1763"/>
      <c r="E30" s="1763"/>
      <c r="F30" s="1763"/>
      <c r="G30" s="1763"/>
      <c r="H30" s="1765"/>
      <c r="I30" s="852">
        <f t="shared" si="3"/>
        <v>0</v>
      </c>
    </row>
    <row r="31" spans="1:9" ht="11.25" customHeight="1">
      <c r="A31" s="1989"/>
      <c r="B31" s="183"/>
      <c r="C31" s="2018"/>
      <c r="D31" s="1763"/>
      <c r="E31" s="1763"/>
      <c r="F31" s="1763"/>
      <c r="G31" s="1763"/>
      <c r="H31" s="1765"/>
      <c r="I31" s="852">
        <f t="shared" si="3"/>
        <v>0</v>
      </c>
    </row>
    <row r="32" spans="1:9" ht="11.25" customHeight="1">
      <c r="A32" s="1989"/>
      <c r="B32" s="183"/>
      <c r="C32" s="2018"/>
      <c r="D32" s="1763"/>
      <c r="E32" s="1763"/>
      <c r="F32" s="1763"/>
      <c r="G32" s="1763"/>
      <c r="H32" s="1765"/>
      <c r="I32" s="852">
        <f t="shared" si="3"/>
        <v>0</v>
      </c>
    </row>
    <row r="33" spans="1:9" ht="11.25" customHeight="1">
      <c r="A33" s="1751"/>
      <c r="B33" s="183"/>
      <c r="C33" s="2018"/>
      <c r="D33" s="1763"/>
      <c r="E33" s="1763"/>
      <c r="F33" s="1763"/>
      <c r="G33" s="1763"/>
      <c r="H33" s="1765"/>
      <c r="I33" s="852">
        <f>SUM(D33:H33)</f>
        <v>0</v>
      </c>
    </row>
    <row r="34" spans="1:9" ht="11.25" customHeight="1">
      <c r="A34" s="1751"/>
      <c r="B34" s="183"/>
      <c r="C34" s="2018"/>
      <c r="D34" s="1763"/>
      <c r="E34" s="1763"/>
      <c r="F34" s="1763"/>
      <c r="G34" s="1763"/>
      <c r="H34" s="1765"/>
      <c r="I34" s="852">
        <f>SUM(D34:H34)</f>
        <v>0</v>
      </c>
    </row>
    <row r="35" spans="1:9" ht="11.25" customHeight="1">
      <c r="A35" s="810" t="str">
        <f>"Total "&amp;A13</f>
        <v>Total Senior Managers of the Municipality</v>
      </c>
      <c r="B35" s="811">
        <v>9</v>
      </c>
      <c r="C35" s="859">
        <f t="shared" ref="C35:H35" si="4">SUM(C14:C34)</f>
        <v>0</v>
      </c>
      <c r="D35" s="856">
        <f t="shared" si="4"/>
        <v>3988667</v>
      </c>
      <c r="E35" s="855">
        <f t="shared" si="4"/>
        <v>314756</v>
      </c>
      <c r="F35" s="856">
        <f t="shared" si="4"/>
        <v>228681</v>
      </c>
      <c r="G35" s="855">
        <f t="shared" si="4"/>
        <v>0</v>
      </c>
      <c r="H35" s="860">
        <f t="shared" si="4"/>
        <v>0</v>
      </c>
      <c r="I35" s="857">
        <f>SUM(I14:I34)</f>
        <v>4532104</v>
      </c>
    </row>
    <row r="36" spans="1:9">
      <c r="A36" s="274"/>
      <c r="B36" s="183"/>
      <c r="C36" s="850"/>
      <c r="D36" s="851"/>
      <c r="E36" s="395"/>
      <c r="F36" s="851"/>
      <c r="G36" s="395"/>
      <c r="H36" s="396"/>
      <c r="I36" s="852"/>
    </row>
    <row r="37" spans="1:9" ht="11.25" customHeight="1">
      <c r="A37" s="250" t="s">
        <v>805</v>
      </c>
      <c r="B37" s="183" t="s">
        <v>770</v>
      </c>
      <c r="C37" s="850"/>
      <c r="D37" s="851"/>
      <c r="E37" s="395"/>
      <c r="F37" s="851"/>
      <c r="G37" s="395"/>
      <c r="H37" s="396"/>
      <c r="I37" s="852"/>
    </row>
    <row r="38" spans="1:9" ht="11.25" customHeight="1">
      <c r="A38" s="255" t="s">
        <v>116</v>
      </c>
      <c r="B38" s="183"/>
      <c r="C38" s="853"/>
      <c r="D38" s="395"/>
      <c r="E38" s="395"/>
      <c r="F38" s="395"/>
      <c r="G38" s="395"/>
      <c r="H38" s="396"/>
      <c r="I38" s="861"/>
    </row>
    <row r="39" spans="1:9" ht="11.25" customHeight="1">
      <c r="A39" s="1989"/>
      <c r="B39" s="183"/>
      <c r="C39" s="2018"/>
      <c r="D39" s="1763"/>
      <c r="E39" s="1763"/>
      <c r="F39" s="1763"/>
      <c r="G39" s="1763"/>
      <c r="H39" s="1765"/>
      <c r="I39" s="861">
        <f>SUM(D39:G39)</f>
        <v>0</v>
      </c>
    </row>
    <row r="40" spans="1:9" ht="11.25" customHeight="1">
      <c r="A40" s="1989"/>
      <c r="B40" s="183"/>
      <c r="C40" s="2018"/>
      <c r="D40" s="1763"/>
      <c r="E40" s="1763"/>
      <c r="F40" s="1763"/>
      <c r="G40" s="1763"/>
      <c r="H40" s="1765"/>
      <c r="I40" s="861">
        <f t="shared" ref="I40:I54" si="5">SUM(D40:G40)</f>
        <v>0</v>
      </c>
    </row>
    <row r="41" spans="1:9" ht="11.25" customHeight="1">
      <c r="A41" s="1989"/>
      <c r="B41" s="183"/>
      <c r="C41" s="2018"/>
      <c r="D41" s="1763"/>
      <c r="E41" s="1763"/>
      <c r="F41" s="1763"/>
      <c r="G41" s="1763"/>
      <c r="H41" s="1765"/>
      <c r="I41" s="861">
        <f t="shared" si="5"/>
        <v>0</v>
      </c>
    </row>
    <row r="42" spans="1:9" ht="11.25" customHeight="1">
      <c r="A42" s="1989"/>
      <c r="B42" s="183"/>
      <c r="C42" s="2018"/>
      <c r="D42" s="1763"/>
      <c r="E42" s="1763"/>
      <c r="F42" s="1763"/>
      <c r="G42" s="1763"/>
      <c r="H42" s="1765"/>
      <c r="I42" s="861">
        <f t="shared" si="5"/>
        <v>0</v>
      </c>
    </row>
    <row r="43" spans="1:9" ht="11.25" customHeight="1">
      <c r="A43" s="1989"/>
      <c r="B43" s="183"/>
      <c r="C43" s="2018"/>
      <c r="D43" s="1763"/>
      <c r="E43" s="1763"/>
      <c r="F43" s="1763"/>
      <c r="G43" s="1763"/>
      <c r="H43" s="1765"/>
      <c r="I43" s="861">
        <f t="shared" si="5"/>
        <v>0</v>
      </c>
    </row>
    <row r="44" spans="1:9" ht="11.25" customHeight="1">
      <c r="A44" s="1989"/>
      <c r="B44" s="183"/>
      <c r="C44" s="2018"/>
      <c r="D44" s="1763"/>
      <c r="E44" s="1763"/>
      <c r="F44" s="1763"/>
      <c r="G44" s="1763"/>
      <c r="H44" s="1765"/>
      <c r="I44" s="861">
        <f t="shared" si="5"/>
        <v>0</v>
      </c>
    </row>
    <row r="45" spans="1:9" ht="11.25" customHeight="1">
      <c r="A45" s="1989"/>
      <c r="B45" s="183"/>
      <c r="C45" s="2018"/>
      <c r="D45" s="1763"/>
      <c r="E45" s="1763"/>
      <c r="F45" s="1763"/>
      <c r="G45" s="1763"/>
      <c r="H45" s="1765"/>
      <c r="I45" s="861">
        <f t="shared" si="5"/>
        <v>0</v>
      </c>
    </row>
    <row r="46" spans="1:9" ht="11.25" customHeight="1">
      <c r="A46" s="1989"/>
      <c r="B46" s="183"/>
      <c r="C46" s="2018"/>
      <c r="D46" s="1763"/>
      <c r="E46" s="1763"/>
      <c r="F46" s="1763"/>
      <c r="G46" s="1763"/>
      <c r="H46" s="1765"/>
      <c r="I46" s="861">
        <f t="shared" si="5"/>
        <v>0</v>
      </c>
    </row>
    <row r="47" spans="1:9" ht="11.25" customHeight="1">
      <c r="A47" s="1989"/>
      <c r="B47" s="183"/>
      <c r="C47" s="2018"/>
      <c r="D47" s="1763"/>
      <c r="E47" s="1763"/>
      <c r="F47" s="1763"/>
      <c r="G47" s="1763"/>
      <c r="H47" s="1765"/>
      <c r="I47" s="861">
        <f t="shared" si="5"/>
        <v>0</v>
      </c>
    </row>
    <row r="48" spans="1:9" ht="11.25" customHeight="1">
      <c r="A48" s="1989"/>
      <c r="B48" s="183"/>
      <c r="C48" s="2018"/>
      <c r="D48" s="1763"/>
      <c r="E48" s="1763"/>
      <c r="F48" s="1763"/>
      <c r="G48" s="1763"/>
      <c r="H48" s="1765"/>
      <c r="I48" s="861">
        <f t="shared" si="5"/>
        <v>0</v>
      </c>
    </row>
    <row r="49" spans="1:15" ht="11.25" customHeight="1">
      <c r="A49" s="1989"/>
      <c r="B49" s="183"/>
      <c r="C49" s="2018"/>
      <c r="D49" s="1763"/>
      <c r="E49" s="1763"/>
      <c r="F49" s="1763"/>
      <c r="G49" s="1763"/>
      <c r="H49" s="1765"/>
      <c r="I49" s="861">
        <f t="shared" si="5"/>
        <v>0</v>
      </c>
    </row>
    <row r="50" spans="1:15" ht="11.25" customHeight="1">
      <c r="A50" s="1989"/>
      <c r="B50" s="183"/>
      <c r="C50" s="2018"/>
      <c r="D50" s="1763"/>
      <c r="E50" s="1763"/>
      <c r="F50" s="1763"/>
      <c r="G50" s="1763"/>
      <c r="H50" s="1765"/>
      <c r="I50" s="861">
        <f t="shared" si="5"/>
        <v>0</v>
      </c>
    </row>
    <row r="51" spans="1:15" ht="11.25" customHeight="1">
      <c r="A51" s="1989"/>
      <c r="B51" s="183"/>
      <c r="C51" s="2018"/>
      <c r="D51" s="1763"/>
      <c r="E51" s="1763"/>
      <c r="F51" s="1763"/>
      <c r="G51" s="1763"/>
      <c r="H51" s="1765"/>
      <c r="I51" s="861">
        <f t="shared" si="5"/>
        <v>0</v>
      </c>
    </row>
    <row r="52" spans="1:15" ht="11.25" customHeight="1">
      <c r="A52" s="1989"/>
      <c r="B52" s="183"/>
      <c r="C52" s="2018"/>
      <c r="D52" s="1763"/>
      <c r="E52" s="1763"/>
      <c r="F52" s="1763"/>
      <c r="G52" s="1763"/>
      <c r="H52" s="1765"/>
      <c r="I52" s="861">
        <f t="shared" si="5"/>
        <v>0</v>
      </c>
    </row>
    <row r="53" spans="1:15" ht="11.25" customHeight="1">
      <c r="A53" s="1989"/>
      <c r="B53" s="183"/>
      <c r="C53" s="2018"/>
      <c r="D53" s="1763"/>
      <c r="E53" s="1763"/>
      <c r="F53" s="1763"/>
      <c r="G53" s="1763"/>
      <c r="H53" s="1765"/>
      <c r="I53" s="861">
        <f t="shared" si="5"/>
        <v>0</v>
      </c>
    </row>
    <row r="54" spans="1:15" ht="11.25" customHeight="1">
      <c r="A54" s="1989"/>
      <c r="B54" s="183"/>
      <c r="C54" s="2018"/>
      <c r="D54" s="1763"/>
      <c r="E54" s="1763"/>
      <c r="F54" s="1763"/>
      <c r="G54" s="1763"/>
      <c r="H54" s="1765"/>
      <c r="I54" s="861">
        <f t="shared" si="5"/>
        <v>0</v>
      </c>
    </row>
    <row r="55" spans="1:15" ht="11.25" customHeight="1">
      <c r="A55" s="810" t="s">
        <v>337</v>
      </c>
      <c r="B55" s="811">
        <v>9</v>
      </c>
      <c r="C55" s="859">
        <f>SUM(C38:C54)</f>
        <v>0</v>
      </c>
      <c r="D55" s="856">
        <f t="shared" ref="D55:I55" si="6">SUM(D39:D54)</f>
        <v>0</v>
      </c>
      <c r="E55" s="855">
        <f t="shared" si="6"/>
        <v>0</v>
      </c>
      <c r="F55" s="856">
        <f t="shared" si="6"/>
        <v>0</v>
      </c>
      <c r="G55" s="855">
        <f t="shared" si="6"/>
        <v>0</v>
      </c>
      <c r="H55" s="860">
        <f t="shared" si="6"/>
        <v>0</v>
      </c>
      <c r="I55" s="857">
        <f t="shared" si="6"/>
        <v>0</v>
      </c>
    </row>
    <row r="56" spans="1:15">
      <c r="A56" s="274"/>
      <c r="B56" s="183"/>
      <c r="C56" s="850"/>
      <c r="D56" s="851"/>
      <c r="E56" s="851"/>
      <c r="F56" s="851"/>
      <c r="G56" s="851"/>
      <c r="H56" s="862"/>
      <c r="I56" s="852"/>
    </row>
    <row r="57" spans="1:15" s="782" customFormat="1" ht="25.5">
      <c r="A57" s="863" t="s">
        <v>291</v>
      </c>
      <c r="B57" s="787"/>
      <c r="C57" s="864">
        <f t="shared" ref="C57:I57" si="7">C11+C35+C55</f>
        <v>0</v>
      </c>
      <c r="D57" s="865">
        <f t="shared" si="7"/>
        <v>24942667</v>
      </c>
      <c r="E57" s="865">
        <f t="shared" si="7"/>
        <v>314756</v>
      </c>
      <c r="F57" s="865">
        <f t="shared" si="7"/>
        <v>228681</v>
      </c>
      <c r="G57" s="865">
        <f t="shared" si="7"/>
        <v>0</v>
      </c>
      <c r="H57" s="866">
        <f t="shared" si="7"/>
        <v>0</v>
      </c>
      <c r="I57" s="867">
        <f t="shared" si="7"/>
        <v>25486104</v>
      </c>
    </row>
    <row r="58" spans="1:15" ht="5.0999999999999996" customHeight="1">
      <c r="A58" s="666"/>
      <c r="B58" s="237"/>
      <c r="C58" s="237"/>
      <c r="D58" s="310"/>
      <c r="E58" s="310"/>
      <c r="F58" s="310"/>
      <c r="G58" s="310"/>
      <c r="H58" s="310"/>
      <c r="I58" s="310"/>
      <c r="J58" s="247"/>
      <c r="K58" s="247"/>
      <c r="L58" s="247"/>
    </row>
    <row r="59" spans="1:15" s="722" customFormat="1">
      <c r="A59" s="1305" t="str">
        <f>head27a</f>
        <v>References</v>
      </c>
      <c r="B59" s="1065"/>
      <c r="C59" s="1065"/>
      <c r="D59" s="1107"/>
      <c r="E59" s="1107"/>
      <c r="F59" s="1107"/>
      <c r="G59" s="1107"/>
      <c r="H59" s="1107"/>
      <c r="I59" s="1107"/>
      <c r="J59" s="1089"/>
      <c r="K59" s="1089"/>
      <c r="L59" s="1089"/>
    </row>
    <row r="60" spans="1:15" s="722" customFormat="1">
      <c r="A60" s="1462" t="s">
        <v>1051</v>
      </c>
      <c r="B60" s="1075"/>
      <c r="C60" s="1075"/>
    </row>
    <row r="61" spans="1:15" s="722" customFormat="1">
      <c r="A61" s="1462" t="s">
        <v>820</v>
      </c>
      <c r="B61" s="1075"/>
      <c r="C61" s="1075"/>
      <c r="O61" s="1114"/>
    </row>
    <row r="62" spans="1:15" s="722" customFormat="1">
      <c r="A62" s="1462" t="s">
        <v>442</v>
      </c>
      <c r="B62" s="1075"/>
      <c r="C62" s="1075"/>
    </row>
    <row r="63" spans="1:15" s="722" customFormat="1">
      <c r="A63" s="1462" t="s">
        <v>1346</v>
      </c>
      <c r="B63" s="1075"/>
      <c r="C63" s="1075"/>
    </row>
    <row r="64" spans="1:15" s="722" customFormat="1">
      <c r="A64" s="1462" t="s">
        <v>1345</v>
      </c>
      <c r="B64" s="1075"/>
      <c r="C64" s="1075"/>
    </row>
    <row r="65" spans="1:3" s="722" customFormat="1">
      <c r="A65" s="1462" t="s">
        <v>485</v>
      </c>
      <c r="B65" s="1075"/>
      <c r="C65" s="1075"/>
    </row>
    <row r="66" spans="1:3" s="722" customFormat="1">
      <c r="A66" s="1462" t="s">
        <v>761</v>
      </c>
      <c r="B66" s="1075"/>
      <c r="C66" s="1075"/>
    </row>
    <row r="67" spans="1:3" s="722" customFormat="1">
      <c r="A67" s="1462" t="s">
        <v>156</v>
      </c>
      <c r="B67" s="1075"/>
      <c r="C67" s="1075"/>
    </row>
    <row r="68" spans="1:3" s="722" customFormat="1">
      <c r="A68" s="1462" t="s">
        <v>771</v>
      </c>
      <c r="B68" s="1075"/>
      <c r="C68" s="1075"/>
    </row>
    <row r="69" spans="1:3" s="722" customFormat="1">
      <c r="A69" s="1462" t="s">
        <v>176</v>
      </c>
      <c r="B69" s="1075"/>
      <c r="C69" s="1075"/>
    </row>
    <row r="70" spans="1:3" s="722" customFormat="1">
      <c r="A70" s="1462" t="s">
        <v>175</v>
      </c>
      <c r="B70" s="1075"/>
      <c r="C70" s="1075"/>
    </row>
  </sheetData>
  <sheetProtection password="A35B" sheet="1" objects="1" scenarios="1"/>
  <mergeCells count="1">
    <mergeCell ref="C2:C3"/>
  </mergeCells>
  <phoneticPr fontId="2" type="noConversion"/>
  <dataValidations count="1">
    <dataValidation type="whole" allowBlank="1" showInputMessage="1" showErrorMessage="1" sqref="C5:F10 C14:H19 C22:H34 C39:H54">
      <formula1>-99999999999</formula1>
      <formula2>999999999999</formula2>
    </dataValidation>
  </dataValidations>
  <printOptions horizontalCentered="1"/>
  <pageMargins left="0" right="0" top="0.78740157480314965" bottom="0.59055118110236227" header="0.51181102362204722" footer="0.43307086614173229"/>
  <pageSetup paperSize="9" scale="9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1"/>
  <sheetViews>
    <sheetView showGridLines="0" workbookViewId="0">
      <pane ySplit="3" topLeftCell="A22" activePane="bottomLeft" state="frozen"/>
      <selection activeCell="O37" sqref="A1:IV65536"/>
      <selection pane="bottomLeft" activeCell="L25" sqref="L25"/>
    </sheetView>
  </sheetViews>
  <sheetFormatPr defaultRowHeight="12.75"/>
  <cols>
    <col min="1" max="1" width="37.7109375" style="150" customWidth="1"/>
    <col min="2" max="2" width="3" style="248" customWidth="1"/>
    <col min="3" max="11" width="8.7109375" style="150" customWidth="1"/>
    <col min="12" max="12" width="9.855468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"&amp;TableA24</f>
        <v>KZN225 Msunduzi - Supporting Table SA24 Summary of personnel numbers</v>
      </c>
      <c r="B1" s="148"/>
      <c r="C1" s="148"/>
      <c r="D1" s="148"/>
      <c r="E1" s="148"/>
      <c r="F1" s="148"/>
      <c r="G1" s="148"/>
      <c r="H1" s="148"/>
      <c r="I1" s="148"/>
      <c r="J1" s="148"/>
      <c r="K1" s="148"/>
    </row>
    <row r="2" spans="1:12" ht="28.5" customHeight="1">
      <c r="A2" s="1011" t="s">
        <v>720</v>
      </c>
      <c r="B2" s="422" t="str">
        <f>head27</f>
        <v>Ref</v>
      </c>
      <c r="C2" s="2461" t="str">
        <f>Head1</f>
        <v>2009/10</v>
      </c>
      <c r="D2" s="2462"/>
      <c r="E2" s="2463"/>
      <c r="F2" s="2415" t="str">
        <f>Head2</f>
        <v>Current Year 2010/11</v>
      </c>
      <c r="G2" s="2416"/>
      <c r="H2" s="2416"/>
      <c r="I2" s="2412" t="str">
        <f>Head9</f>
        <v>Budget Year 2011/12</v>
      </c>
      <c r="J2" s="2413"/>
      <c r="K2" s="2414"/>
      <c r="L2" s="373"/>
    </row>
    <row r="3" spans="1:12" ht="25.5">
      <c r="A3" s="181" t="s">
        <v>1845</v>
      </c>
      <c r="B3" s="1012" t="s">
        <v>2121</v>
      </c>
      <c r="C3" s="393" t="s">
        <v>471</v>
      </c>
      <c r="D3" s="1025" t="s">
        <v>1030</v>
      </c>
      <c r="E3" s="394" t="s">
        <v>472</v>
      </c>
      <c r="F3" s="393" t="s">
        <v>471</v>
      </c>
      <c r="G3" s="1025" t="s">
        <v>1030</v>
      </c>
      <c r="H3" s="394" t="s">
        <v>472</v>
      </c>
      <c r="I3" s="393" t="s">
        <v>471</v>
      </c>
      <c r="J3" s="1025" t="s">
        <v>1030</v>
      </c>
      <c r="K3" s="394" t="s">
        <v>472</v>
      </c>
      <c r="L3" s="373"/>
    </row>
    <row r="4" spans="1:12">
      <c r="A4" s="663" t="s">
        <v>473</v>
      </c>
      <c r="B4" s="183"/>
      <c r="C4" s="851"/>
      <c r="D4" s="851"/>
      <c r="E4" s="868"/>
      <c r="F4" s="869"/>
      <c r="G4" s="851"/>
      <c r="H4" s="870"/>
      <c r="I4" s="862"/>
      <c r="J4" s="851"/>
      <c r="K4" s="868"/>
      <c r="L4" s="373"/>
    </row>
    <row r="5" spans="1:12" ht="11.25" customHeight="1">
      <c r="A5" s="251" t="s">
        <v>983</v>
      </c>
      <c r="B5" s="183"/>
      <c r="C5" s="2320">
        <v>73</v>
      </c>
      <c r="D5" s="2305">
        <v>73</v>
      </c>
      <c r="E5" s="2257"/>
      <c r="F5" s="1763">
        <v>67</v>
      </c>
      <c r="G5" s="1763">
        <v>67</v>
      </c>
      <c r="H5" s="1764"/>
      <c r="I5" s="2320">
        <v>73</v>
      </c>
      <c r="J5" s="2305">
        <v>73</v>
      </c>
      <c r="K5" s="2257"/>
      <c r="L5" s="373"/>
    </row>
    <row r="6" spans="1:12" ht="11.25" customHeight="1">
      <c r="A6" s="255" t="s">
        <v>1546</v>
      </c>
      <c r="B6" s="183">
        <v>4</v>
      </c>
      <c r="C6" s="2320"/>
      <c r="D6" s="2305"/>
      <c r="E6" s="2257"/>
      <c r="F6" s="1763"/>
      <c r="G6" s="1763"/>
      <c r="H6" s="1764"/>
      <c r="I6" s="2320"/>
      <c r="J6" s="2305"/>
      <c r="K6" s="2257"/>
      <c r="L6" s="373"/>
    </row>
    <row r="7" spans="1:12" ht="11.25" customHeight="1">
      <c r="A7" s="663" t="s">
        <v>1547</v>
      </c>
      <c r="B7" s="183">
        <v>5</v>
      </c>
      <c r="C7" s="2320"/>
      <c r="D7" s="2305"/>
      <c r="E7" s="2257"/>
      <c r="F7" s="1763"/>
      <c r="G7" s="1763"/>
      <c r="H7" s="1764"/>
      <c r="I7" s="2320"/>
      <c r="J7" s="2305"/>
      <c r="K7" s="2257"/>
      <c r="L7" s="373"/>
    </row>
    <row r="8" spans="1:12" ht="11.25" customHeight="1">
      <c r="A8" s="255" t="s">
        <v>1548</v>
      </c>
      <c r="B8" s="183">
        <v>3</v>
      </c>
      <c r="C8" s="2305">
        <v>6</v>
      </c>
      <c r="D8" s="2305"/>
      <c r="E8" s="2257">
        <v>6</v>
      </c>
      <c r="F8" s="1764">
        <v>6</v>
      </c>
      <c r="G8" s="1763"/>
      <c r="H8" s="1764">
        <v>6</v>
      </c>
      <c r="I8" s="2305">
        <v>6</v>
      </c>
      <c r="J8" s="2305"/>
      <c r="K8" s="2257">
        <v>6</v>
      </c>
      <c r="L8" s="373"/>
    </row>
    <row r="9" spans="1:12" ht="11.25" customHeight="1">
      <c r="A9" s="255" t="s">
        <v>593</v>
      </c>
      <c r="B9" s="183">
        <v>7</v>
      </c>
      <c r="C9" s="2320">
        <v>114</v>
      </c>
      <c r="D9" s="2305">
        <v>114</v>
      </c>
      <c r="E9" s="2257"/>
      <c r="F9" s="1764">
        <v>91</v>
      </c>
      <c r="G9" s="1763"/>
      <c r="H9" s="1764">
        <v>91</v>
      </c>
      <c r="I9" s="2320">
        <v>114</v>
      </c>
      <c r="J9" s="2305">
        <v>114</v>
      </c>
      <c r="K9" s="2257"/>
      <c r="L9" s="373"/>
    </row>
    <row r="10" spans="1:12" ht="11.25" customHeight="1">
      <c r="A10" s="255" t="s">
        <v>1549</v>
      </c>
      <c r="B10" s="183"/>
      <c r="C10" s="1215">
        <f>SUM(C11:C18)</f>
        <v>1338</v>
      </c>
      <c r="D10" s="1215">
        <f>SUM(D11:D18)</f>
        <v>1338</v>
      </c>
      <c r="E10" s="1216">
        <f t="shared" ref="E10:K10" si="0">SUM(E11:E18)</f>
        <v>0</v>
      </c>
      <c r="F10" s="1217">
        <f t="shared" si="0"/>
        <v>1167</v>
      </c>
      <c r="G10" s="1215">
        <f t="shared" si="0"/>
        <v>1167</v>
      </c>
      <c r="H10" s="1218">
        <f t="shared" si="0"/>
        <v>0</v>
      </c>
      <c r="I10" s="1219">
        <f t="shared" si="0"/>
        <v>1338</v>
      </c>
      <c r="J10" s="1215">
        <f t="shared" si="0"/>
        <v>1338</v>
      </c>
      <c r="K10" s="1216">
        <f t="shared" si="0"/>
        <v>0</v>
      </c>
      <c r="L10" s="373"/>
    </row>
    <row r="11" spans="1:12" ht="11.25" customHeight="1">
      <c r="A11" s="1555" t="s">
        <v>1990</v>
      </c>
      <c r="B11" s="183"/>
      <c r="C11" s="2256">
        <v>170</v>
      </c>
      <c r="D11" s="2305">
        <v>170</v>
      </c>
      <c r="E11" s="2306"/>
      <c r="F11" s="1764">
        <v>160</v>
      </c>
      <c r="G11" s="1764">
        <v>160</v>
      </c>
      <c r="H11" s="1970"/>
      <c r="I11" s="2256">
        <v>170</v>
      </c>
      <c r="J11" s="2305">
        <v>170</v>
      </c>
      <c r="K11" s="1764"/>
      <c r="L11" s="373"/>
    </row>
    <row r="12" spans="1:12" ht="11.25" customHeight="1">
      <c r="A12" s="1555" t="s">
        <v>1550</v>
      </c>
      <c r="B12" s="183"/>
      <c r="C12" s="2256"/>
      <c r="D12" s="2305"/>
      <c r="E12" s="2306"/>
      <c r="F12" s="1764">
        <v>11</v>
      </c>
      <c r="G12" s="1764">
        <v>11</v>
      </c>
      <c r="H12" s="1970"/>
      <c r="I12" s="2256"/>
      <c r="J12" s="2305"/>
      <c r="K12" s="1764"/>
      <c r="L12" s="373"/>
    </row>
    <row r="13" spans="1:12" ht="11.25" customHeight="1">
      <c r="A13" s="1555" t="s">
        <v>349</v>
      </c>
      <c r="B13" s="183"/>
      <c r="C13" s="2256">
        <v>11</v>
      </c>
      <c r="D13" s="2305">
        <v>11</v>
      </c>
      <c r="E13" s="2306"/>
      <c r="F13" s="1764">
        <v>10</v>
      </c>
      <c r="G13" s="1764">
        <v>10</v>
      </c>
      <c r="H13" s="1970"/>
      <c r="I13" s="2256">
        <v>11</v>
      </c>
      <c r="J13" s="2305">
        <v>11</v>
      </c>
      <c r="K13" s="1764"/>
      <c r="L13" s="373"/>
    </row>
    <row r="14" spans="1:12" ht="11.25" customHeight="1">
      <c r="A14" s="1555" t="s">
        <v>778</v>
      </c>
      <c r="B14" s="183"/>
      <c r="C14" s="2256">
        <v>285</v>
      </c>
      <c r="D14" s="2305">
        <v>285</v>
      </c>
      <c r="E14" s="2306"/>
      <c r="F14" s="1764">
        <v>132</v>
      </c>
      <c r="G14" s="1764">
        <v>132</v>
      </c>
      <c r="H14" s="1970"/>
      <c r="I14" s="2256">
        <v>285</v>
      </c>
      <c r="J14" s="2305">
        <v>285</v>
      </c>
      <c r="K14" s="1764"/>
      <c r="L14" s="373"/>
    </row>
    <row r="15" spans="1:12" ht="11.25" customHeight="1">
      <c r="A15" s="1555" t="s">
        <v>690</v>
      </c>
      <c r="B15" s="183"/>
      <c r="C15" s="2256">
        <v>276</v>
      </c>
      <c r="D15" s="2305">
        <v>276</v>
      </c>
      <c r="E15" s="2306"/>
      <c r="F15" s="1764">
        <v>251</v>
      </c>
      <c r="G15" s="1764">
        <v>251</v>
      </c>
      <c r="H15" s="1970"/>
      <c r="I15" s="2256">
        <v>276</v>
      </c>
      <c r="J15" s="2305">
        <v>276</v>
      </c>
      <c r="K15" s="1764"/>
      <c r="L15" s="373"/>
    </row>
    <row r="16" spans="1:12" ht="11.25" customHeight="1">
      <c r="A16" s="1555" t="s">
        <v>1037</v>
      </c>
      <c r="B16" s="183"/>
      <c r="C16" s="2256">
        <v>173</v>
      </c>
      <c r="D16" s="2305">
        <v>173</v>
      </c>
      <c r="E16" s="2306"/>
      <c r="F16" s="1764">
        <v>130</v>
      </c>
      <c r="G16" s="1764">
        <v>130</v>
      </c>
      <c r="H16" s="1970"/>
      <c r="I16" s="2256">
        <v>173</v>
      </c>
      <c r="J16" s="2305">
        <v>173</v>
      </c>
      <c r="K16" s="1764"/>
      <c r="L16" s="373"/>
    </row>
    <row r="17" spans="1:12" ht="11.25" customHeight="1">
      <c r="A17" s="1555" t="s">
        <v>1038</v>
      </c>
      <c r="B17" s="183"/>
      <c r="C17" s="2256">
        <v>93</v>
      </c>
      <c r="D17" s="2305">
        <v>93</v>
      </c>
      <c r="E17" s="2306"/>
      <c r="F17" s="1764">
        <v>78</v>
      </c>
      <c r="G17" s="1764">
        <v>78</v>
      </c>
      <c r="H17" s="1970"/>
      <c r="I17" s="2256">
        <v>93</v>
      </c>
      <c r="J17" s="2305">
        <v>93</v>
      </c>
      <c r="K17" s="1764"/>
      <c r="L17" s="373"/>
    </row>
    <row r="18" spans="1:12" ht="11.25" customHeight="1">
      <c r="A18" s="1555" t="s">
        <v>1412</v>
      </c>
      <c r="B18" s="183"/>
      <c r="C18" s="2256">
        <v>330</v>
      </c>
      <c r="D18" s="2305">
        <v>330</v>
      </c>
      <c r="E18" s="2306"/>
      <c r="F18" s="1764">
        <v>395</v>
      </c>
      <c r="G18" s="1764">
        <v>395</v>
      </c>
      <c r="H18" s="1970"/>
      <c r="I18" s="2256">
        <v>330</v>
      </c>
      <c r="J18" s="2305">
        <v>330</v>
      </c>
      <c r="K18" s="1764"/>
      <c r="L18" s="373"/>
    </row>
    <row r="19" spans="1:12" ht="11.25" customHeight="1">
      <c r="A19" s="1555" t="s">
        <v>301</v>
      </c>
      <c r="B19" s="183"/>
      <c r="C19" s="2256">
        <f>1542+103+47</f>
        <v>1692</v>
      </c>
      <c r="D19" s="2305">
        <f>1542+103+47</f>
        <v>1692</v>
      </c>
      <c r="E19" s="2306"/>
      <c r="F19" s="1764">
        <v>1691</v>
      </c>
      <c r="G19" s="1764">
        <v>1691</v>
      </c>
      <c r="H19" s="1970"/>
      <c r="I19" s="2256">
        <f>1542+103+47</f>
        <v>1692</v>
      </c>
      <c r="J19" s="2305">
        <f>1542+103+47</f>
        <v>1692</v>
      </c>
      <c r="K19" s="1764"/>
      <c r="L19" s="373"/>
    </row>
    <row r="20" spans="1:12" ht="11.25" customHeight="1">
      <c r="A20" s="255" t="s">
        <v>1551</v>
      </c>
      <c r="B20" s="183"/>
      <c r="C20" s="1215">
        <f>SUM(C21:C28)</f>
        <v>0</v>
      </c>
      <c r="D20" s="1215">
        <f>SUM(D21:D28)</f>
        <v>0</v>
      </c>
      <c r="E20" s="1216">
        <f t="shared" ref="E20:K20" si="1">SUM(E21:E28)</f>
        <v>0</v>
      </c>
      <c r="F20" s="1217">
        <f t="shared" si="1"/>
        <v>0</v>
      </c>
      <c r="G20" s="1215">
        <f t="shared" si="1"/>
        <v>0</v>
      </c>
      <c r="H20" s="1218">
        <f t="shared" si="1"/>
        <v>0</v>
      </c>
      <c r="I20" s="1219">
        <f t="shared" si="1"/>
        <v>0</v>
      </c>
      <c r="J20" s="1215">
        <f t="shared" si="1"/>
        <v>0</v>
      </c>
      <c r="K20" s="1216">
        <f t="shared" si="1"/>
        <v>0</v>
      </c>
      <c r="L20" s="373"/>
    </row>
    <row r="21" spans="1:12" ht="11.25" customHeight="1">
      <c r="A21" s="1555" t="s">
        <v>1990</v>
      </c>
      <c r="B21" s="183"/>
      <c r="C21" s="1763"/>
      <c r="D21" s="1763"/>
      <c r="E21" s="1764"/>
      <c r="F21" s="1762"/>
      <c r="G21" s="1763"/>
      <c r="H21" s="1970"/>
      <c r="I21" s="1765"/>
      <c r="J21" s="1763"/>
      <c r="K21" s="1764"/>
      <c r="L21" s="373"/>
    </row>
    <row r="22" spans="1:12" ht="11.25" customHeight="1">
      <c r="A22" s="1555" t="s">
        <v>1550</v>
      </c>
      <c r="B22" s="183"/>
      <c r="C22" s="1763"/>
      <c r="D22" s="1763"/>
      <c r="E22" s="1764"/>
      <c r="F22" s="1762"/>
      <c r="G22" s="1763"/>
      <c r="H22" s="1970"/>
      <c r="I22" s="1765"/>
      <c r="J22" s="1763"/>
      <c r="K22" s="1764"/>
      <c r="L22" s="373"/>
    </row>
    <row r="23" spans="1:12" ht="11.25" customHeight="1">
      <c r="A23" s="1555" t="s">
        <v>349</v>
      </c>
      <c r="B23" s="183"/>
      <c r="C23" s="1763"/>
      <c r="D23" s="1763"/>
      <c r="E23" s="1764"/>
      <c r="F23" s="1762"/>
      <c r="G23" s="1763"/>
      <c r="H23" s="1970"/>
      <c r="I23" s="1765"/>
      <c r="J23" s="1763"/>
      <c r="K23" s="1764"/>
      <c r="L23" s="373"/>
    </row>
    <row r="24" spans="1:12" ht="11.25" customHeight="1">
      <c r="A24" s="1555" t="s">
        <v>778</v>
      </c>
      <c r="B24" s="183"/>
      <c r="C24" s="1763"/>
      <c r="D24" s="1763"/>
      <c r="E24" s="1764"/>
      <c r="F24" s="1762"/>
      <c r="G24" s="1763"/>
      <c r="H24" s="1970"/>
      <c r="I24" s="1765"/>
      <c r="J24" s="1763"/>
      <c r="K24" s="1764"/>
      <c r="L24" s="373"/>
    </row>
    <row r="25" spans="1:12" ht="11.25" customHeight="1">
      <c r="A25" s="1555" t="s">
        <v>690</v>
      </c>
      <c r="B25" s="183"/>
      <c r="C25" s="1763"/>
      <c r="D25" s="1763"/>
      <c r="E25" s="1764"/>
      <c r="F25" s="1762"/>
      <c r="G25" s="1763"/>
      <c r="H25" s="1970"/>
      <c r="I25" s="1765"/>
      <c r="J25" s="1763"/>
      <c r="K25" s="1764"/>
      <c r="L25" s="373"/>
    </row>
    <row r="26" spans="1:12" ht="11.25" customHeight="1">
      <c r="A26" s="1555" t="s">
        <v>1037</v>
      </c>
      <c r="B26" s="183"/>
      <c r="C26" s="1763"/>
      <c r="D26" s="1763"/>
      <c r="E26" s="1764"/>
      <c r="F26" s="1762"/>
      <c r="G26" s="1763"/>
      <c r="H26" s="1970"/>
      <c r="I26" s="1765"/>
      <c r="J26" s="1763"/>
      <c r="K26" s="1764"/>
      <c r="L26" s="373"/>
    </row>
    <row r="27" spans="1:12" ht="11.25" customHeight="1">
      <c r="A27" s="1555" t="s">
        <v>1038</v>
      </c>
      <c r="B27" s="183"/>
      <c r="C27" s="1763"/>
      <c r="D27" s="1763"/>
      <c r="E27" s="1764"/>
      <c r="F27" s="1762"/>
      <c r="G27" s="1763"/>
      <c r="H27" s="1970"/>
      <c r="I27" s="1765"/>
      <c r="J27" s="1763"/>
      <c r="K27" s="1764"/>
      <c r="L27" s="373"/>
    </row>
    <row r="28" spans="1:12" ht="11.25" customHeight="1">
      <c r="A28" s="1555" t="s">
        <v>1412</v>
      </c>
      <c r="B28" s="183"/>
      <c r="C28" s="1763"/>
      <c r="D28" s="1763"/>
      <c r="E28" s="1764"/>
      <c r="F28" s="1762"/>
      <c r="G28" s="1763"/>
      <c r="H28" s="1970"/>
      <c r="I28" s="1765"/>
      <c r="J28" s="1763"/>
      <c r="K28" s="1764"/>
      <c r="L28" s="373"/>
    </row>
    <row r="29" spans="1:12" ht="11.25" customHeight="1">
      <c r="A29" s="1555" t="s">
        <v>301</v>
      </c>
      <c r="B29" s="183"/>
      <c r="C29" s="1763"/>
      <c r="D29" s="1763"/>
      <c r="E29" s="1764"/>
      <c r="F29" s="1762"/>
      <c r="G29" s="1763"/>
      <c r="H29" s="1970"/>
      <c r="I29" s="1765"/>
      <c r="J29" s="1763"/>
      <c r="K29" s="1764"/>
      <c r="L29" s="373"/>
    </row>
    <row r="30" spans="1:12" ht="11.25" customHeight="1">
      <c r="A30" s="255" t="s">
        <v>1552</v>
      </c>
      <c r="B30" s="183"/>
      <c r="C30" s="1763"/>
      <c r="D30" s="1763"/>
      <c r="E30" s="1764"/>
      <c r="F30" s="1762"/>
      <c r="G30" s="1763"/>
      <c r="H30" s="1970"/>
      <c r="I30" s="1765"/>
      <c r="J30" s="1763"/>
      <c r="K30" s="1764"/>
      <c r="L30" s="373"/>
    </row>
    <row r="31" spans="1:12" ht="11.25" customHeight="1">
      <c r="A31" s="255" t="s">
        <v>1553</v>
      </c>
      <c r="B31" s="183"/>
      <c r="C31" s="1763"/>
      <c r="D31" s="1763"/>
      <c r="E31" s="1764"/>
      <c r="F31" s="1762"/>
      <c r="G31" s="1763"/>
      <c r="H31" s="1970"/>
      <c r="I31" s="1765"/>
      <c r="J31" s="1763"/>
      <c r="K31" s="1764"/>
      <c r="L31" s="373"/>
    </row>
    <row r="32" spans="1:12" ht="11.25" customHeight="1">
      <c r="A32" s="255" t="s">
        <v>874</v>
      </c>
      <c r="B32" s="183"/>
      <c r="C32" s="1763"/>
      <c r="D32" s="1763"/>
      <c r="E32" s="1764"/>
      <c r="F32" s="1762"/>
      <c r="G32" s="1763"/>
      <c r="H32" s="1970"/>
      <c r="I32" s="1765"/>
      <c r="J32" s="1763"/>
      <c r="K32" s="1764"/>
      <c r="L32" s="373"/>
    </row>
    <row r="33" spans="1:15" ht="11.25" customHeight="1">
      <c r="A33" s="255" t="s">
        <v>1554</v>
      </c>
      <c r="B33" s="183"/>
      <c r="C33" s="1763"/>
      <c r="D33" s="1763"/>
      <c r="E33" s="1764"/>
      <c r="F33" s="1762"/>
      <c r="G33" s="1763"/>
      <c r="H33" s="1970"/>
      <c r="I33" s="1765"/>
      <c r="J33" s="1763"/>
      <c r="K33" s="1764"/>
      <c r="L33" s="373"/>
    </row>
    <row r="34" spans="1:15" ht="11.25" customHeight="1">
      <c r="A34" s="255" t="s">
        <v>1555</v>
      </c>
      <c r="B34" s="183"/>
      <c r="C34" s="1763"/>
      <c r="D34" s="1763"/>
      <c r="E34" s="1764"/>
      <c r="F34" s="1762"/>
      <c r="G34" s="1763"/>
      <c r="H34" s="1970"/>
      <c r="I34" s="1765"/>
      <c r="J34" s="1763"/>
      <c r="K34" s="1764"/>
      <c r="L34" s="373"/>
    </row>
    <row r="35" spans="1:15" ht="11.25" customHeight="1">
      <c r="A35" s="255" t="s">
        <v>1556</v>
      </c>
      <c r="B35" s="183"/>
      <c r="C35" s="1763"/>
      <c r="D35" s="1763"/>
      <c r="E35" s="1764"/>
      <c r="F35" s="1762"/>
      <c r="G35" s="1763"/>
      <c r="H35" s="1970"/>
      <c r="I35" s="1765"/>
      <c r="J35" s="1763"/>
      <c r="K35" s="1764"/>
      <c r="L35" s="373"/>
    </row>
    <row r="36" spans="1:15" ht="11.25" customHeight="1">
      <c r="A36" s="832" t="s">
        <v>718</v>
      </c>
      <c r="B36" s="183"/>
      <c r="C36" s="873">
        <f>SUM(C5:C9)+SUM(C11:C19)+SUM(C21:C35)</f>
        <v>3223</v>
      </c>
      <c r="D36" s="873">
        <f t="shared" ref="D36:K36" si="2">SUM(D5:D9)+SUM(D11:D19)+SUM(D21:D35)</f>
        <v>3217</v>
      </c>
      <c r="E36" s="1347">
        <f t="shared" si="2"/>
        <v>6</v>
      </c>
      <c r="F36" s="1348">
        <f t="shared" si="2"/>
        <v>3022</v>
      </c>
      <c r="G36" s="873">
        <f t="shared" si="2"/>
        <v>2925</v>
      </c>
      <c r="H36" s="874">
        <f t="shared" si="2"/>
        <v>97</v>
      </c>
      <c r="I36" s="1349">
        <f t="shared" si="2"/>
        <v>3223</v>
      </c>
      <c r="J36" s="873">
        <f t="shared" si="2"/>
        <v>3217</v>
      </c>
      <c r="K36" s="873">
        <f t="shared" si="2"/>
        <v>6</v>
      </c>
      <c r="L36" s="373"/>
    </row>
    <row r="37" spans="1:15" ht="11.25" customHeight="1">
      <c r="A37" s="997" t="s">
        <v>999</v>
      </c>
      <c r="B37" s="183"/>
      <c r="C37" s="871"/>
      <c r="D37" s="1350"/>
      <c r="E37" s="1351"/>
      <c r="F37" s="1352">
        <f t="shared" ref="F37:K37" si="3">IF(ISERROR((F36/C36)-1),0,((F36/C36)-1))</f>
        <v>-6.2364256903505999E-2</v>
      </c>
      <c r="G37" s="1353">
        <f t="shared" si="3"/>
        <v>-9.0767796083307428E-2</v>
      </c>
      <c r="H37" s="1354">
        <f t="shared" si="3"/>
        <v>15.166666666666668</v>
      </c>
      <c r="I37" s="1355">
        <f t="shared" si="3"/>
        <v>6.6512243547319549E-2</v>
      </c>
      <c r="J37" s="1353">
        <f t="shared" si="3"/>
        <v>9.9829059829059874E-2</v>
      </c>
      <c r="K37" s="1356">
        <f t="shared" si="3"/>
        <v>-0.93814432989690721</v>
      </c>
      <c r="L37" s="373"/>
      <c r="O37" s="373"/>
    </row>
    <row r="38" spans="1:15" ht="3.75" customHeight="1">
      <c r="A38" s="997"/>
      <c r="B38" s="183"/>
      <c r="C38" s="871"/>
      <c r="D38" s="1353"/>
      <c r="E38" s="1356"/>
      <c r="F38" s="1352"/>
      <c r="G38" s="1353"/>
      <c r="H38" s="1354"/>
      <c r="I38" s="1355"/>
      <c r="J38" s="1353"/>
      <c r="K38" s="1356"/>
      <c r="L38" s="373"/>
    </row>
    <row r="39" spans="1:15" ht="11.25" customHeight="1">
      <c r="A39" s="663" t="s">
        <v>1557</v>
      </c>
      <c r="B39" s="183">
        <v>6</v>
      </c>
      <c r="C39" s="2020">
        <v>3150</v>
      </c>
      <c r="D39" s="2021">
        <v>3144</v>
      </c>
      <c r="E39" s="2022">
        <v>6</v>
      </c>
      <c r="F39" s="2020"/>
      <c r="G39" s="2021"/>
      <c r="H39" s="2022"/>
      <c r="I39" s="2023"/>
      <c r="J39" s="2021"/>
      <c r="K39" s="2024"/>
      <c r="L39" s="373"/>
    </row>
    <row r="40" spans="1:15" ht="11.25" customHeight="1">
      <c r="A40" s="251" t="s">
        <v>1558</v>
      </c>
      <c r="B40" s="183">
        <v>8</v>
      </c>
      <c r="C40" s="2321">
        <v>190</v>
      </c>
      <c r="D40" s="2322">
        <v>168</v>
      </c>
      <c r="E40" s="2323">
        <v>1</v>
      </c>
      <c r="F40" s="2020"/>
      <c r="G40" s="2021"/>
      <c r="H40" s="2022"/>
      <c r="I40" s="2023"/>
      <c r="J40" s="2021"/>
      <c r="K40" s="2024"/>
      <c r="L40" s="373"/>
    </row>
    <row r="41" spans="1:15" ht="11.25" customHeight="1">
      <c r="A41" s="1357" t="s">
        <v>1559</v>
      </c>
      <c r="B41" s="385">
        <v>8</v>
      </c>
      <c r="C41" s="2321">
        <v>220</v>
      </c>
      <c r="D41" s="2322">
        <v>182</v>
      </c>
      <c r="E41" s="2323">
        <v>1</v>
      </c>
      <c r="F41" s="2025"/>
      <c r="G41" s="2026"/>
      <c r="H41" s="2027"/>
      <c r="I41" s="2028"/>
      <c r="J41" s="2026"/>
      <c r="K41" s="2029"/>
      <c r="L41" s="373"/>
    </row>
    <row r="42" spans="1:15" ht="11.25" customHeight="1">
      <c r="A42" s="666"/>
      <c r="B42" s="237"/>
      <c r="C42" s="310"/>
      <c r="D42" s="310"/>
      <c r="E42" s="310"/>
      <c r="F42" s="310"/>
      <c r="G42" s="310"/>
      <c r="H42" s="310"/>
      <c r="I42" s="310"/>
      <c r="J42" s="310"/>
      <c r="K42" s="310"/>
      <c r="L42" s="373"/>
    </row>
    <row r="43" spans="1:15" ht="11.25" customHeight="1">
      <c r="A43" s="1305" t="str">
        <f>head27a</f>
        <v>References</v>
      </c>
      <c r="B43" s="1065"/>
      <c r="C43" s="1107"/>
      <c r="D43" s="1107"/>
      <c r="E43" s="1107"/>
      <c r="F43" s="1107"/>
      <c r="G43" s="1107"/>
      <c r="H43" s="1107"/>
      <c r="I43" s="1107"/>
      <c r="J43" s="1107"/>
      <c r="K43" s="1107"/>
      <c r="L43" s="373"/>
    </row>
    <row r="44" spans="1:15" ht="11.25" customHeight="1">
      <c r="A44" s="2170" t="s">
        <v>2122</v>
      </c>
      <c r="B44" s="1065"/>
      <c r="C44" s="1107"/>
      <c r="D44" s="1107"/>
      <c r="E44" s="1107"/>
      <c r="F44" s="1107"/>
      <c r="G44" s="1107"/>
      <c r="H44" s="1107"/>
      <c r="I44" s="1107"/>
      <c r="J44" s="1107"/>
      <c r="K44" s="1107"/>
      <c r="L44" s="373"/>
    </row>
    <row r="45" spans="1:15" ht="11.25" customHeight="1">
      <c r="A45" s="1462" t="s">
        <v>2123</v>
      </c>
      <c r="B45" s="1075"/>
      <c r="C45" s="722"/>
      <c r="D45" s="722"/>
      <c r="E45" s="722"/>
      <c r="F45" s="722"/>
      <c r="G45" s="722"/>
      <c r="H45" s="722"/>
      <c r="I45" s="722"/>
      <c r="J45" s="722"/>
      <c r="K45" s="722"/>
    </row>
    <row r="46" spans="1:15" ht="11.25" customHeight="1">
      <c r="A46" s="1462" t="s">
        <v>2124</v>
      </c>
      <c r="B46" s="1075"/>
      <c r="C46" s="722"/>
      <c r="D46" s="722"/>
      <c r="E46" s="722"/>
      <c r="F46" s="722"/>
      <c r="G46" s="722"/>
      <c r="H46" s="722"/>
      <c r="I46" s="722"/>
      <c r="J46" s="722"/>
      <c r="K46" s="722"/>
    </row>
    <row r="47" spans="1:15" ht="11.25" customHeight="1">
      <c r="A47" s="1462" t="s">
        <v>2125</v>
      </c>
      <c r="B47" s="1075"/>
      <c r="C47" s="722"/>
      <c r="D47" s="722"/>
      <c r="E47" s="722"/>
      <c r="F47" s="722"/>
      <c r="G47" s="722"/>
      <c r="H47" s="722"/>
      <c r="I47" s="722"/>
      <c r="J47" s="722"/>
      <c r="K47" s="722"/>
    </row>
    <row r="48" spans="1:15" ht="11.25" customHeight="1">
      <c r="A48" s="1462" t="s">
        <v>2126</v>
      </c>
      <c r="B48" s="1075"/>
      <c r="C48" s="722"/>
      <c r="D48" s="722"/>
      <c r="E48" s="722"/>
      <c r="F48" s="722"/>
      <c r="G48" s="722"/>
      <c r="H48" s="722"/>
      <c r="I48" s="722"/>
      <c r="J48" s="722"/>
      <c r="K48" s="722"/>
    </row>
    <row r="49" spans="1:11" ht="11.25" customHeight="1">
      <c r="A49" s="1462" t="s">
        <v>2127</v>
      </c>
      <c r="B49" s="1075"/>
      <c r="C49" s="722"/>
      <c r="D49" s="722"/>
      <c r="E49" s="722"/>
      <c r="F49" s="722"/>
      <c r="G49" s="722"/>
      <c r="H49" s="722"/>
      <c r="I49" s="722"/>
      <c r="J49" s="722"/>
      <c r="K49" s="722"/>
    </row>
    <row r="50" spans="1:11" ht="11.25" customHeight="1">
      <c r="A50" s="1462" t="s">
        <v>2128</v>
      </c>
      <c r="B50" s="1075"/>
      <c r="C50" s="722"/>
      <c r="D50" s="722"/>
      <c r="E50" s="722"/>
      <c r="F50" s="722"/>
      <c r="G50" s="722"/>
      <c r="H50" s="722"/>
      <c r="I50" s="722"/>
      <c r="J50" s="722"/>
      <c r="K50" s="722"/>
    </row>
    <row r="51" spans="1:11" ht="11.25" customHeight="1">
      <c r="A51" s="1462" t="s">
        <v>2129</v>
      </c>
      <c r="B51" s="1075"/>
      <c r="C51" s="722"/>
      <c r="D51" s="722"/>
      <c r="E51" s="722"/>
      <c r="F51" s="722"/>
      <c r="G51" s="722"/>
      <c r="H51" s="722"/>
      <c r="I51" s="722"/>
      <c r="J51" s="722"/>
      <c r="K51" s="722"/>
    </row>
  </sheetData>
  <sheetProtection password="A35B" sheet="1" objects="1" scenarios="1"/>
  <mergeCells count="3">
    <mergeCell ref="F2:H2"/>
    <mergeCell ref="I2:K2"/>
    <mergeCell ref="C2:E2"/>
  </mergeCells>
  <phoneticPr fontId="2" type="noConversion"/>
  <dataValidations count="1">
    <dataValidation type="whole" allowBlank="1" showInputMessage="1" showErrorMessage="1" sqref="C5:K9 C11:K19 C21:K35 C39:K41">
      <formula1>-99999999999999</formula1>
      <formula2>999999999999999</formula2>
    </dataValidation>
  </dataValidations>
  <printOptions horizontalCentered="1"/>
  <pageMargins left="0.36" right="0.14000000000000001" top="0.78740157480314965" bottom="0.59055118110236227" header="0.51181102362204722" footer="0.39"/>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C8" sqref="C8"/>
    </sheetView>
  </sheetViews>
  <sheetFormatPr defaultRowHeight="12.75"/>
  <cols>
    <col min="1" max="1" width="30.7109375" style="150" customWidth="1"/>
    <col min="2" max="2" width="3" style="150" customWidth="1"/>
    <col min="3" max="14" width="8.28515625" style="150" customWidth="1"/>
    <col min="15" max="17" width="9.28515625" style="150" customWidth="1"/>
    <col min="18" max="16384" width="9.140625" style="150"/>
  </cols>
  <sheetData>
    <row r="1" spans="1:17" ht="13.5" customHeight="1">
      <c r="A1" s="148" t="str">
        <f>muni&amp;" - "&amp; TableA25</f>
        <v>KZN225 Msunduzi - Supporting Table SA25 Budgeted monthly revenue and expenditure</v>
      </c>
      <c r="B1" s="148"/>
      <c r="C1" s="148"/>
      <c r="D1" s="148"/>
      <c r="E1" s="148"/>
      <c r="F1" s="148"/>
      <c r="G1" s="148"/>
      <c r="H1" s="148"/>
      <c r="I1" s="148"/>
      <c r="J1" s="148"/>
      <c r="K1" s="148"/>
      <c r="L1" s="148"/>
      <c r="M1" s="148"/>
      <c r="N1" s="148"/>
      <c r="O1" s="148"/>
      <c r="P1" s="148"/>
      <c r="Q1" s="148"/>
    </row>
    <row r="2" spans="1:17" ht="28.5" customHeight="1">
      <c r="A2" s="1011" t="str">
        <f>desc</f>
        <v>Description</v>
      </c>
      <c r="B2" s="1023" t="str">
        <f>head27</f>
        <v>Ref</v>
      </c>
      <c r="C2" s="2415" t="str">
        <f>Head9</f>
        <v>Budget Year 2011/12</v>
      </c>
      <c r="D2" s="2416"/>
      <c r="E2" s="2416"/>
      <c r="F2" s="2416"/>
      <c r="G2" s="2416"/>
      <c r="H2" s="2416"/>
      <c r="I2" s="2416"/>
      <c r="J2" s="2416"/>
      <c r="K2" s="2416"/>
      <c r="L2" s="2416"/>
      <c r="M2" s="2416"/>
      <c r="N2" s="2416"/>
      <c r="O2" s="2412" t="s">
        <v>1961</v>
      </c>
      <c r="P2" s="2413"/>
      <c r="Q2" s="2414"/>
    </row>
    <row r="3" spans="1:17" ht="25.5">
      <c r="A3" s="1018" t="s">
        <v>703</v>
      </c>
      <c r="B3" s="1024"/>
      <c r="C3" s="300" t="s">
        <v>765</v>
      </c>
      <c r="D3" s="942" t="s">
        <v>1543</v>
      </c>
      <c r="E3" s="942" t="s">
        <v>1544</v>
      </c>
      <c r="F3" s="942" t="s">
        <v>1545</v>
      </c>
      <c r="G3" s="942" t="s">
        <v>745</v>
      </c>
      <c r="H3" s="942" t="s">
        <v>746</v>
      </c>
      <c r="I3" s="942" t="s">
        <v>747</v>
      </c>
      <c r="J3" s="942" t="s">
        <v>748</v>
      </c>
      <c r="K3" s="942" t="s">
        <v>749</v>
      </c>
      <c r="L3" s="942" t="s">
        <v>750</v>
      </c>
      <c r="M3" s="942" t="s">
        <v>751</v>
      </c>
      <c r="N3" s="394" t="s">
        <v>752</v>
      </c>
      <c r="O3" s="300" t="str">
        <f>Head9</f>
        <v>Budget Year 2011/12</v>
      </c>
      <c r="P3" s="393" t="str">
        <f>Head10</f>
        <v>Budget Year +1 2012/13</v>
      </c>
      <c r="Q3" s="394" t="str">
        <f>Head11</f>
        <v>Budget Year +2 2013/14</v>
      </c>
    </row>
    <row r="4" spans="1:17">
      <c r="A4" s="875" t="str">
        <f>'A4-FinPerf RE'!A4</f>
        <v>Revenue By Source</v>
      </c>
      <c r="B4" s="876"/>
      <c r="C4" s="314"/>
      <c r="D4" s="312"/>
      <c r="E4" s="312"/>
      <c r="F4" s="312"/>
      <c r="G4" s="312"/>
      <c r="H4" s="312"/>
      <c r="I4" s="312"/>
      <c r="J4" s="312"/>
      <c r="K4" s="312"/>
      <c r="L4" s="312"/>
      <c r="M4" s="312"/>
      <c r="N4" s="877"/>
      <c r="O4" s="314"/>
      <c r="P4" s="312"/>
      <c r="Q4" s="315"/>
    </row>
    <row r="5" spans="1:17" ht="11.25" customHeight="1">
      <c r="A5" s="251" t="str">
        <f>'A4-FinPerf RE'!A5</f>
        <v>Property rates</v>
      </c>
      <c r="B5" s="878"/>
      <c r="C5" s="1731">
        <f>O5*0.05</f>
        <v>24417880</v>
      </c>
      <c r="D5" s="1708">
        <f>O5*0.07</f>
        <v>34185032</v>
      </c>
      <c r="E5" s="1708">
        <f>O5*0.09</f>
        <v>43952184</v>
      </c>
      <c r="F5" s="1708">
        <f>O5*0.11</f>
        <v>53719336</v>
      </c>
      <c r="G5" s="1708">
        <f>O5*0.13</f>
        <v>63486488</v>
      </c>
      <c r="H5" s="1708">
        <f>O5*0.1</f>
        <v>48835760</v>
      </c>
      <c r="I5" s="1708">
        <f>O5*0.09</f>
        <v>43952184</v>
      </c>
      <c r="J5" s="1708">
        <f>O5*0.12</f>
        <v>58602912</v>
      </c>
      <c r="K5" s="1708">
        <f>O5*0.08</f>
        <v>39068608</v>
      </c>
      <c r="L5" s="1708">
        <f>O5*0.07</f>
        <v>34185032</v>
      </c>
      <c r="M5" s="1708">
        <f>O5*0.05</f>
        <v>24417880</v>
      </c>
      <c r="N5" s="821">
        <f>O5-SUM(C5:M5)</f>
        <v>19534304</v>
      </c>
      <c r="O5" s="206">
        <f>'A4-FinPerf RE'!J5</f>
        <v>488357600</v>
      </c>
      <c r="P5" s="204">
        <f>'A4-FinPerf RE'!K5</f>
        <v>514240553</v>
      </c>
      <c r="Q5" s="205">
        <f>'A4-FinPerf RE'!L5</f>
        <v>542523783</v>
      </c>
    </row>
    <row r="6" spans="1:17" ht="11.25" customHeight="1">
      <c r="A6" s="251" t="str">
        <f>'A4-FinPerf RE'!A6</f>
        <v>Property rates - penalties &amp; collection charges</v>
      </c>
      <c r="B6" s="878"/>
      <c r="C6" s="1731">
        <f>O6*0.05</f>
        <v>1422733.3</v>
      </c>
      <c r="D6" s="1708">
        <f t="shared" ref="D6:D21" si="0">O6*0.07</f>
        <v>1991826.62</v>
      </c>
      <c r="E6" s="1708">
        <f t="shared" ref="E6:E20" si="1">O6*0.09</f>
        <v>2560919.94</v>
      </c>
      <c r="F6" s="1708">
        <f t="shared" ref="F6:F20" si="2">O6*0.11</f>
        <v>3130013.2600000002</v>
      </c>
      <c r="G6" s="1708">
        <f t="shared" ref="G6:G20" si="3">O6*0.13</f>
        <v>3699106.58</v>
      </c>
      <c r="H6" s="1708">
        <f t="shared" ref="H6:H20" si="4">O6*0.1</f>
        <v>2845466.6</v>
      </c>
      <c r="I6" s="1708">
        <f t="shared" ref="I6:I20" si="5">O6*0.09</f>
        <v>2560919.94</v>
      </c>
      <c r="J6" s="1708">
        <f t="shared" ref="J6:J20" si="6">O6*0.12</f>
        <v>3414559.92</v>
      </c>
      <c r="K6" s="1708">
        <f t="shared" ref="K6:K20" si="7">O6*0.08</f>
        <v>2276373.2800000003</v>
      </c>
      <c r="L6" s="1708">
        <f t="shared" ref="L6:L20" si="8">O6*0.07</f>
        <v>1991826.62</v>
      </c>
      <c r="M6" s="1708">
        <f t="shared" ref="M6:M20" si="9">O6*0.05</f>
        <v>1422733.3</v>
      </c>
      <c r="N6" s="821">
        <f t="shared" ref="N6:N21" si="10">O6-SUM(C6:M6)</f>
        <v>1138186.6400000006</v>
      </c>
      <c r="O6" s="206">
        <f>'A4-FinPerf RE'!J6</f>
        <v>28454666</v>
      </c>
      <c r="P6" s="208">
        <f>'A4-FinPerf RE'!K6</f>
        <v>29962763.298</v>
      </c>
      <c r="Q6" s="265">
        <f>'A4-FinPerf RE'!L6</f>
        <v>31610715.27939</v>
      </c>
    </row>
    <row r="7" spans="1:17" ht="11.25" customHeight="1">
      <c r="A7" s="251" t="str">
        <f>'A4-FinPerf RE'!A7</f>
        <v>Service charges - electricity revenue</v>
      </c>
      <c r="B7" s="878"/>
      <c r="C7" s="1731">
        <f t="shared" ref="C7:C21" si="11">O7*0.05</f>
        <v>59275838.700000003</v>
      </c>
      <c r="D7" s="1708">
        <f t="shared" si="0"/>
        <v>82986174.180000007</v>
      </c>
      <c r="E7" s="1708">
        <f t="shared" si="1"/>
        <v>106696509.66</v>
      </c>
      <c r="F7" s="1708">
        <f t="shared" si="2"/>
        <v>130406845.14</v>
      </c>
      <c r="G7" s="1708">
        <f t="shared" si="3"/>
        <v>154117180.62</v>
      </c>
      <c r="H7" s="1708">
        <f t="shared" si="4"/>
        <v>118551677.40000001</v>
      </c>
      <c r="I7" s="1708">
        <f t="shared" si="5"/>
        <v>106696509.66</v>
      </c>
      <c r="J7" s="1708">
        <f t="shared" si="6"/>
        <v>142262012.88</v>
      </c>
      <c r="K7" s="1708">
        <f t="shared" si="7"/>
        <v>94841341.920000002</v>
      </c>
      <c r="L7" s="1708">
        <f t="shared" si="8"/>
        <v>82986174.180000007</v>
      </c>
      <c r="M7" s="1708">
        <f t="shared" si="9"/>
        <v>59275838.700000003</v>
      </c>
      <c r="N7" s="821">
        <f t="shared" si="10"/>
        <v>47420670.960000038</v>
      </c>
      <c r="O7" s="206">
        <f>'A4-FinPerf RE'!J7</f>
        <v>1185516774</v>
      </c>
      <c r="P7" s="208">
        <f>'A4-FinPerf RE'!K7</f>
        <v>1251438825</v>
      </c>
      <c r="Q7" s="265">
        <f>'A4-FinPerf RE'!L7</f>
        <v>1324643385</v>
      </c>
    </row>
    <row r="8" spans="1:17" ht="11.25" customHeight="1">
      <c r="A8" s="251" t="str">
        <f>'A4-FinPerf RE'!A8</f>
        <v>Service charges - water revenue</v>
      </c>
      <c r="B8" s="878"/>
      <c r="C8" s="1731">
        <f t="shared" si="11"/>
        <v>15095317.75</v>
      </c>
      <c r="D8" s="1708">
        <f t="shared" si="0"/>
        <v>21133444.850000001</v>
      </c>
      <c r="E8" s="1708">
        <f t="shared" si="1"/>
        <v>27171571.949999999</v>
      </c>
      <c r="F8" s="1708">
        <f t="shared" si="2"/>
        <v>33209699.050000001</v>
      </c>
      <c r="G8" s="1708">
        <f t="shared" si="3"/>
        <v>39247826.149999999</v>
      </c>
      <c r="H8" s="1708">
        <f t="shared" si="4"/>
        <v>30190635.5</v>
      </c>
      <c r="I8" s="1708">
        <f t="shared" si="5"/>
        <v>27171571.949999999</v>
      </c>
      <c r="J8" s="1708">
        <f t="shared" si="6"/>
        <v>36228762.600000001</v>
      </c>
      <c r="K8" s="1708">
        <f t="shared" si="7"/>
        <v>24152508.400000002</v>
      </c>
      <c r="L8" s="1708">
        <f t="shared" si="8"/>
        <v>21133444.850000001</v>
      </c>
      <c r="M8" s="1708">
        <f t="shared" si="9"/>
        <v>15095317.75</v>
      </c>
      <c r="N8" s="821">
        <f t="shared" si="10"/>
        <v>12076254.199999988</v>
      </c>
      <c r="O8" s="206">
        <f>'A4-FinPerf RE'!J8</f>
        <v>301906355</v>
      </c>
      <c r="P8" s="208">
        <f>'A4-FinPerf RE'!K8</f>
        <v>317907392</v>
      </c>
      <c r="Q8" s="265">
        <f>'A4-FinPerf RE'!L8</f>
        <v>335392298</v>
      </c>
    </row>
    <row r="9" spans="1:17" ht="11.25" customHeight="1">
      <c r="A9" s="251" t="str">
        <f>'A4-FinPerf RE'!A9</f>
        <v>Service charges - sanitation revenue</v>
      </c>
      <c r="B9" s="878"/>
      <c r="C9" s="1731">
        <f t="shared" si="11"/>
        <v>5687985.75</v>
      </c>
      <c r="D9" s="1708">
        <f t="shared" si="0"/>
        <v>7963180.0500000007</v>
      </c>
      <c r="E9" s="1708">
        <f t="shared" si="1"/>
        <v>10238374.35</v>
      </c>
      <c r="F9" s="1708">
        <f t="shared" si="2"/>
        <v>12513568.65</v>
      </c>
      <c r="G9" s="1708">
        <f t="shared" si="3"/>
        <v>14788762.950000001</v>
      </c>
      <c r="H9" s="1708">
        <f t="shared" si="4"/>
        <v>11375971.5</v>
      </c>
      <c r="I9" s="1708">
        <f t="shared" si="5"/>
        <v>10238374.35</v>
      </c>
      <c r="J9" s="1708">
        <f t="shared" si="6"/>
        <v>13651165.799999999</v>
      </c>
      <c r="K9" s="1708">
        <f t="shared" si="7"/>
        <v>9100777.2000000011</v>
      </c>
      <c r="L9" s="1708">
        <f t="shared" si="8"/>
        <v>7963180.0500000007</v>
      </c>
      <c r="M9" s="1708">
        <f t="shared" si="9"/>
        <v>5687985.75</v>
      </c>
      <c r="N9" s="821">
        <f t="shared" si="10"/>
        <v>4550388.6000000089</v>
      </c>
      <c r="O9" s="206">
        <f>'A4-FinPerf RE'!J9</f>
        <v>113759715</v>
      </c>
      <c r="P9" s="208">
        <f>'A4-FinPerf RE'!K9</f>
        <v>119788980</v>
      </c>
      <c r="Q9" s="265">
        <f>'A4-FinPerf RE'!L9</f>
        <v>126377374</v>
      </c>
    </row>
    <row r="10" spans="1:17" ht="11.25" customHeight="1">
      <c r="A10" s="251" t="str">
        <f>'A4-FinPerf RE'!A10</f>
        <v>Service charges - refuse revenue</v>
      </c>
      <c r="B10" s="878"/>
      <c r="C10" s="1731">
        <f t="shared" si="11"/>
        <v>3430166.95</v>
      </c>
      <c r="D10" s="1708">
        <f t="shared" si="0"/>
        <v>4802233.7300000004</v>
      </c>
      <c r="E10" s="1708">
        <f t="shared" si="1"/>
        <v>6174300.5099999998</v>
      </c>
      <c r="F10" s="1708">
        <f t="shared" si="2"/>
        <v>7546367.29</v>
      </c>
      <c r="G10" s="1708">
        <f t="shared" si="3"/>
        <v>8918434.0700000003</v>
      </c>
      <c r="H10" s="1708">
        <f t="shared" si="4"/>
        <v>6860333.9000000004</v>
      </c>
      <c r="I10" s="1708">
        <f t="shared" si="5"/>
        <v>6174300.5099999998</v>
      </c>
      <c r="J10" s="1708">
        <f t="shared" si="6"/>
        <v>8232400.6799999997</v>
      </c>
      <c r="K10" s="1708">
        <f t="shared" si="7"/>
        <v>5488267.1200000001</v>
      </c>
      <c r="L10" s="1708">
        <f t="shared" si="8"/>
        <v>4802233.7300000004</v>
      </c>
      <c r="M10" s="1708">
        <f t="shared" si="9"/>
        <v>3430166.95</v>
      </c>
      <c r="N10" s="821">
        <f t="shared" si="10"/>
        <v>2744133.5600000024</v>
      </c>
      <c r="O10" s="206">
        <f>'A4-FinPerf RE'!J10</f>
        <v>68603339</v>
      </c>
      <c r="P10" s="208">
        <f>'A4-FinPerf RE'!K10</f>
        <v>72239316</v>
      </c>
      <c r="Q10" s="265">
        <f>'A4-FinPerf RE'!L10</f>
        <v>76212478</v>
      </c>
    </row>
    <row r="11" spans="1:17" ht="11.25" customHeight="1">
      <c r="A11" s="251" t="str">
        <f>'A4-FinPerf RE'!A11</f>
        <v>Service charges - other</v>
      </c>
      <c r="B11" s="878"/>
      <c r="C11" s="1731">
        <f t="shared" si="11"/>
        <v>0</v>
      </c>
      <c r="D11" s="1708">
        <f t="shared" si="0"/>
        <v>0</v>
      </c>
      <c r="E11" s="1708">
        <f t="shared" si="1"/>
        <v>0</v>
      </c>
      <c r="F11" s="1708">
        <f t="shared" si="2"/>
        <v>0</v>
      </c>
      <c r="G11" s="1708">
        <f t="shared" si="3"/>
        <v>0</v>
      </c>
      <c r="H11" s="1708">
        <f t="shared" si="4"/>
        <v>0</v>
      </c>
      <c r="I11" s="1708">
        <f t="shared" si="5"/>
        <v>0</v>
      </c>
      <c r="J11" s="1708">
        <f t="shared" si="6"/>
        <v>0</v>
      </c>
      <c r="K11" s="1708">
        <f t="shared" si="7"/>
        <v>0</v>
      </c>
      <c r="L11" s="1708">
        <f t="shared" si="8"/>
        <v>0</v>
      </c>
      <c r="M11" s="1708">
        <f t="shared" si="9"/>
        <v>0</v>
      </c>
      <c r="N11" s="821">
        <f t="shared" si="10"/>
        <v>0</v>
      </c>
      <c r="O11" s="206">
        <f>'A4-FinPerf RE'!J11</f>
        <v>0</v>
      </c>
      <c r="P11" s="204">
        <f>'A4-FinPerf RE'!K11</f>
        <v>0</v>
      </c>
      <c r="Q11" s="205">
        <f>'A4-FinPerf RE'!L11</f>
        <v>0</v>
      </c>
    </row>
    <row r="12" spans="1:17" ht="11.25" customHeight="1">
      <c r="A12" s="251" t="str">
        <f>'A4-FinPerf RE'!A12</f>
        <v>Rental of facilities and equipment</v>
      </c>
      <c r="B12" s="878"/>
      <c r="C12" s="1731">
        <f t="shared" si="11"/>
        <v>913054.85000000009</v>
      </c>
      <c r="D12" s="1708">
        <f t="shared" si="0"/>
        <v>1278276.79</v>
      </c>
      <c r="E12" s="1708">
        <f t="shared" si="1"/>
        <v>1643498.73</v>
      </c>
      <c r="F12" s="1708">
        <f t="shared" si="2"/>
        <v>2008720.67</v>
      </c>
      <c r="G12" s="1708">
        <f t="shared" si="3"/>
        <v>2373942.61</v>
      </c>
      <c r="H12" s="1708">
        <f t="shared" si="4"/>
        <v>1826109.7000000002</v>
      </c>
      <c r="I12" s="1708">
        <f t="shared" si="5"/>
        <v>1643498.73</v>
      </c>
      <c r="J12" s="1708">
        <f t="shared" si="6"/>
        <v>2191331.64</v>
      </c>
      <c r="K12" s="1708">
        <f t="shared" si="7"/>
        <v>1460887.76</v>
      </c>
      <c r="L12" s="1708">
        <f t="shared" si="8"/>
        <v>1278276.79</v>
      </c>
      <c r="M12" s="1708">
        <f t="shared" si="9"/>
        <v>913054.85000000009</v>
      </c>
      <c r="N12" s="821">
        <f t="shared" si="10"/>
        <v>730443.87999999523</v>
      </c>
      <c r="O12" s="206">
        <f>'A4-FinPerf RE'!J12</f>
        <v>18261097</v>
      </c>
      <c r="P12" s="204">
        <f>'A4-FinPerf RE'!K12</f>
        <v>19203488</v>
      </c>
      <c r="Q12" s="205">
        <f>'A4-FinPerf RE'!L12</f>
        <v>20259680</v>
      </c>
    </row>
    <row r="13" spans="1:17" ht="11.25" customHeight="1">
      <c r="A13" s="251" t="str">
        <f>'A4-FinPerf RE'!A13</f>
        <v>Interest earned - external investments</v>
      </c>
      <c r="B13" s="878"/>
      <c r="C13" s="1731">
        <f t="shared" si="11"/>
        <v>790000</v>
      </c>
      <c r="D13" s="1708">
        <f t="shared" si="0"/>
        <v>1106000</v>
      </c>
      <c r="E13" s="1708">
        <f t="shared" si="1"/>
        <v>1422000</v>
      </c>
      <c r="F13" s="1708">
        <f t="shared" si="2"/>
        <v>1738000</v>
      </c>
      <c r="G13" s="1708">
        <f t="shared" si="3"/>
        <v>2054000</v>
      </c>
      <c r="H13" s="1708">
        <f t="shared" si="4"/>
        <v>1580000</v>
      </c>
      <c r="I13" s="1708">
        <f t="shared" si="5"/>
        <v>1422000</v>
      </c>
      <c r="J13" s="1708">
        <f t="shared" si="6"/>
        <v>1896000</v>
      </c>
      <c r="K13" s="1708">
        <f t="shared" si="7"/>
        <v>1264000</v>
      </c>
      <c r="L13" s="1708">
        <f t="shared" si="8"/>
        <v>1106000</v>
      </c>
      <c r="M13" s="1708">
        <f t="shared" si="9"/>
        <v>790000</v>
      </c>
      <c r="N13" s="821">
        <f t="shared" si="10"/>
        <v>632000</v>
      </c>
      <c r="O13" s="206">
        <f>'A4-FinPerf RE'!J13</f>
        <v>15800000</v>
      </c>
      <c r="P13" s="204">
        <f>'A4-FinPerf RE'!K13</f>
        <v>16637400</v>
      </c>
      <c r="Q13" s="205">
        <f>'A4-FinPerf RE'!L13</f>
        <v>17552457</v>
      </c>
    </row>
    <row r="14" spans="1:17" ht="11.25" customHeight="1">
      <c r="A14" s="251" t="str">
        <f>'A4-FinPerf RE'!A14</f>
        <v>Interest earned - outstanding debtors</v>
      </c>
      <c r="B14" s="878"/>
      <c r="C14" s="1731">
        <f t="shared" si="11"/>
        <v>50926.350000000006</v>
      </c>
      <c r="D14" s="1708">
        <f t="shared" si="0"/>
        <v>71296.890000000014</v>
      </c>
      <c r="E14" s="1708">
        <f t="shared" si="1"/>
        <v>91667.43</v>
      </c>
      <c r="F14" s="1708">
        <f t="shared" si="2"/>
        <v>112037.97</v>
      </c>
      <c r="G14" s="1708">
        <f t="shared" si="3"/>
        <v>132408.51</v>
      </c>
      <c r="H14" s="1708">
        <f t="shared" si="4"/>
        <v>101852.70000000001</v>
      </c>
      <c r="I14" s="1708">
        <f t="shared" si="5"/>
        <v>91667.43</v>
      </c>
      <c r="J14" s="1708">
        <f t="shared" si="6"/>
        <v>122223.23999999999</v>
      </c>
      <c r="K14" s="1708">
        <f t="shared" si="7"/>
        <v>81482.16</v>
      </c>
      <c r="L14" s="1708">
        <f t="shared" si="8"/>
        <v>71296.890000000014</v>
      </c>
      <c r="M14" s="1708">
        <f t="shared" si="9"/>
        <v>50926.350000000006</v>
      </c>
      <c r="N14" s="821">
        <f t="shared" si="10"/>
        <v>40741.079999999958</v>
      </c>
      <c r="O14" s="206">
        <f>'A4-FinPerf RE'!J14</f>
        <v>1018527</v>
      </c>
      <c r="P14" s="204">
        <f>'A4-FinPerf RE'!K14</f>
        <v>1072508.9310000001</v>
      </c>
      <c r="Q14" s="205">
        <f>'A4-FinPerf RE'!L14</f>
        <v>1131496.922205</v>
      </c>
    </row>
    <row r="15" spans="1:17" ht="11.25" customHeight="1">
      <c r="A15" s="251" t="str">
        <f>'A4-FinPerf RE'!A15</f>
        <v>Dividends received</v>
      </c>
      <c r="B15" s="878"/>
      <c r="C15" s="1731">
        <f t="shared" si="11"/>
        <v>0</v>
      </c>
      <c r="D15" s="1708">
        <f t="shared" si="0"/>
        <v>0</v>
      </c>
      <c r="E15" s="1708">
        <f t="shared" si="1"/>
        <v>0</v>
      </c>
      <c r="F15" s="1708">
        <f t="shared" si="2"/>
        <v>0</v>
      </c>
      <c r="G15" s="1708">
        <f t="shared" si="3"/>
        <v>0</v>
      </c>
      <c r="H15" s="1708">
        <f t="shared" si="4"/>
        <v>0</v>
      </c>
      <c r="I15" s="1708">
        <f t="shared" si="5"/>
        <v>0</v>
      </c>
      <c r="J15" s="1708">
        <f t="shared" si="6"/>
        <v>0</v>
      </c>
      <c r="K15" s="1708">
        <f t="shared" si="7"/>
        <v>0</v>
      </c>
      <c r="L15" s="1708">
        <f t="shared" si="8"/>
        <v>0</v>
      </c>
      <c r="M15" s="1708">
        <f t="shared" si="9"/>
        <v>0</v>
      </c>
      <c r="N15" s="821">
        <f t="shared" si="10"/>
        <v>0</v>
      </c>
      <c r="O15" s="206">
        <f>'A4-FinPerf RE'!J15</f>
        <v>0</v>
      </c>
      <c r="P15" s="204">
        <f>'A4-FinPerf RE'!K15</f>
        <v>0</v>
      </c>
      <c r="Q15" s="205">
        <f>'A4-FinPerf RE'!L15</f>
        <v>0</v>
      </c>
    </row>
    <row r="16" spans="1:17" ht="11.25" customHeight="1">
      <c r="A16" s="251" t="str">
        <f>'A4-FinPerf RE'!A16</f>
        <v>Fines</v>
      </c>
      <c r="B16" s="878"/>
      <c r="C16" s="1731">
        <f t="shared" si="11"/>
        <v>303639.15000000002</v>
      </c>
      <c r="D16" s="1708">
        <f t="shared" si="0"/>
        <v>425094.81000000006</v>
      </c>
      <c r="E16" s="1708">
        <f t="shared" si="1"/>
        <v>546550.47</v>
      </c>
      <c r="F16" s="1708">
        <f t="shared" si="2"/>
        <v>668006.13</v>
      </c>
      <c r="G16" s="1708">
        <f t="shared" si="3"/>
        <v>789461.79</v>
      </c>
      <c r="H16" s="1708">
        <f t="shared" si="4"/>
        <v>607278.30000000005</v>
      </c>
      <c r="I16" s="1708">
        <f t="shared" si="5"/>
        <v>546550.47</v>
      </c>
      <c r="J16" s="1708">
        <f t="shared" si="6"/>
        <v>728733.96</v>
      </c>
      <c r="K16" s="1708">
        <f t="shared" si="7"/>
        <v>485822.64</v>
      </c>
      <c r="L16" s="1708">
        <f t="shared" si="8"/>
        <v>425094.81000000006</v>
      </c>
      <c r="M16" s="1708">
        <f t="shared" si="9"/>
        <v>303639.15000000002</v>
      </c>
      <c r="N16" s="821">
        <f t="shared" si="10"/>
        <v>242911.3200000003</v>
      </c>
      <c r="O16" s="206">
        <f>'A4-FinPerf RE'!J16</f>
        <v>6072783</v>
      </c>
      <c r="P16" s="204">
        <f>'A4-FinPerf RE'!K16</f>
        <v>6394640</v>
      </c>
      <c r="Q16" s="205">
        <f>'A4-FinPerf RE'!L16</f>
        <v>6746346</v>
      </c>
    </row>
    <row r="17" spans="1:17" ht="11.25" customHeight="1">
      <c r="A17" s="251" t="str">
        <f>'A4-FinPerf RE'!A17</f>
        <v>Licences and permits</v>
      </c>
      <c r="B17" s="878"/>
      <c r="C17" s="1731">
        <f t="shared" si="11"/>
        <v>4478.75</v>
      </c>
      <c r="D17" s="1708">
        <f t="shared" si="0"/>
        <v>6270.2500000000009</v>
      </c>
      <c r="E17" s="1708">
        <f t="shared" si="1"/>
        <v>8061.75</v>
      </c>
      <c r="F17" s="1708">
        <f t="shared" si="2"/>
        <v>9853.25</v>
      </c>
      <c r="G17" s="1708">
        <f t="shared" si="3"/>
        <v>11644.75</v>
      </c>
      <c r="H17" s="1708">
        <f t="shared" si="4"/>
        <v>8957.5</v>
      </c>
      <c r="I17" s="1708">
        <f t="shared" si="5"/>
        <v>8061.75</v>
      </c>
      <c r="J17" s="1708">
        <f t="shared" si="6"/>
        <v>10749</v>
      </c>
      <c r="K17" s="1708">
        <f t="shared" si="7"/>
        <v>7166</v>
      </c>
      <c r="L17" s="1708">
        <f t="shared" si="8"/>
        <v>6270.2500000000009</v>
      </c>
      <c r="M17" s="1708">
        <f t="shared" si="9"/>
        <v>4478.75</v>
      </c>
      <c r="N17" s="821">
        <f t="shared" si="10"/>
        <v>3583</v>
      </c>
      <c r="O17" s="206">
        <f>'A4-FinPerf RE'!J17</f>
        <v>89575</v>
      </c>
      <c r="P17" s="204">
        <f>'A4-FinPerf RE'!K17</f>
        <v>94322</v>
      </c>
      <c r="Q17" s="205">
        <f>'A4-FinPerf RE'!L17</f>
        <v>99510</v>
      </c>
    </row>
    <row r="18" spans="1:17" ht="11.25" customHeight="1">
      <c r="A18" s="251" t="str">
        <f>'A4-FinPerf RE'!A18</f>
        <v>Agency services</v>
      </c>
      <c r="B18" s="878"/>
      <c r="C18" s="1731">
        <f t="shared" si="11"/>
        <v>16740</v>
      </c>
      <c r="D18" s="1708">
        <f t="shared" si="0"/>
        <v>23436.000000000004</v>
      </c>
      <c r="E18" s="1708">
        <f t="shared" si="1"/>
        <v>30132</v>
      </c>
      <c r="F18" s="1708">
        <f t="shared" si="2"/>
        <v>36828</v>
      </c>
      <c r="G18" s="1708">
        <f t="shared" si="3"/>
        <v>43524</v>
      </c>
      <c r="H18" s="1708">
        <f t="shared" si="4"/>
        <v>33480</v>
      </c>
      <c r="I18" s="1708">
        <f t="shared" si="5"/>
        <v>30132</v>
      </c>
      <c r="J18" s="1708">
        <f t="shared" si="6"/>
        <v>40176</v>
      </c>
      <c r="K18" s="1708">
        <f t="shared" si="7"/>
        <v>26784</v>
      </c>
      <c r="L18" s="1708">
        <f t="shared" si="8"/>
        <v>23436.000000000004</v>
      </c>
      <c r="M18" s="1708">
        <f t="shared" si="9"/>
        <v>16740</v>
      </c>
      <c r="N18" s="821">
        <f t="shared" si="10"/>
        <v>13392</v>
      </c>
      <c r="O18" s="206">
        <f>'A4-FinPerf RE'!J18</f>
        <v>334800</v>
      </c>
      <c r="P18" s="204">
        <f>'A4-FinPerf RE'!K18</f>
        <v>352544.4</v>
      </c>
      <c r="Q18" s="205">
        <f>'A4-FinPerf RE'!L18</f>
        <v>371934.342</v>
      </c>
    </row>
    <row r="19" spans="1:17" ht="11.25" customHeight="1">
      <c r="A19" s="251" t="str">
        <f>'A4-FinPerf RE'!A19</f>
        <v>Transfers recognised - operational</v>
      </c>
      <c r="B19" s="878"/>
      <c r="C19" s="1731">
        <f t="shared" si="11"/>
        <v>16306550</v>
      </c>
      <c r="D19" s="1708">
        <f t="shared" si="0"/>
        <v>22829170.000000004</v>
      </c>
      <c r="E19" s="1708">
        <f t="shared" si="1"/>
        <v>29351790</v>
      </c>
      <c r="F19" s="1708">
        <f t="shared" si="2"/>
        <v>35874410</v>
      </c>
      <c r="G19" s="1708">
        <f t="shared" si="3"/>
        <v>42397030</v>
      </c>
      <c r="H19" s="1708">
        <f t="shared" si="4"/>
        <v>32613100</v>
      </c>
      <c r="I19" s="1708">
        <f t="shared" si="5"/>
        <v>29351790</v>
      </c>
      <c r="J19" s="1708">
        <f t="shared" si="6"/>
        <v>39135720</v>
      </c>
      <c r="K19" s="1708">
        <f t="shared" si="7"/>
        <v>26090480</v>
      </c>
      <c r="L19" s="1708">
        <f t="shared" si="8"/>
        <v>22829170.000000004</v>
      </c>
      <c r="M19" s="1708">
        <f t="shared" si="9"/>
        <v>16306550</v>
      </c>
      <c r="N19" s="821">
        <f t="shared" si="10"/>
        <v>13045240</v>
      </c>
      <c r="O19" s="206">
        <f>'A4-FinPerf RE'!J19</f>
        <v>326131000</v>
      </c>
      <c r="P19" s="204">
        <f>'A4-FinPerf RE'!K19</f>
        <v>365712160</v>
      </c>
      <c r="Q19" s="205">
        <f>'A4-FinPerf RE'!L19</f>
        <v>399129300</v>
      </c>
    </row>
    <row r="20" spans="1:17" ht="11.25" customHeight="1">
      <c r="A20" s="251" t="str">
        <f>'A4-FinPerf RE'!A20</f>
        <v>Other revenue</v>
      </c>
      <c r="B20" s="878"/>
      <c r="C20" s="1731">
        <f t="shared" si="11"/>
        <v>39244497.649999999</v>
      </c>
      <c r="D20" s="1708">
        <f t="shared" si="0"/>
        <v>54942296.710000008</v>
      </c>
      <c r="E20" s="1708">
        <f t="shared" si="1"/>
        <v>70640095.769999996</v>
      </c>
      <c r="F20" s="1708">
        <f t="shared" si="2"/>
        <v>86337894.829999998</v>
      </c>
      <c r="G20" s="1708">
        <f t="shared" si="3"/>
        <v>102035693.89</v>
      </c>
      <c r="H20" s="1708">
        <f t="shared" si="4"/>
        <v>78488995.299999997</v>
      </c>
      <c r="I20" s="1708">
        <f t="shared" si="5"/>
        <v>70640095.769999996</v>
      </c>
      <c r="J20" s="1708">
        <f t="shared" si="6"/>
        <v>94186794.359999999</v>
      </c>
      <c r="K20" s="1708">
        <f t="shared" si="7"/>
        <v>62791196.240000002</v>
      </c>
      <c r="L20" s="1708">
        <f t="shared" si="8"/>
        <v>54942296.710000008</v>
      </c>
      <c r="M20" s="1708">
        <f t="shared" si="9"/>
        <v>39244497.649999999</v>
      </c>
      <c r="N20" s="821">
        <f t="shared" si="10"/>
        <v>31395598.120000005</v>
      </c>
      <c r="O20" s="206">
        <f>'A4-FinPerf RE'!J20</f>
        <v>784889953</v>
      </c>
      <c r="P20" s="204">
        <f>'A4-FinPerf RE'!K20</f>
        <v>836163039</v>
      </c>
      <c r="Q20" s="205">
        <f>'A4-FinPerf RE'!L20</f>
        <v>829640646</v>
      </c>
    </row>
    <row r="21" spans="1:17" ht="11.25" customHeight="1">
      <c r="A21" s="251" t="str">
        <f>'A4-FinPerf RE'!A21</f>
        <v>Gains on disposal of PPE</v>
      </c>
      <c r="B21" s="878"/>
      <c r="C21" s="1731">
        <f t="shared" si="11"/>
        <v>0</v>
      </c>
      <c r="D21" s="1708">
        <f t="shared" si="0"/>
        <v>0</v>
      </c>
      <c r="E21" s="1708"/>
      <c r="F21" s="1708">
        <f t="shared" ref="F21" si="12">O21*11</f>
        <v>0</v>
      </c>
      <c r="G21" s="1708"/>
      <c r="H21" s="1708"/>
      <c r="I21" s="1708"/>
      <c r="J21" s="1708"/>
      <c r="K21" s="1708"/>
      <c r="L21" s="1708"/>
      <c r="M21" s="1708"/>
      <c r="N21" s="821">
        <f t="shared" si="10"/>
        <v>0</v>
      </c>
      <c r="O21" s="206">
        <f>'A4-FinPerf RE'!J21</f>
        <v>0</v>
      </c>
      <c r="P21" s="204">
        <f>'A4-FinPerf RE'!K21</f>
        <v>0</v>
      </c>
      <c r="Q21" s="205">
        <f>'A4-FinPerf RE'!L21</f>
        <v>0</v>
      </c>
    </row>
    <row r="22" spans="1:17">
      <c r="A22" s="266" t="str">
        <f>'A4-FinPerf RE'!A22</f>
        <v>Total Revenue (excluding capital transfers and contributions)</v>
      </c>
      <c r="B22" s="879"/>
      <c r="C22" s="216">
        <f t="shared" ref="C22:Q22" si="13">SUM(C5:C21)</f>
        <v>166959809.19999999</v>
      </c>
      <c r="D22" s="214">
        <f t="shared" si="13"/>
        <v>233743732.88</v>
      </c>
      <c r="E22" s="214">
        <f t="shared" si="13"/>
        <v>300527656.55999994</v>
      </c>
      <c r="F22" s="214">
        <f t="shared" si="13"/>
        <v>367311580.23999995</v>
      </c>
      <c r="G22" s="214">
        <f t="shared" si="13"/>
        <v>434095503.92000002</v>
      </c>
      <c r="H22" s="214">
        <f t="shared" si="13"/>
        <v>333919618.39999998</v>
      </c>
      <c r="I22" s="214">
        <f t="shared" si="13"/>
        <v>300527656.55999994</v>
      </c>
      <c r="J22" s="214">
        <f t="shared" si="13"/>
        <v>400703542.08000004</v>
      </c>
      <c r="K22" s="214">
        <f t="shared" si="13"/>
        <v>267135694.71999997</v>
      </c>
      <c r="L22" s="214">
        <f t="shared" si="13"/>
        <v>233743732.88</v>
      </c>
      <c r="M22" s="214">
        <f t="shared" si="13"/>
        <v>166959809.19999999</v>
      </c>
      <c r="N22" s="880">
        <f t="shared" si="13"/>
        <v>133567847.36000004</v>
      </c>
      <c r="O22" s="216">
        <f t="shared" si="13"/>
        <v>3339196184</v>
      </c>
      <c r="P22" s="214">
        <f t="shared" si="13"/>
        <v>3551207931.6290002</v>
      </c>
      <c r="Q22" s="215">
        <f t="shared" si="13"/>
        <v>3711691403.5435948</v>
      </c>
    </row>
    <row r="23" spans="1:17" ht="5.0999999999999996" customHeight="1">
      <c r="A23" s="274"/>
      <c r="B23" s="878"/>
      <c r="C23" s="206"/>
      <c r="D23" s="204"/>
      <c r="E23" s="204"/>
      <c r="F23" s="204"/>
      <c r="G23" s="204"/>
      <c r="H23" s="204"/>
      <c r="I23" s="204"/>
      <c r="J23" s="204"/>
      <c r="K23" s="204"/>
      <c r="L23" s="204"/>
      <c r="M23" s="204"/>
      <c r="N23" s="821"/>
      <c r="O23" s="206"/>
      <c r="P23" s="204"/>
      <c r="Q23" s="205"/>
    </row>
    <row r="24" spans="1:17">
      <c r="A24" s="250" t="str">
        <f>'A4-FinPerf RE'!A24</f>
        <v>Expenditure By Type</v>
      </c>
      <c r="B24" s="881"/>
      <c r="C24" s="206"/>
      <c r="D24" s="204"/>
      <c r="E24" s="204"/>
      <c r="F24" s="204"/>
      <c r="G24" s="204"/>
      <c r="H24" s="204"/>
      <c r="I24" s="204"/>
      <c r="J24" s="204"/>
      <c r="K24" s="204"/>
      <c r="L24" s="204"/>
      <c r="M24" s="204"/>
      <c r="N24" s="821"/>
      <c r="O24" s="206"/>
      <c r="P24" s="204"/>
      <c r="Q24" s="205"/>
    </row>
    <row r="25" spans="1:17" ht="11.25" customHeight="1">
      <c r="A25" s="251" t="str">
        <f>'A4-FinPerf RE'!A25</f>
        <v>Employee related costs</v>
      </c>
      <c r="B25" s="878"/>
      <c r="C25" s="1731">
        <f>O25*0.05</f>
        <v>32854799</v>
      </c>
      <c r="D25" s="1731">
        <f>O25*0.07</f>
        <v>45996718.600000001</v>
      </c>
      <c r="E25" s="1731">
        <f>O25*0.09</f>
        <v>59138638.199999996</v>
      </c>
      <c r="F25" s="1708">
        <f>O25*0.11</f>
        <v>72280557.799999997</v>
      </c>
      <c r="G25" s="1731">
        <f>O25*0.13</f>
        <v>85422477.400000006</v>
      </c>
      <c r="H25" s="1731">
        <f>O25*0.1</f>
        <v>65709598</v>
      </c>
      <c r="I25" s="1731">
        <f>O25*0.09</f>
        <v>59138638.199999996</v>
      </c>
      <c r="J25" s="1731">
        <f>O25*0.12</f>
        <v>78851517.599999994</v>
      </c>
      <c r="K25" s="1731">
        <f>O25*0.08</f>
        <v>52567678.399999999</v>
      </c>
      <c r="L25" s="1731">
        <f>O25*0.07</f>
        <v>45996718.600000001</v>
      </c>
      <c r="M25" s="1731">
        <f>O25*0.05</f>
        <v>32854799</v>
      </c>
      <c r="N25" s="821">
        <f t="shared" ref="N25:N35" si="14">O25-SUM(C25:M25)</f>
        <v>26283839.200000048</v>
      </c>
      <c r="O25" s="206">
        <f>'A4-FinPerf RE'!J25</f>
        <v>657095980</v>
      </c>
      <c r="P25" s="204">
        <f>'A4-FinPerf RE'!K25</f>
        <v>739478438</v>
      </c>
      <c r="Q25" s="205">
        <f>'A4-FinPerf RE'!L25</f>
        <v>790949818</v>
      </c>
    </row>
    <row r="26" spans="1:17" ht="11.25" customHeight="1">
      <c r="A26" s="251" t="str">
        <f>'A4-FinPerf RE'!A26</f>
        <v>Remuneration of councillors</v>
      </c>
      <c r="B26" s="878"/>
      <c r="C26" s="1731">
        <f t="shared" ref="C26:C35" si="15">O26*0.05</f>
        <v>1047712.3</v>
      </c>
      <c r="D26" s="1731">
        <f t="shared" ref="D26:D35" si="16">O26*0.07</f>
        <v>1466797.2200000002</v>
      </c>
      <c r="E26" s="1731">
        <f t="shared" ref="E26:E35" si="17">O26*0.09</f>
        <v>1885882.14</v>
      </c>
      <c r="F26" s="1708">
        <f t="shared" ref="F26:F35" si="18">O26*0.11</f>
        <v>2304967.06</v>
      </c>
      <c r="G26" s="1731">
        <f t="shared" ref="G26:G35" si="19">O26*0.13</f>
        <v>2724051.98</v>
      </c>
      <c r="H26" s="1731">
        <f t="shared" ref="H26:H35" si="20">O26*0.1</f>
        <v>2095424.6</v>
      </c>
      <c r="I26" s="1731">
        <f t="shared" ref="I26:I35" si="21">O26*0.09</f>
        <v>1885882.14</v>
      </c>
      <c r="J26" s="1731">
        <f t="shared" ref="J26:J35" si="22">O26*0.12</f>
        <v>2514509.52</v>
      </c>
      <c r="K26" s="1731">
        <f t="shared" ref="K26:K35" si="23">O26*0.08</f>
        <v>1676339.68</v>
      </c>
      <c r="L26" s="1731">
        <f t="shared" ref="L26:L35" si="24">O26*0.07</f>
        <v>1466797.2200000002</v>
      </c>
      <c r="M26" s="1731">
        <f t="shared" ref="M26:M35" si="25">O26*0.05</f>
        <v>1047712.3</v>
      </c>
      <c r="N26" s="821">
        <f t="shared" si="14"/>
        <v>838169.83999999985</v>
      </c>
      <c r="O26" s="206">
        <f>'A4-FinPerf RE'!J26</f>
        <v>20954246</v>
      </c>
      <c r="P26" s="204">
        <f>'A4-FinPerf RE'!K26</f>
        <v>22064821</v>
      </c>
      <c r="Q26" s="205">
        <f>'A4-FinPerf RE'!L26</f>
        <v>23278386</v>
      </c>
    </row>
    <row r="27" spans="1:17" ht="11.25" customHeight="1">
      <c r="A27" s="251" t="str">
        <f>'A4-FinPerf RE'!A27</f>
        <v>Debt impairment</v>
      </c>
      <c r="B27" s="878"/>
      <c r="C27" s="1731">
        <f t="shared" si="15"/>
        <v>8045860</v>
      </c>
      <c r="D27" s="1731">
        <f t="shared" si="16"/>
        <v>11264204.000000002</v>
      </c>
      <c r="E27" s="1731">
        <f t="shared" si="17"/>
        <v>14482548</v>
      </c>
      <c r="F27" s="1708">
        <f t="shared" si="18"/>
        <v>17700892</v>
      </c>
      <c r="G27" s="1731">
        <f t="shared" si="19"/>
        <v>20919236</v>
      </c>
      <c r="H27" s="1731">
        <f t="shared" si="20"/>
        <v>16091720</v>
      </c>
      <c r="I27" s="1731">
        <f t="shared" si="21"/>
        <v>14482548</v>
      </c>
      <c r="J27" s="1731">
        <f t="shared" si="22"/>
        <v>19310064</v>
      </c>
      <c r="K27" s="1731">
        <f t="shared" si="23"/>
        <v>12873376</v>
      </c>
      <c r="L27" s="1731">
        <f t="shared" si="24"/>
        <v>11264204.000000002</v>
      </c>
      <c r="M27" s="1731">
        <f t="shared" si="25"/>
        <v>8045860</v>
      </c>
      <c r="N27" s="821">
        <f t="shared" si="14"/>
        <v>6436688</v>
      </c>
      <c r="O27" s="206">
        <f>'A4-FinPerf RE'!J27</f>
        <v>160917200</v>
      </c>
      <c r="P27" s="204">
        <f>'A4-FinPerf RE'!K27</f>
        <v>169445812</v>
      </c>
      <c r="Q27" s="205">
        <f>'A4-FinPerf RE'!L27</f>
        <v>178765331</v>
      </c>
    </row>
    <row r="28" spans="1:17" ht="11.25" customHeight="1">
      <c r="A28" s="251" t="str">
        <f>'A4-FinPerf RE'!A28</f>
        <v>Depreciation &amp; asset impairment</v>
      </c>
      <c r="B28" s="878"/>
      <c r="C28" s="1731">
        <f t="shared" si="15"/>
        <v>6235593.7000000002</v>
      </c>
      <c r="D28" s="1731">
        <f t="shared" si="16"/>
        <v>8729831.1800000016</v>
      </c>
      <c r="E28" s="1731">
        <f t="shared" si="17"/>
        <v>11224068.66</v>
      </c>
      <c r="F28" s="1708">
        <f t="shared" si="18"/>
        <v>13718306.140000001</v>
      </c>
      <c r="G28" s="1731">
        <f t="shared" si="19"/>
        <v>16212543.620000001</v>
      </c>
      <c r="H28" s="1731">
        <f t="shared" si="20"/>
        <v>12471187.4</v>
      </c>
      <c r="I28" s="1731">
        <f t="shared" si="21"/>
        <v>11224068.66</v>
      </c>
      <c r="J28" s="1731">
        <f t="shared" si="22"/>
        <v>14965424.879999999</v>
      </c>
      <c r="K28" s="1731">
        <f t="shared" si="23"/>
        <v>9976949.9199999999</v>
      </c>
      <c r="L28" s="1731">
        <f t="shared" si="24"/>
        <v>8729831.1800000016</v>
      </c>
      <c r="M28" s="1731">
        <f t="shared" si="25"/>
        <v>6235593.7000000002</v>
      </c>
      <c r="N28" s="821">
        <f t="shared" si="14"/>
        <v>4988474.9599999785</v>
      </c>
      <c r="O28" s="206">
        <f>'A4-FinPerf RE'!J28</f>
        <v>124711874</v>
      </c>
      <c r="P28" s="204">
        <f>'A4-FinPerf RE'!K28</f>
        <v>85999663</v>
      </c>
      <c r="Q28" s="205">
        <f>'A4-FinPerf RE'!L28</f>
        <v>91593636</v>
      </c>
    </row>
    <row r="29" spans="1:17" ht="11.25" customHeight="1">
      <c r="A29" s="251" t="str">
        <f>'A4-FinPerf RE'!A29</f>
        <v>Finance charges</v>
      </c>
      <c r="B29" s="878"/>
      <c r="C29" s="1731">
        <f t="shared" si="15"/>
        <v>2887356.95</v>
      </c>
      <c r="D29" s="1731">
        <f t="shared" si="16"/>
        <v>4042299.7300000004</v>
      </c>
      <c r="E29" s="1731">
        <f t="shared" si="17"/>
        <v>5197242.51</v>
      </c>
      <c r="F29" s="1708">
        <f t="shared" si="18"/>
        <v>6352185.29</v>
      </c>
      <c r="G29" s="1731">
        <f t="shared" si="19"/>
        <v>7507128.0700000003</v>
      </c>
      <c r="H29" s="1731">
        <f t="shared" si="20"/>
        <v>5774713.9000000004</v>
      </c>
      <c r="I29" s="1731">
        <f t="shared" si="21"/>
        <v>5197242.51</v>
      </c>
      <c r="J29" s="1731">
        <f t="shared" si="22"/>
        <v>6929656.6799999997</v>
      </c>
      <c r="K29" s="1731">
        <f t="shared" si="23"/>
        <v>4619771.12</v>
      </c>
      <c r="L29" s="1731">
        <f t="shared" si="24"/>
        <v>4042299.7300000004</v>
      </c>
      <c r="M29" s="1731">
        <f t="shared" si="25"/>
        <v>2887356.95</v>
      </c>
      <c r="N29" s="821">
        <f t="shared" si="14"/>
        <v>2309885.5600000024</v>
      </c>
      <c r="O29" s="206">
        <f>'A4-FinPerf RE'!J29</f>
        <v>57747139</v>
      </c>
      <c r="P29" s="204">
        <f>'A4-FinPerf RE'!K29</f>
        <v>60807737</v>
      </c>
      <c r="Q29" s="205">
        <f>'A4-FinPerf RE'!L29</f>
        <v>64152163</v>
      </c>
    </row>
    <row r="30" spans="1:17" ht="11.25" customHeight="1">
      <c r="A30" s="251" t="str">
        <f>'A4-FinPerf RE'!A30</f>
        <v>Bulk purchases</v>
      </c>
      <c r="B30" s="878"/>
      <c r="C30" s="1731">
        <f t="shared" si="15"/>
        <v>62174994.850000001</v>
      </c>
      <c r="D30" s="1731">
        <f t="shared" si="16"/>
        <v>87044992.790000007</v>
      </c>
      <c r="E30" s="1731">
        <f t="shared" si="17"/>
        <v>111914990.72999999</v>
      </c>
      <c r="F30" s="1708">
        <f t="shared" si="18"/>
        <v>136784988.66999999</v>
      </c>
      <c r="G30" s="1731">
        <f t="shared" si="19"/>
        <v>161654986.61000001</v>
      </c>
      <c r="H30" s="1731">
        <f t="shared" si="20"/>
        <v>124349989.7</v>
      </c>
      <c r="I30" s="1731">
        <f t="shared" si="21"/>
        <v>111914990.72999999</v>
      </c>
      <c r="J30" s="1731">
        <f t="shared" si="22"/>
        <v>149219987.63999999</v>
      </c>
      <c r="K30" s="1731">
        <f t="shared" si="23"/>
        <v>99479991.760000005</v>
      </c>
      <c r="L30" s="1731">
        <f t="shared" si="24"/>
        <v>87044992.790000007</v>
      </c>
      <c r="M30" s="1731">
        <f t="shared" si="25"/>
        <v>62174994.850000001</v>
      </c>
      <c r="N30" s="821">
        <f t="shared" si="14"/>
        <v>49739995.880000114</v>
      </c>
      <c r="O30" s="206">
        <f>'A4-FinPerf RE'!J30</f>
        <v>1243499897</v>
      </c>
      <c r="P30" s="204">
        <f>'A4-FinPerf RE'!K30</f>
        <v>1309405392.1859999</v>
      </c>
      <c r="Q30" s="205">
        <f>'A4-FinPerf RE'!L30</f>
        <v>1381422688.3612299</v>
      </c>
    </row>
    <row r="31" spans="1:17" ht="11.25" customHeight="1">
      <c r="A31" s="251" t="str">
        <f>'A4-FinPerf RE'!A31</f>
        <v>Other materials</v>
      </c>
      <c r="B31" s="878"/>
      <c r="C31" s="1731">
        <f t="shared" si="15"/>
        <v>0</v>
      </c>
      <c r="D31" s="1731">
        <f t="shared" si="16"/>
        <v>0</v>
      </c>
      <c r="E31" s="1731">
        <f t="shared" si="17"/>
        <v>0</v>
      </c>
      <c r="F31" s="1708">
        <f t="shared" si="18"/>
        <v>0</v>
      </c>
      <c r="G31" s="1731">
        <f t="shared" si="19"/>
        <v>0</v>
      </c>
      <c r="H31" s="1731">
        <f t="shared" si="20"/>
        <v>0</v>
      </c>
      <c r="I31" s="1731">
        <f t="shared" si="21"/>
        <v>0</v>
      </c>
      <c r="J31" s="1731">
        <f t="shared" si="22"/>
        <v>0</v>
      </c>
      <c r="K31" s="1731">
        <f t="shared" si="23"/>
        <v>0</v>
      </c>
      <c r="L31" s="1731">
        <f t="shared" si="24"/>
        <v>0</v>
      </c>
      <c r="M31" s="1731">
        <f t="shared" si="25"/>
        <v>0</v>
      </c>
      <c r="N31" s="821">
        <f t="shared" si="14"/>
        <v>0</v>
      </c>
      <c r="O31" s="206">
        <f>'A4-FinPerf RE'!J31</f>
        <v>0</v>
      </c>
      <c r="P31" s="204">
        <f>'A4-FinPerf RE'!K31</f>
        <v>0</v>
      </c>
      <c r="Q31" s="205">
        <f>'A4-FinPerf RE'!L31</f>
        <v>0</v>
      </c>
    </row>
    <row r="32" spans="1:17" ht="11.25" customHeight="1">
      <c r="A32" s="251" t="str">
        <f>'A4-FinPerf RE'!A32</f>
        <v>Contracted services</v>
      </c>
      <c r="B32" s="878"/>
      <c r="C32" s="1731">
        <f t="shared" si="15"/>
        <v>802500</v>
      </c>
      <c r="D32" s="1731">
        <f t="shared" si="16"/>
        <v>1123500</v>
      </c>
      <c r="E32" s="1731">
        <f t="shared" si="17"/>
        <v>1444500</v>
      </c>
      <c r="F32" s="1708">
        <f t="shared" si="18"/>
        <v>1765500</v>
      </c>
      <c r="G32" s="1731">
        <f t="shared" si="19"/>
        <v>2086500</v>
      </c>
      <c r="H32" s="1731">
        <f t="shared" si="20"/>
        <v>1605000</v>
      </c>
      <c r="I32" s="1731">
        <f t="shared" si="21"/>
        <v>1444500</v>
      </c>
      <c r="J32" s="1731">
        <f t="shared" si="22"/>
        <v>1926000</v>
      </c>
      <c r="K32" s="1731">
        <f t="shared" si="23"/>
        <v>1284000</v>
      </c>
      <c r="L32" s="1731">
        <f t="shared" si="24"/>
        <v>1123500</v>
      </c>
      <c r="M32" s="1731">
        <f t="shared" si="25"/>
        <v>802500</v>
      </c>
      <c r="N32" s="821">
        <f t="shared" si="14"/>
        <v>642000</v>
      </c>
      <c r="O32" s="206">
        <f>'A4-FinPerf RE'!J32</f>
        <v>16050000</v>
      </c>
      <c r="P32" s="204">
        <f>'A4-FinPerf RE'!K32</f>
        <v>5377119</v>
      </c>
      <c r="Q32" s="205">
        <f>'A4-FinPerf RE'!L32</f>
        <v>5635221</v>
      </c>
    </row>
    <row r="33" spans="1:17" ht="11.25" customHeight="1">
      <c r="A33" s="251" t="str">
        <f>'A4-FinPerf RE'!A33</f>
        <v>Transfers and grants</v>
      </c>
      <c r="B33" s="878"/>
      <c r="C33" s="1731">
        <f t="shared" si="15"/>
        <v>225000</v>
      </c>
      <c r="D33" s="1731">
        <f t="shared" si="16"/>
        <v>315000.00000000006</v>
      </c>
      <c r="E33" s="1731">
        <f t="shared" si="17"/>
        <v>405000</v>
      </c>
      <c r="F33" s="1708">
        <f t="shared" si="18"/>
        <v>495000</v>
      </c>
      <c r="G33" s="1731">
        <f t="shared" si="19"/>
        <v>585000</v>
      </c>
      <c r="H33" s="1731">
        <f t="shared" si="20"/>
        <v>450000</v>
      </c>
      <c r="I33" s="1731">
        <f t="shared" si="21"/>
        <v>405000</v>
      </c>
      <c r="J33" s="1731">
        <f t="shared" si="22"/>
        <v>540000</v>
      </c>
      <c r="K33" s="1731">
        <f t="shared" si="23"/>
        <v>360000</v>
      </c>
      <c r="L33" s="1731">
        <f t="shared" si="24"/>
        <v>315000.00000000006</v>
      </c>
      <c r="M33" s="1731">
        <f t="shared" si="25"/>
        <v>225000</v>
      </c>
      <c r="N33" s="821">
        <f t="shared" si="14"/>
        <v>180000</v>
      </c>
      <c r="O33" s="206">
        <f>'A4-FinPerf RE'!J33</f>
        <v>4500000</v>
      </c>
      <c r="P33" s="204">
        <f>'A4-FinPerf RE'!K33</f>
        <v>4716000</v>
      </c>
      <c r="Q33" s="205">
        <f>'A4-FinPerf RE'!L33</f>
        <v>4942368</v>
      </c>
    </row>
    <row r="34" spans="1:17" ht="11.25" customHeight="1">
      <c r="A34" s="251" t="str">
        <f>'A4-FinPerf RE'!A34</f>
        <v>Other expenditure</v>
      </c>
      <c r="B34" s="878"/>
      <c r="C34" s="1731">
        <f t="shared" si="15"/>
        <v>52681495.600000001</v>
      </c>
      <c r="D34" s="1731">
        <f t="shared" si="16"/>
        <v>73754093.840000004</v>
      </c>
      <c r="E34" s="1731">
        <f t="shared" si="17"/>
        <v>94826692.079999998</v>
      </c>
      <c r="F34" s="1708">
        <f t="shared" si="18"/>
        <v>115899290.32000001</v>
      </c>
      <c r="G34" s="1731">
        <f t="shared" si="19"/>
        <v>136971888.56</v>
      </c>
      <c r="H34" s="1731">
        <f t="shared" si="20"/>
        <v>105362991.2</v>
      </c>
      <c r="I34" s="1731">
        <f t="shared" si="21"/>
        <v>94826692.079999998</v>
      </c>
      <c r="J34" s="1731">
        <f t="shared" si="22"/>
        <v>126435589.44</v>
      </c>
      <c r="K34" s="1731">
        <f t="shared" si="23"/>
        <v>84290392.960000008</v>
      </c>
      <c r="L34" s="1731">
        <f t="shared" si="24"/>
        <v>73754093.840000004</v>
      </c>
      <c r="M34" s="1731">
        <f t="shared" si="25"/>
        <v>52681495.600000001</v>
      </c>
      <c r="N34" s="821">
        <f t="shared" si="14"/>
        <v>42145196.479999781</v>
      </c>
      <c r="O34" s="206">
        <f>'A4-FinPerf RE'!J34</f>
        <v>1053629912</v>
      </c>
      <c r="P34" s="204">
        <f>'A4-FinPerf RE'!K34</f>
        <v>1153813133</v>
      </c>
      <c r="Q34" s="205">
        <f>'A4-FinPerf RE'!L34</f>
        <v>1170841869</v>
      </c>
    </row>
    <row r="35" spans="1:17" ht="11.25" customHeight="1">
      <c r="A35" s="251" t="str">
        <f>'A4-FinPerf RE'!A35</f>
        <v>Loss on disposal of PPE</v>
      </c>
      <c r="B35" s="878"/>
      <c r="C35" s="1731">
        <f t="shared" si="15"/>
        <v>0</v>
      </c>
      <c r="D35" s="1731">
        <f t="shared" si="16"/>
        <v>0</v>
      </c>
      <c r="E35" s="1731">
        <f t="shared" si="17"/>
        <v>0</v>
      </c>
      <c r="F35" s="1708">
        <f t="shared" si="18"/>
        <v>0</v>
      </c>
      <c r="G35" s="1731">
        <f t="shared" si="19"/>
        <v>0</v>
      </c>
      <c r="H35" s="1731">
        <f t="shared" si="20"/>
        <v>0</v>
      </c>
      <c r="I35" s="1731">
        <f t="shared" si="21"/>
        <v>0</v>
      </c>
      <c r="J35" s="1731">
        <f t="shared" si="22"/>
        <v>0</v>
      </c>
      <c r="K35" s="1731">
        <f t="shared" si="23"/>
        <v>0</v>
      </c>
      <c r="L35" s="1731">
        <f t="shared" si="24"/>
        <v>0</v>
      </c>
      <c r="M35" s="1731">
        <f t="shared" si="25"/>
        <v>0</v>
      </c>
      <c r="N35" s="821">
        <f t="shared" si="14"/>
        <v>0</v>
      </c>
      <c r="O35" s="206">
        <f>'A4-FinPerf RE'!J35</f>
        <v>0</v>
      </c>
      <c r="P35" s="204">
        <f>'A4-FinPerf RE'!K35</f>
        <v>0</v>
      </c>
      <c r="Q35" s="205">
        <f>'A4-FinPerf RE'!L35</f>
        <v>0</v>
      </c>
    </row>
    <row r="36" spans="1:17">
      <c r="A36" s="266" t="str">
        <f>'A4-FinPerf RE'!A36</f>
        <v>Total Expenditure</v>
      </c>
      <c r="B36" s="879"/>
      <c r="C36" s="216">
        <f>SUM(C25:C35)</f>
        <v>166955312.40000001</v>
      </c>
      <c r="D36" s="214">
        <f t="shared" ref="D36:Q36" si="26">SUM(D25:D35)</f>
        <v>233737437.36000001</v>
      </c>
      <c r="E36" s="214">
        <f t="shared" si="26"/>
        <v>300519562.31999999</v>
      </c>
      <c r="F36" s="214">
        <f t="shared" si="26"/>
        <v>367301687.27999997</v>
      </c>
      <c r="G36" s="214">
        <f t="shared" si="26"/>
        <v>434083812.24000007</v>
      </c>
      <c r="H36" s="214">
        <f t="shared" si="26"/>
        <v>333910624.80000001</v>
      </c>
      <c r="I36" s="214">
        <f t="shared" si="26"/>
        <v>300519562.31999999</v>
      </c>
      <c r="J36" s="214">
        <f t="shared" si="26"/>
        <v>400692749.75999993</v>
      </c>
      <c r="K36" s="214">
        <f t="shared" si="26"/>
        <v>267128499.84</v>
      </c>
      <c r="L36" s="214">
        <f t="shared" si="26"/>
        <v>233737437.36000001</v>
      </c>
      <c r="M36" s="214">
        <f t="shared" si="26"/>
        <v>166955312.40000001</v>
      </c>
      <c r="N36" s="880">
        <f t="shared" si="26"/>
        <v>133564249.91999993</v>
      </c>
      <c r="O36" s="216">
        <f t="shared" si="26"/>
        <v>3339106248</v>
      </c>
      <c r="P36" s="214">
        <f t="shared" si="26"/>
        <v>3551108115.1859999</v>
      </c>
      <c r="Q36" s="215">
        <f t="shared" si="26"/>
        <v>3711581480.3612299</v>
      </c>
    </row>
    <row r="37" spans="1:17" ht="5.0999999999999996" customHeight="1">
      <c r="A37" s="274"/>
      <c r="B37" s="878"/>
      <c r="C37" s="206"/>
      <c r="D37" s="204"/>
      <c r="E37" s="204"/>
      <c r="F37" s="204"/>
      <c r="G37" s="204"/>
      <c r="H37" s="204"/>
      <c r="I37" s="204"/>
      <c r="J37" s="204"/>
      <c r="K37" s="204"/>
      <c r="L37" s="204"/>
      <c r="M37" s="204"/>
      <c r="N37" s="821"/>
      <c r="O37" s="206"/>
      <c r="P37" s="204"/>
      <c r="Q37" s="205"/>
    </row>
    <row r="38" spans="1:17">
      <c r="A38" s="882" t="str">
        <f>'A4-FinPerf RE'!A38</f>
        <v>Surplus/(Deficit)</v>
      </c>
      <c r="B38" s="883"/>
      <c r="C38" s="216">
        <f t="shared" ref="C38:Q38" si="27">C22-C36</f>
        <v>4496.7999999821186</v>
      </c>
      <c r="D38" s="214">
        <f t="shared" si="27"/>
        <v>6295.5199999809265</v>
      </c>
      <c r="E38" s="214">
        <f t="shared" si="27"/>
        <v>8094.2399999499321</v>
      </c>
      <c r="F38" s="214">
        <f t="shared" si="27"/>
        <v>9892.9599999785423</v>
      </c>
      <c r="G38" s="214">
        <f t="shared" si="27"/>
        <v>11691.679999947548</v>
      </c>
      <c r="H38" s="214">
        <f t="shared" si="27"/>
        <v>8993.5999999642372</v>
      </c>
      <c r="I38" s="214">
        <f t="shared" si="27"/>
        <v>8094.2399999499321</v>
      </c>
      <c r="J38" s="214">
        <f t="shared" si="27"/>
        <v>10792.320000112057</v>
      </c>
      <c r="K38" s="214">
        <f t="shared" si="27"/>
        <v>7194.8799999654293</v>
      </c>
      <c r="L38" s="214">
        <f t="shared" si="27"/>
        <v>6295.5199999809265</v>
      </c>
      <c r="M38" s="214">
        <f t="shared" si="27"/>
        <v>4496.7999999821186</v>
      </c>
      <c r="N38" s="880">
        <f t="shared" si="27"/>
        <v>3597.4400001168251</v>
      </c>
      <c r="O38" s="216">
        <f t="shared" si="27"/>
        <v>89936</v>
      </c>
      <c r="P38" s="214">
        <f t="shared" si="27"/>
        <v>99816.44300031662</v>
      </c>
      <c r="Q38" s="215">
        <f t="shared" si="27"/>
        <v>109923.18236494064</v>
      </c>
    </row>
    <row r="39" spans="1:17" ht="11.25" customHeight="1">
      <c r="A39" s="251" t="str">
        <f>'A4-FinPerf RE'!A39</f>
        <v>Transfers recognised - capital</v>
      </c>
      <c r="B39" s="878"/>
      <c r="C39" s="1731"/>
      <c r="D39" s="1708"/>
      <c r="E39" s="1708"/>
      <c r="F39" s="1708"/>
      <c r="G39" s="1708"/>
      <c r="H39" s="1708"/>
      <c r="I39" s="1708"/>
      <c r="J39" s="1708"/>
      <c r="K39" s="1708"/>
      <c r="L39" s="1708"/>
      <c r="M39" s="1708"/>
      <c r="N39" s="821">
        <f>O39-SUM(C39:M39)</f>
        <v>411313300</v>
      </c>
      <c r="O39" s="206">
        <f>'A4-FinPerf RE'!J39</f>
        <v>411313300</v>
      </c>
      <c r="P39" s="204">
        <f>'A4-FinPerf RE'!K39</f>
        <v>310819300</v>
      </c>
      <c r="Q39" s="205">
        <f>'A4-FinPerf RE'!L39</f>
        <v>214215000</v>
      </c>
    </row>
    <row r="40" spans="1:17" ht="11.25" customHeight="1">
      <c r="A40" s="251" t="str">
        <f>'A4-FinPerf RE'!A40</f>
        <v>Contributions recognised - capital</v>
      </c>
      <c r="B40" s="878"/>
      <c r="C40" s="1731"/>
      <c r="D40" s="1708"/>
      <c r="E40" s="1708"/>
      <c r="F40" s="1708"/>
      <c r="G40" s="1708"/>
      <c r="H40" s="1708"/>
      <c r="I40" s="1708"/>
      <c r="J40" s="1708"/>
      <c r="K40" s="1708"/>
      <c r="L40" s="1708"/>
      <c r="M40" s="1708"/>
      <c r="N40" s="821">
        <f>O40-SUM(C40:M40)</f>
        <v>0</v>
      </c>
      <c r="O40" s="206">
        <f>'A4-FinPerf RE'!J40</f>
        <v>0</v>
      </c>
      <c r="P40" s="204">
        <f>'A4-FinPerf RE'!K40</f>
        <v>0</v>
      </c>
      <c r="Q40" s="205">
        <f>'A4-FinPerf RE'!L40</f>
        <v>0</v>
      </c>
    </row>
    <row r="41" spans="1:17" ht="11.25" customHeight="1">
      <c r="A41" s="251" t="str">
        <f>'A4-FinPerf RE'!A41</f>
        <v>Contributed assets</v>
      </c>
      <c r="B41" s="878"/>
      <c r="C41" s="1731"/>
      <c r="D41" s="1708"/>
      <c r="E41" s="1708"/>
      <c r="F41" s="1708"/>
      <c r="G41" s="1708"/>
      <c r="H41" s="1708"/>
      <c r="I41" s="1708"/>
      <c r="J41" s="1708"/>
      <c r="K41" s="1708"/>
      <c r="L41" s="1708"/>
      <c r="M41" s="1708"/>
      <c r="N41" s="821">
        <f>O41-SUM(C41:M41)</f>
        <v>0</v>
      </c>
      <c r="O41" s="206">
        <f>'A4-FinPerf RE'!J41</f>
        <v>0</v>
      </c>
      <c r="P41" s="204">
        <f>'A4-FinPerf RE'!K41</f>
        <v>0</v>
      </c>
      <c r="Q41" s="205">
        <f>'A4-FinPerf RE'!L41</f>
        <v>0</v>
      </c>
    </row>
    <row r="42" spans="1:17" s="782" customFormat="1" ht="22.5" customHeight="1">
      <c r="A42" s="884" t="str">
        <f>'A4-FinPerf RE'!A42</f>
        <v>Surplus/(Deficit) after capital transfers &amp; contributions</v>
      </c>
      <c r="B42" s="885"/>
      <c r="C42" s="886">
        <f t="shared" ref="C42:N42" si="28">C38+SUM(C39:C41)</f>
        <v>4496.7999999821186</v>
      </c>
      <c r="D42" s="887">
        <f t="shared" si="28"/>
        <v>6295.5199999809265</v>
      </c>
      <c r="E42" s="887">
        <f t="shared" si="28"/>
        <v>8094.2399999499321</v>
      </c>
      <c r="F42" s="887">
        <f t="shared" si="28"/>
        <v>9892.9599999785423</v>
      </c>
      <c r="G42" s="887">
        <f t="shared" si="28"/>
        <v>11691.679999947548</v>
      </c>
      <c r="H42" s="887">
        <f t="shared" si="28"/>
        <v>8993.5999999642372</v>
      </c>
      <c r="I42" s="887">
        <f t="shared" si="28"/>
        <v>8094.2399999499321</v>
      </c>
      <c r="J42" s="887">
        <f t="shared" si="28"/>
        <v>10792.320000112057</v>
      </c>
      <c r="K42" s="887">
        <f t="shared" si="28"/>
        <v>7194.8799999654293</v>
      </c>
      <c r="L42" s="887">
        <f t="shared" si="28"/>
        <v>6295.5199999809265</v>
      </c>
      <c r="M42" s="887">
        <f t="shared" si="28"/>
        <v>4496.7999999821186</v>
      </c>
      <c r="N42" s="888">
        <f t="shared" si="28"/>
        <v>411316897.44000012</v>
      </c>
      <c r="O42" s="886">
        <f>O38+SUM(O39:O41)</f>
        <v>411403236</v>
      </c>
      <c r="P42" s="887">
        <f>P38+SUM(P39:P41)</f>
        <v>310919116.44300032</v>
      </c>
      <c r="Q42" s="889">
        <f>Q38+SUM(Q39:Q41)</f>
        <v>214324923.18236494</v>
      </c>
    </row>
    <row r="43" spans="1:17" ht="11.25" customHeight="1">
      <c r="A43" s="251" t="str">
        <f>'A4-FinPerf RE'!A43</f>
        <v>Taxation</v>
      </c>
      <c r="B43" s="878"/>
      <c r="C43" s="1731"/>
      <c r="D43" s="1708"/>
      <c r="E43" s="1708"/>
      <c r="F43" s="1708"/>
      <c r="G43" s="1708"/>
      <c r="H43" s="1708"/>
      <c r="I43" s="1708"/>
      <c r="J43" s="1708"/>
      <c r="K43" s="1708"/>
      <c r="L43" s="1708"/>
      <c r="M43" s="1708"/>
      <c r="N43" s="821">
        <f>O43-SUM(C43:M43)</f>
        <v>0</v>
      </c>
      <c r="O43" s="206">
        <f>'A4-FinPerf RE'!J43</f>
        <v>0</v>
      </c>
      <c r="P43" s="204">
        <f>'A4-FinPerf RE'!K43</f>
        <v>0</v>
      </c>
      <c r="Q43" s="205">
        <f>'A4-FinPerf RE'!L43</f>
        <v>0</v>
      </c>
    </row>
    <row r="44" spans="1:17" ht="11.25" customHeight="1">
      <c r="A44" s="251" t="str">
        <f>'A4-FinPerf RE'!A45</f>
        <v>Attributable to minorities</v>
      </c>
      <c r="B44" s="878"/>
      <c r="C44" s="1731"/>
      <c r="D44" s="1708"/>
      <c r="E44" s="1708"/>
      <c r="F44" s="1708"/>
      <c r="G44" s="1708"/>
      <c r="H44" s="1708"/>
      <c r="I44" s="1708"/>
      <c r="J44" s="1708"/>
      <c r="K44" s="1708"/>
      <c r="L44" s="1708"/>
      <c r="M44" s="1708"/>
      <c r="N44" s="821">
        <f>O44-SUM(C44:M44)</f>
        <v>0</v>
      </c>
      <c r="O44" s="206">
        <f>'A4-FinPerf RE'!J45</f>
        <v>0</v>
      </c>
      <c r="P44" s="204">
        <f>'A4-FinPerf RE'!K45</f>
        <v>0</v>
      </c>
      <c r="Q44" s="205">
        <f>'A4-FinPerf RE'!L45</f>
        <v>0</v>
      </c>
    </row>
    <row r="45" spans="1:17">
      <c r="A45" s="536" t="str">
        <f>'A4-FinPerf RE'!A47</f>
        <v>Share of surplus/ (deficit) of associate</v>
      </c>
      <c r="B45" s="890"/>
      <c r="C45" s="1731"/>
      <c r="D45" s="1708"/>
      <c r="E45" s="1708"/>
      <c r="F45" s="1708"/>
      <c r="G45" s="1708"/>
      <c r="H45" s="1708"/>
      <c r="I45" s="1708"/>
      <c r="J45" s="1708"/>
      <c r="K45" s="1708"/>
      <c r="L45" s="1708"/>
      <c r="M45" s="1708"/>
      <c r="N45" s="821">
        <f>O45-SUM(C45:M45)</f>
        <v>0</v>
      </c>
      <c r="O45" s="206">
        <f>'A4-FinPerf RE'!J47</f>
        <v>0</v>
      </c>
      <c r="P45" s="204">
        <f>'A4-FinPerf RE'!K47</f>
        <v>0</v>
      </c>
      <c r="Q45" s="205">
        <f>'A4-FinPerf RE'!L47</f>
        <v>0</v>
      </c>
    </row>
    <row r="46" spans="1:17">
      <c r="A46" s="863" t="str">
        <f>'A4-FinPerf RE'!A38</f>
        <v>Surplus/(Deficit)</v>
      </c>
      <c r="B46" s="891">
        <v>1</v>
      </c>
      <c r="C46" s="355">
        <f t="shared" ref="C46:N46" si="29">C42+SUM(C43:C45)</f>
        <v>4496.7999999821186</v>
      </c>
      <c r="D46" s="228">
        <f t="shared" si="29"/>
        <v>6295.5199999809265</v>
      </c>
      <c r="E46" s="228">
        <f t="shared" si="29"/>
        <v>8094.2399999499321</v>
      </c>
      <c r="F46" s="228">
        <f t="shared" si="29"/>
        <v>9892.9599999785423</v>
      </c>
      <c r="G46" s="228">
        <f t="shared" si="29"/>
        <v>11691.679999947548</v>
      </c>
      <c r="H46" s="228">
        <f t="shared" si="29"/>
        <v>8993.5999999642372</v>
      </c>
      <c r="I46" s="228">
        <f t="shared" si="29"/>
        <v>8094.2399999499321</v>
      </c>
      <c r="J46" s="228">
        <f t="shared" si="29"/>
        <v>10792.320000112057</v>
      </c>
      <c r="K46" s="228">
        <f t="shared" si="29"/>
        <v>7194.8799999654293</v>
      </c>
      <c r="L46" s="228">
        <f t="shared" si="29"/>
        <v>6295.5199999809265</v>
      </c>
      <c r="M46" s="228">
        <f t="shared" si="29"/>
        <v>4496.7999999821186</v>
      </c>
      <c r="N46" s="833">
        <f t="shared" si="29"/>
        <v>411316897.44000012</v>
      </c>
      <c r="O46" s="355">
        <f>O42+SUM(O43:O45)</f>
        <v>411403236</v>
      </c>
      <c r="P46" s="228">
        <f>P42+SUM(P43:P45)</f>
        <v>310919116.44300032</v>
      </c>
      <c r="Q46" s="354">
        <f>Q42+SUM(Q43:Q45)</f>
        <v>214324923.18236494</v>
      </c>
    </row>
    <row r="47" spans="1:17" s="722" customFormat="1">
      <c r="A47" s="1464" t="str">
        <f>head27a</f>
        <v>References</v>
      </c>
      <c r="B47" s="1112"/>
      <c r="C47" s="1067"/>
      <c r="D47" s="1067"/>
      <c r="E47" s="1067"/>
      <c r="F47" s="1067"/>
      <c r="G47" s="1067"/>
      <c r="H47" s="1067"/>
      <c r="I47" s="1067"/>
      <c r="J47" s="1067"/>
      <c r="K47" s="1067"/>
      <c r="L47" s="1067"/>
      <c r="M47" s="1067"/>
      <c r="N47" s="1067"/>
      <c r="O47" s="1067"/>
      <c r="P47" s="1067"/>
      <c r="Q47" s="1067"/>
    </row>
    <row r="48" spans="1:17" s="722" customFormat="1">
      <c r="A48" s="1462" t="s">
        <v>1756</v>
      </c>
    </row>
    <row r="49" spans="1:17">
      <c r="A49" s="440" t="s">
        <v>1661</v>
      </c>
      <c r="B49" s="440"/>
      <c r="O49" s="893">
        <f>O46-'A4-FinPerf RE'!J48</f>
        <v>0</v>
      </c>
      <c r="P49" s="893">
        <f>P46-'A4-FinPerf RE'!K48</f>
        <v>0</v>
      </c>
      <c r="Q49" s="893">
        <f>Q46-'A4-FinPerf RE'!L48</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6"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workbookViewId="0">
      <pane xSplit="2" ySplit="3" topLeftCell="C21" activePane="bottomRight" state="frozen"/>
      <selection activeCell="O37" sqref="A1:IV65536"/>
      <selection pane="topRight" activeCell="O37" sqref="A1:IV65536"/>
      <selection pane="bottomLeft" activeCell="O37" sqref="A1:IV65536"/>
      <selection pane="bottomRight" activeCell="C26" sqref="C26"/>
    </sheetView>
  </sheetViews>
  <sheetFormatPr defaultRowHeight="12.75"/>
  <cols>
    <col min="1" max="1" width="30.7109375" style="150" customWidth="1"/>
    <col min="2" max="2" width="3" style="150" customWidth="1"/>
    <col min="3" max="14" width="8.28515625" style="150" customWidth="1"/>
    <col min="15" max="17" width="9.28515625" style="150" customWidth="1"/>
    <col min="18" max="16384" width="9.140625" style="150"/>
  </cols>
  <sheetData>
    <row r="1" spans="1:18" ht="13.5" customHeight="1">
      <c r="A1" s="148" t="str">
        <f>muni&amp;" - "&amp;TableA26</f>
        <v>KZN225 Msunduzi - Supporting Table SA26 Budgeted monthly revenue and expenditure (municipal vote)</v>
      </c>
      <c r="B1" s="148"/>
      <c r="C1" s="148"/>
      <c r="D1" s="148"/>
      <c r="E1" s="148"/>
      <c r="F1" s="148"/>
      <c r="G1" s="148"/>
      <c r="H1" s="148"/>
      <c r="I1" s="148"/>
      <c r="J1" s="148"/>
      <c r="K1" s="148"/>
      <c r="L1" s="148"/>
      <c r="M1" s="148"/>
      <c r="N1" s="148"/>
      <c r="O1" s="148"/>
      <c r="P1" s="148"/>
      <c r="Q1" s="148"/>
    </row>
    <row r="2" spans="1:18" ht="28.5" customHeight="1">
      <c r="A2" s="1011" t="str">
        <f>desc</f>
        <v>Description</v>
      </c>
      <c r="B2" s="1023" t="str">
        <f>head27</f>
        <v>Ref</v>
      </c>
      <c r="C2" s="2415" t="str">
        <f>Head9</f>
        <v>Budget Year 2011/12</v>
      </c>
      <c r="D2" s="2416"/>
      <c r="E2" s="2416"/>
      <c r="F2" s="2416"/>
      <c r="G2" s="2416"/>
      <c r="H2" s="2416"/>
      <c r="I2" s="2416"/>
      <c r="J2" s="2416"/>
      <c r="K2" s="2416"/>
      <c r="L2" s="2416"/>
      <c r="M2" s="2416"/>
      <c r="N2" s="2416"/>
      <c r="O2" s="2412" t="s">
        <v>1961</v>
      </c>
      <c r="P2" s="2413"/>
      <c r="Q2" s="2414"/>
    </row>
    <row r="3" spans="1:18" ht="25.5">
      <c r="A3" s="1018" t="s">
        <v>703</v>
      </c>
      <c r="B3" s="1024"/>
      <c r="C3" s="300" t="s">
        <v>765</v>
      </c>
      <c r="D3" s="942" t="s">
        <v>1543</v>
      </c>
      <c r="E3" s="942" t="s">
        <v>1544</v>
      </c>
      <c r="F3" s="942" t="s">
        <v>1545</v>
      </c>
      <c r="G3" s="942" t="s">
        <v>745</v>
      </c>
      <c r="H3" s="942" t="s">
        <v>746</v>
      </c>
      <c r="I3" s="942" t="s">
        <v>747</v>
      </c>
      <c r="J3" s="942" t="s">
        <v>748</v>
      </c>
      <c r="K3" s="942" t="s">
        <v>749</v>
      </c>
      <c r="L3" s="942" t="s">
        <v>750</v>
      </c>
      <c r="M3" s="942" t="s">
        <v>751</v>
      </c>
      <c r="N3" s="394" t="s">
        <v>752</v>
      </c>
      <c r="O3" s="300" t="str">
        <f>Head9</f>
        <v>Budget Year 2011/12</v>
      </c>
      <c r="P3" s="393" t="str">
        <f>Head10</f>
        <v>Budget Year +1 2012/13</v>
      </c>
      <c r="Q3" s="394" t="str">
        <f>Head11</f>
        <v>Budget Year +2 2013/14</v>
      </c>
    </row>
    <row r="4" spans="1:18">
      <c r="A4" s="250" t="str">
        <f>'A3-FinPerf V'!A4</f>
        <v>Revenue by Vote</v>
      </c>
      <c r="B4" s="881"/>
      <c r="C4" s="318"/>
      <c r="D4" s="316"/>
      <c r="E4" s="316"/>
      <c r="F4" s="316"/>
      <c r="G4" s="316"/>
      <c r="H4" s="316"/>
      <c r="I4" s="316"/>
      <c r="J4" s="316"/>
      <c r="K4" s="316"/>
      <c r="L4" s="316"/>
      <c r="M4" s="316"/>
      <c r="N4" s="1019"/>
      <c r="O4" s="409"/>
      <c r="P4" s="316"/>
      <c r="Q4" s="319"/>
    </row>
    <row r="5" spans="1:18" ht="11.25" customHeight="1">
      <c r="A5" s="1214" t="str">
        <f>'A3-FinPerf V'!A5</f>
        <v>Vote 1 - Corporate Services and Planning</v>
      </c>
      <c r="B5" s="878"/>
      <c r="C5" s="1708">
        <f>O5*0.05</f>
        <v>342121.15</v>
      </c>
      <c r="D5" s="1708">
        <f>O5*0.07</f>
        <v>478969.61000000004</v>
      </c>
      <c r="E5" s="1708">
        <f>O5*0.09</f>
        <v>615818.06999999995</v>
      </c>
      <c r="F5" s="1708">
        <f>O5*0.11</f>
        <v>752666.53</v>
      </c>
      <c r="G5" s="1708">
        <f>O5*0.13</f>
        <v>889514.99</v>
      </c>
      <c r="H5" s="1708">
        <f>O5*0.1</f>
        <v>684242.3</v>
      </c>
      <c r="I5" s="1708">
        <f>O5*0.09</f>
        <v>615818.06999999995</v>
      </c>
      <c r="J5" s="1708">
        <f>O5*0.12</f>
        <v>821090.76</v>
      </c>
      <c r="K5" s="1708">
        <f>O5*0.08</f>
        <v>547393.84</v>
      </c>
      <c r="L5" s="1708">
        <f>O5*0.07</f>
        <v>478969.61000000004</v>
      </c>
      <c r="M5" s="1708">
        <f>O5*0.05</f>
        <v>342121.15</v>
      </c>
      <c r="N5" s="821">
        <f t="shared" ref="N5:N10" si="0">O5-SUM(C5:M5)</f>
        <v>273696.91999999899</v>
      </c>
      <c r="O5" s="207">
        <f>'A3-FinPerf V'!I5</f>
        <v>6842423</v>
      </c>
      <c r="P5" s="204">
        <f>'A3-FinPerf V'!J5</f>
        <v>6604868</v>
      </c>
      <c r="Q5" s="205">
        <f>'A3-FinPerf V'!K5</f>
        <v>20638135</v>
      </c>
    </row>
    <row r="6" spans="1:18" ht="11.25" customHeight="1">
      <c r="A6" s="1214" t="str">
        <f>'A3-FinPerf V'!A6</f>
        <v>Vote 2 - Financial Management Area</v>
      </c>
      <c r="B6" s="878"/>
      <c r="C6" s="1708">
        <f t="shared" ref="C6:C8" si="1">O6*0.05</f>
        <v>49271945.200000003</v>
      </c>
      <c r="D6" s="1708">
        <f t="shared" ref="D6:D8" si="2">O6*0.07</f>
        <v>68980723.280000001</v>
      </c>
      <c r="E6" s="1708">
        <f t="shared" ref="E6:E8" si="3">O6*0.09</f>
        <v>88689501.359999999</v>
      </c>
      <c r="F6" s="1708">
        <f t="shared" ref="F6:F8" si="4">O6*0.11</f>
        <v>108398279.44</v>
      </c>
      <c r="G6" s="1708">
        <f t="shared" ref="G6:G8" si="5">O6*0.13</f>
        <v>128107057.52000001</v>
      </c>
      <c r="H6" s="1708">
        <f t="shared" ref="H6:H8" si="6">O6*0.1</f>
        <v>98543890.400000006</v>
      </c>
      <c r="I6" s="1708">
        <f t="shared" ref="I6:I8" si="7">O6*0.09</f>
        <v>88689501.359999999</v>
      </c>
      <c r="J6" s="1708">
        <f t="shared" ref="J6:J8" si="8">O6*0.12</f>
        <v>118252668.47999999</v>
      </c>
      <c r="K6" s="1708">
        <f t="shared" ref="K6:K8" si="9">O6*0.08</f>
        <v>78835112.320000008</v>
      </c>
      <c r="L6" s="1708">
        <f t="shared" ref="L6:L8" si="10">O6*0.07</f>
        <v>68980723.280000001</v>
      </c>
      <c r="M6" s="1708">
        <f t="shared" ref="M6:M8" si="11">O6*0.05</f>
        <v>49271945.200000003</v>
      </c>
      <c r="N6" s="821">
        <f t="shared" si="0"/>
        <v>39417556.159999967</v>
      </c>
      <c r="O6" s="207">
        <f>'A3-FinPerf V'!I6</f>
        <v>985438904</v>
      </c>
      <c r="P6" s="208">
        <f>'A3-FinPerf V'!J6</f>
        <v>1037087923</v>
      </c>
      <c r="Q6" s="265">
        <f>'A3-FinPerf V'!K6</f>
        <v>1093801258</v>
      </c>
    </row>
    <row r="7" spans="1:18" ht="11.25" customHeight="1">
      <c r="A7" s="1214" t="str">
        <f>'A3-FinPerf V'!A7</f>
        <v>Vote 3 - Infrastructure Development, Service Delivery and Maintenance Management</v>
      </c>
      <c r="B7" s="878"/>
      <c r="C7" s="1708">
        <f t="shared" si="1"/>
        <v>115702638.5</v>
      </c>
      <c r="D7" s="1708">
        <f t="shared" si="2"/>
        <v>161983693.90000001</v>
      </c>
      <c r="E7" s="1708">
        <f t="shared" si="3"/>
        <v>208264749.29999998</v>
      </c>
      <c r="F7" s="1708">
        <f t="shared" si="4"/>
        <v>254545804.69999999</v>
      </c>
      <c r="G7" s="1708">
        <f t="shared" si="5"/>
        <v>300826860.10000002</v>
      </c>
      <c r="H7" s="1708">
        <f t="shared" si="6"/>
        <v>231405277</v>
      </c>
      <c r="I7" s="1708">
        <f t="shared" si="7"/>
        <v>208264749.29999998</v>
      </c>
      <c r="J7" s="1708">
        <f t="shared" si="8"/>
        <v>277686332.39999998</v>
      </c>
      <c r="K7" s="1708">
        <f t="shared" si="9"/>
        <v>185124221.59999999</v>
      </c>
      <c r="L7" s="1708">
        <f t="shared" si="10"/>
        <v>161983693.90000001</v>
      </c>
      <c r="M7" s="1708">
        <f t="shared" si="11"/>
        <v>115702638.5</v>
      </c>
      <c r="N7" s="821">
        <f t="shared" si="0"/>
        <v>92562110.800000191</v>
      </c>
      <c r="O7" s="207">
        <f>'A3-FinPerf V'!I7</f>
        <v>2314052770</v>
      </c>
      <c r="P7" s="208">
        <f>'A3-FinPerf V'!J7</f>
        <v>2474842910</v>
      </c>
      <c r="Q7" s="265">
        <f>'A3-FinPerf V'!K7</f>
        <v>2552912504</v>
      </c>
    </row>
    <row r="8" spans="1:18" ht="11.25" customHeight="1">
      <c r="A8" s="1214" t="str">
        <f>'A3-FinPerf V'!A8</f>
        <v>Vote 4 - Sustainable Community Service Delivery Provision Management</v>
      </c>
      <c r="B8" s="878"/>
      <c r="C8" s="1708">
        <f t="shared" si="1"/>
        <v>1643113.8</v>
      </c>
      <c r="D8" s="1708">
        <f t="shared" si="2"/>
        <v>2300359.3200000003</v>
      </c>
      <c r="E8" s="1708">
        <f t="shared" si="3"/>
        <v>2957604.84</v>
      </c>
      <c r="F8" s="1708">
        <f t="shared" si="4"/>
        <v>3614850.36</v>
      </c>
      <c r="G8" s="1708">
        <f t="shared" si="5"/>
        <v>4272095.88</v>
      </c>
      <c r="H8" s="1708">
        <f t="shared" si="6"/>
        <v>3286227.6</v>
      </c>
      <c r="I8" s="1708">
        <f t="shared" si="7"/>
        <v>2957604.84</v>
      </c>
      <c r="J8" s="1708">
        <f t="shared" si="8"/>
        <v>3943473.1199999996</v>
      </c>
      <c r="K8" s="1708">
        <f t="shared" si="9"/>
        <v>2628982.08</v>
      </c>
      <c r="L8" s="1708">
        <f t="shared" si="10"/>
        <v>2300359.3200000003</v>
      </c>
      <c r="M8" s="1708">
        <f t="shared" si="11"/>
        <v>1643113.8</v>
      </c>
      <c r="N8" s="821">
        <f t="shared" si="0"/>
        <v>1314491.0399999954</v>
      </c>
      <c r="O8" s="207">
        <f>'A3-FinPerf V'!I8</f>
        <v>32862276</v>
      </c>
      <c r="P8" s="208">
        <f>'A3-FinPerf V'!J8</f>
        <v>32672461</v>
      </c>
      <c r="Q8" s="265">
        <f>'A3-FinPerf V'!K8</f>
        <v>44339131</v>
      </c>
    </row>
    <row r="9" spans="1:18" ht="11.25" customHeight="1">
      <c r="A9" s="1214" t="str">
        <f>'A3-FinPerf V'!A9</f>
        <v>Example 5 - Vote5</v>
      </c>
      <c r="B9" s="878"/>
      <c r="C9" s="1731"/>
      <c r="D9" s="1708"/>
      <c r="E9" s="1708"/>
      <c r="F9" s="1708"/>
      <c r="G9" s="1708"/>
      <c r="H9" s="1708"/>
      <c r="I9" s="1708"/>
      <c r="J9" s="1708"/>
      <c r="K9" s="1708"/>
      <c r="L9" s="1708"/>
      <c r="M9" s="1708"/>
      <c r="N9" s="821">
        <f t="shared" si="0"/>
        <v>0</v>
      </c>
      <c r="O9" s="207">
        <f>'A3-FinPerf V'!I9</f>
        <v>0</v>
      </c>
      <c r="P9" s="208">
        <f>'A3-FinPerf V'!J9</f>
        <v>0</v>
      </c>
      <c r="Q9" s="265">
        <f>'A3-FinPerf V'!K9</f>
        <v>0</v>
      </c>
    </row>
    <row r="10" spans="1:18" ht="11.25" customHeight="1">
      <c r="A10" s="1214" t="str">
        <f>'A3-FinPerf V'!A10</f>
        <v>Example 6 - Vote6</v>
      </c>
      <c r="B10" s="878"/>
      <c r="C10" s="1731"/>
      <c r="D10" s="1708"/>
      <c r="E10" s="1708"/>
      <c r="F10" s="1708"/>
      <c r="G10" s="1708"/>
      <c r="H10" s="1708"/>
      <c r="I10" s="1708"/>
      <c r="J10" s="1708"/>
      <c r="K10" s="1708"/>
      <c r="L10" s="1708"/>
      <c r="M10" s="1708"/>
      <c r="N10" s="821">
        <f t="shared" si="0"/>
        <v>0</v>
      </c>
      <c r="O10" s="207">
        <f>'A3-FinPerf V'!I10</f>
        <v>0</v>
      </c>
      <c r="P10" s="208">
        <f>'A3-FinPerf V'!J10</f>
        <v>0</v>
      </c>
      <c r="Q10" s="265">
        <f>'A3-FinPerf V'!K10</f>
        <v>0</v>
      </c>
    </row>
    <row r="11" spans="1:18" ht="11.25" customHeight="1">
      <c r="A11" s="1214" t="str">
        <f>'A3-FinPerf V'!A11</f>
        <v>Example 7 - Vote7</v>
      </c>
      <c r="B11" s="878"/>
      <c r="C11" s="1731"/>
      <c r="D11" s="1708"/>
      <c r="E11" s="1708"/>
      <c r="F11" s="1708"/>
      <c r="G11" s="1708"/>
      <c r="H11" s="1708"/>
      <c r="I11" s="1708"/>
      <c r="J11" s="1708"/>
      <c r="K11" s="1708"/>
      <c r="L11" s="1708"/>
      <c r="M11" s="1708"/>
      <c r="N11" s="821">
        <f>O11-SUM(C11:M11)</f>
        <v>0</v>
      </c>
      <c r="O11" s="207">
        <f>'A3-FinPerf V'!I11</f>
        <v>0</v>
      </c>
      <c r="P11" s="208">
        <f>'A3-FinPerf V'!J11</f>
        <v>0</v>
      </c>
      <c r="Q11" s="265">
        <f>'A3-FinPerf V'!K11</f>
        <v>0</v>
      </c>
    </row>
    <row r="12" spans="1:18" ht="11.25" customHeight="1">
      <c r="A12" s="1214" t="str">
        <f>'A3-FinPerf V'!A12</f>
        <v>Example 8 - Vote8</v>
      </c>
      <c r="B12" s="878"/>
      <c r="C12" s="1731"/>
      <c r="D12" s="1708"/>
      <c r="E12" s="1708"/>
      <c r="F12" s="1708"/>
      <c r="G12" s="1708"/>
      <c r="H12" s="1708"/>
      <c r="I12" s="1708"/>
      <c r="J12" s="1708"/>
      <c r="K12" s="1708"/>
      <c r="L12" s="1708"/>
      <c r="M12" s="1708"/>
      <c r="N12" s="821">
        <f>O12-SUM(C12:M12)</f>
        <v>0</v>
      </c>
      <c r="O12" s="207">
        <f>'A3-FinPerf V'!I12</f>
        <v>0</v>
      </c>
      <c r="P12" s="208">
        <f>'A3-FinPerf V'!J12</f>
        <v>0</v>
      </c>
      <c r="Q12" s="265">
        <f>'A3-FinPerf V'!K12</f>
        <v>0</v>
      </c>
    </row>
    <row r="13" spans="1:18" ht="11.25" customHeight="1">
      <c r="A13" s="1214" t="str">
        <f>'A3-FinPerf V'!A13</f>
        <v>Example 9 - Vote9</v>
      </c>
      <c r="B13" s="878"/>
      <c r="C13" s="1731"/>
      <c r="D13" s="1708"/>
      <c r="E13" s="1708"/>
      <c r="F13" s="1708"/>
      <c r="G13" s="1708"/>
      <c r="H13" s="1708"/>
      <c r="I13" s="1708"/>
      <c r="J13" s="1708"/>
      <c r="K13" s="1708"/>
      <c r="L13" s="1708"/>
      <c r="M13" s="1708"/>
      <c r="N13" s="821">
        <f>O13-SUM(C13:M13)</f>
        <v>0</v>
      </c>
      <c r="O13" s="207">
        <f>'A3-FinPerf V'!I13</f>
        <v>0</v>
      </c>
      <c r="P13" s="208">
        <f>'A3-FinPerf V'!J13</f>
        <v>0</v>
      </c>
      <c r="Q13" s="265">
        <f>'A3-FinPerf V'!K13</f>
        <v>0</v>
      </c>
      <c r="R13" s="373"/>
    </row>
    <row r="14" spans="1:18" ht="11.25" customHeight="1">
      <c r="A14" s="1214" t="str">
        <f>'A3-FinPerf V'!A14</f>
        <v>Example 10 - Vote10</v>
      </c>
      <c r="B14" s="878"/>
      <c r="C14" s="1731"/>
      <c r="D14" s="1708"/>
      <c r="E14" s="1708"/>
      <c r="F14" s="1708"/>
      <c r="G14" s="1708"/>
      <c r="H14" s="1708"/>
      <c r="I14" s="1708"/>
      <c r="J14" s="1708"/>
      <c r="K14" s="1708"/>
      <c r="L14" s="1708"/>
      <c r="M14" s="1708"/>
      <c r="N14" s="821">
        <f t="shared" ref="N14:N19" si="12">O14-SUM(C14:M14)</f>
        <v>0</v>
      </c>
      <c r="O14" s="207">
        <f>'A3-FinPerf V'!I14</f>
        <v>0</v>
      </c>
      <c r="P14" s="208">
        <f>'A3-FinPerf V'!J14</f>
        <v>0</v>
      </c>
      <c r="Q14" s="265">
        <f>'A3-FinPerf V'!K14</f>
        <v>0</v>
      </c>
      <c r="R14" s="373"/>
    </row>
    <row r="15" spans="1:18" ht="11.25" customHeight="1">
      <c r="A15" s="1214" t="str">
        <f>'A3-FinPerf V'!A15</f>
        <v>Example 11 - Vote11</v>
      </c>
      <c r="B15" s="878"/>
      <c r="C15" s="1731"/>
      <c r="D15" s="1708"/>
      <c r="E15" s="1708"/>
      <c r="F15" s="1708"/>
      <c r="G15" s="1708"/>
      <c r="H15" s="1708"/>
      <c r="I15" s="1708"/>
      <c r="J15" s="1708"/>
      <c r="K15" s="1708"/>
      <c r="L15" s="1708"/>
      <c r="M15" s="1708"/>
      <c r="N15" s="821">
        <f t="shared" si="12"/>
        <v>0</v>
      </c>
      <c r="O15" s="207">
        <f>'A3-FinPerf V'!I15</f>
        <v>0</v>
      </c>
      <c r="P15" s="208">
        <f>'A3-FinPerf V'!J15</f>
        <v>0</v>
      </c>
      <c r="Q15" s="265">
        <f>'A3-FinPerf V'!K15</f>
        <v>0</v>
      </c>
      <c r="R15" s="373"/>
    </row>
    <row r="16" spans="1:18" ht="11.25" customHeight="1">
      <c r="A16" s="1214" t="str">
        <f>'A3-FinPerf V'!A16</f>
        <v>Example 12 - Vote12</v>
      </c>
      <c r="B16" s="878"/>
      <c r="C16" s="1731"/>
      <c r="D16" s="1708"/>
      <c r="E16" s="1708"/>
      <c r="F16" s="1708"/>
      <c r="G16" s="1708"/>
      <c r="H16" s="1708"/>
      <c r="I16" s="1708"/>
      <c r="J16" s="1708"/>
      <c r="K16" s="1708"/>
      <c r="L16" s="1708"/>
      <c r="M16" s="1708"/>
      <c r="N16" s="821">
        <f t="shared" si="12"/>
        <v>0</v>
      </c>
      <c r="O16" s="207">
        <f>'A3-FinPerf V'!I16</f>
        <v>0</v>
      </c>
      <c r="P16" s="208">
        <f>'A3-FinPerf V'!J16</f>
        <v>0</v>
      </c>
      <c r="Q16" s="265">
        <f>'A3-FinPerf V'!K16</f>
        <v>0</v>
      </c>
      <c r="R16" s="373"/>
    </row>
    <row r="17" spans="1:18" ht="11.25" customHeight="1">
      <c r="A17" s="1214" t="str">
        <f>'A3-FinPerf V'!A17</f>
        <v>Example 13 - Vote13</v>
      </c>
      <c r="B17" s="878"/>
      <c r="C17" s="1731"/>
      <c r="D17" s="1708"/>
      <c r="E17" s="1708"/>
      <c r="F17" s="1708"/>
      <c r="G17" s="1708"/>
      <c r="H17" s="1708"/>
      <c r="I17" s="1708"/>
      <c r="J17" s="1708"/>
      <c r="K17" s="1708"/>
      <c r="L17" s="1708"/>
      <c r="M17" s="1708"/>
      <c r="N17" s="821">
        <f t="shared" si="12"/>
        <v>0</v>
      </c>
      <c r="O17" s="207">
        <f>'A3-FinPerf V'!I17</f>
        <v>0</v>
      </c>
      <c r="P17" s="208">
        <f>'A3-FinPerf V'!J17</f>
        <v>0</v>
      </c>
      <c r="Q17" s="265">
        <f>'A3-FinPerf V'!K17</f>
        <v>0</v>
      </c>
      <c r="R17" s="373"/>
    </row>
    <row r="18" spans="1:18" ht="11.25" customHeight="1">
      <c r="A18" s="1214" t="str">
        <f>'A3-FinPerf V'!A18</f>
        <v>Example 14 - Vote14</v>
      </c>
      <c r="B18" s="878"/>
      <c r="C18" s="1731"/>
      <c r="D18" s="1708"/>
      <c r="E18" s="1708"/>
      <c r="F18" s="1708"/>
      <c r="G18" s="1708"/>
      <c r="H18" s="1708"/>
      <c r="I18" s="1708"/>
      <c r="J18" s="1708"/>
      <c r="K18" s="1708"/>
      <c r="L18" s="1708"/>
      <c r="M18" s="1708"/>
      <c r="N18" s="821">
        <f t="shared" si="12"/>
        <v>0</v>
      </c>
      <c r="O18" s="207">
        <f>'A3-FinPerf V'!I18</f>
        <v>0</v>
      </c>
      <c r="P18" s="208">
        <f>'A3-FinPerf V'!J18</f>
        <v>0</v>
      </c>
      <c r="Q18" s="265">
        <f>'A3-FinPerf V'!K18</f>
        <v>0</v>
      </c>
      <c r="R18" s="373"/>
    </row>
    <row r="19" spans="1:18" ht="11.25" customHeight="1">
      <c r="A19" s="1214" t="str">
        <f>'A3-FinPerf V'!A19</f>
        <v>Example 15 - Vote15</v>
      </c>
      <c r="B19" s="878"/>
      <c r="C19" s="1731"/>
      <c r="D19" s="1708"/>
      <c r="E19" s="1708"/>
      <c r="F19" s="1708"/>
      <c r="G19" s="1708"/>
      <c r="H19" s="1708"/>
      <c r="I19" s="1708"/>
      <c r="J19" s="1708"/>
      <c r="K19" s="1708"/>
      <c r="L19" s="1708"/>
      <c r="M19" s="1708"/>
      <c r="N19" s="821">
        <f t="shared" si="12"/>
        <v>0</v>
      </c>
      <c r="O19" s="207">
        <f>'A3-FinPerf V'!I19</f>
        <v>0</v>
      </c>
      <c r="P19" s="208">
        <f>'A3-FinPerf V'!J19</f>
        <v>0</v>
      </c>
      <c r="Q19" s="265">
        <f>'A3-FinPerf V'!K19</f>
        <v>0</v>
      </c>
      <c r="R19" s="373"/>
    </row>
    <row r="20" spans="1:18">
      <c r="A20" s="266" t="str">
        <f>'A3-FinPerf V'!A20</f>
        <v>Total Revenue by Vote</v>
      </c>
      <c r="B20" s="879"/>
      <c r="C20" s="216">
        <f t="shared" ref="C20:Q20" si="13">SUM(C5:C19)</f>
        <v>166959818.65000001</v>
      </c>
      <c r="D20" s="214">
        <f t="shared" si="13"/>
        <v>233743746.11000001</v>
      </c>
      <c r="E20" s="214">
        <f t="shared" si="13"/>
        <v>300527673.56999993</v>
      </c>
      <c r="F20" s="214">
        <f>SUM(F5:F19)</f>
        <v>367311601.02999997</v>
      </c>
      <c r="G20" s="214">
        <f t="shared" si="13"/>
        <v>434095528.49000001</v>
      </c>
      <c r="H20" s="214">
        <f t="shared" si="13"/>
        <v>333919637.30000001</v>
      </c>
      <c r="I20" s="214">
        <f t="shared" si="13"/>
        <v>300527673.56999993</v>
      </c>
      <c r="J20" s="214">
        <f t="shared" si="13"/>
        <v>400703564.75999999</v>
      </c>
      <c r="K20" s="214">
        <f t="shared" si="13"/>
        <v>267135709.84</v>
      </c>
      <c r="L20" s="214">
        <f t="shared" si="13"/>
        <v>233743746.11000001</v>
      </c>
      <c r="M20" s="214">
        <f t="shared" si="13"/>
        <v>166959818.65000001</v>
      </c>
      <c r="N20" s="880">
        <f t="shared" si="13"/>
        <v>133567854.92000015</v>
      </c>
      <c r="O20" s="217">
        <f t="shared" si="13"/>
        <v>3339196373</v>
      </c>
      <c r="P20" s="214">
        <f t="shared" si="13"/>
        <v>3551208162</v>
      </c>
      <c r="Q20" s="215">
        <f t="shared" si="13"/>
        <v>3711691028</v>
      </c>
      <c r="R20" s="373"/>
    </row>
    <row r="21" spans="1:18" ht="5.0999999999999996" customHeight="1">
      <c r="A21" s="274"/>
      <c r="B21" s="878"/>
      <c r="C21" s="206"/>
      <c r="D21" s="204"/>
      <c r="E21" s="204"/>
      <c r="F21" s="204"/>
      <c r="G21" s="204"/>
      <c r="H21" s="204"/>
      <c r="I21" s="204"/>
      <c r="J21" s="204"/>
      <c r="K21" s="204"/>
      <c r="L21" s="204"/>
      <c r="M21" s="204"/>
      <c r="N21" s="821"/>
      <c r="O21" s="207"/>
      <c r="P21" s="204"/>
      <c r="Q21" s="205"/>
      <c r="R21" s="373"/>
    </row>
    <row r="22" spans="1:18">
      <c r="A22" s="250" t="str">
        <f>'A3-FinPerf V'!A22</f>
        <v>Expenditure by Vote to be appropriated</v>
      </c>
      <c r="B22" s="881"/>
      <c r="C22" s="206"/>
      <c r="D22" s="204"/>
      <c r="E22" s="204"/>
      <c r="F22" s="204"/>
      <c r="G22" s="204"/>
      <c r="H22" s="204"/>
      <c r="I22" s="204"/>
      <c r="J22" s="204"/>
      <c r="K22" s="204"/>
      <c r="L22" s="204"/>
      <c r="M22" s="204"/>
      <c r="N22" s="821"/>
      <c r="O22" s="207"/>
      <c r="P22" s="204"/>
      <c r="Q22" s="205"/>
      <c r="R22" s="373"/>
    </row>
    <row r="23" spans="1:18" ht="11.25" customHeight="1">
      <c r="A23" s="251" t="str">
        <f t="shared" ref="A23:A31" si="14">A5</f>
        <v>Vote 1 - Corporate Services and Planning</v>
      </c>
      <c r="B23" s="878"/>
      <c r="C23" s="1731">
        <f>O23*0.05</f>
        <v>10685661.050000001</v>
      </c>
      <c r="D23" s="1708">
        <f>O23*0.07</f>
        <v>14959925.470000001</v>
      </c>
      <c r="E23" s="1708">
        <f>O23*0.09</f>
        <v>19234189.890000001</v>
      </c>
      <c r="F23" s="1708">
        <f>O23*0.11</f>
        <v>23508454.309999999</v>
      </c>
      <c r="G23" s="1708">
        <f>O23*0.13</f>
        <v>27782718.73</v>
      </c>
      <c r="H23" s="1708">
        <f>O23*0.1</f>
        <v>21371322.100000001</v>
      </c>
      <c r="I23" s="1708">
        <f>O23*0.09</f>
        <v>19234189.890000001</v>
      </c>
      <c r="J23" s="1708">
        <f>O23*0.12</f>
        <v>25645586.52</v>
      </c>
      <c r="K23" s="1708">
        <f>O23*0.08</f>
        <v>17097057.68</v>
      </c>
      <c r="L23" s="1708">
        <f>O23*0.07</f>
        <v>14959925.470000001</v>
      </c>
      <c r="M23" s="1708">
        <f>O23*0.05</f>
        <v>10685661.050000001</v>
      </c>
      <c r="N23" s="821">
        <f t="shared" ref="N23:N29" si="15">O23-SUM(C23:M23)</f>
        <v>8548528.8399999738</v>
      </c>
      <c r="O23" s="207">
        <f>'A3-FinPerf V'!I23</f>
        <v>213713221</v>
      </c>
      <c r="P23" s="204">
        <f>'A3-FinPerf V'!J23</f>
        <v>259102064</v>
      </c>
      <c r="Q23" s="205">
        <f>'A3-FinPerf V'!K23</f>
        <v>288090735</v>
      </c>
      <c r="R23" s="373"/>
    </row>
    <row r="24" spans="1:18" ht="11.25" customHeight="1">
      <c r="A24" s="251" t="str">
        <f t="shared" si="14"/>
        <v>Vote 2 - Financial Management Area</v>
      </c>
      <c r="B24" s="878"/>
      <c r="C24" s="1731">
        <f t="shared" ref="C24:C26" si="16">O24*0.05</f>
        <v>32872862.050000001</v>
      </c>
      <c r="D24" s="1708">
        <f t="shared" ref="D24:D26" si="17">O24*0.07</f>
        <v>46022006.870000005</v>
      </c>
      <c r="E24" s="1708">
        <f t="shared" ref="E24:E26" si="18">O24*0.09</f>
        <v>59171151.689999998</v>
      </c>
      <c r="F24" s="1708">
        <f t="shared" ref="F24:F26" si="19">O24*0.11</f>
        <v>72320296.510000005</v>
      </c>
      <c r="G24" s="1708">
        <f t="shared" ref="G24:G26" si="20">O24*0.13</f>
        <v>85469441.329999998</v>
      </c>
      <c r="H24" s="1708">
        <f t="shared" ref="H24:H26" si="21">O24*0.1</f>
        <v>65745724.100000001</v>
      </c>
      <c r="I24" s="1708">
        <f t="shared" ref="I24:I26" si="22">O24*0.09</f>
        <v>59171151.689999998</v>
      </c>
      <c r="J24" s="1708">
        <f t="shared" ref="J24:J26" si="23">O24*0.12</f>
        <v>78894868.920000002</v>
      </c>
      <c r="K24" s="1708">
        <f t="shared" ref="K24:K26" si="24">O24*0.08</f>
        <v>52596579.280000001</v>
      </c>
      <c r="L24" s="1708">
        <f t="shared" ref="L24:L26" si="25">O24*0.07</f>
        <v>46022006.870000005</v>
      </c>
      <c r="M24" s="1708">
        <f t="shared" ref="M24:M26" si="26">O24*0.05</f>
        <v>32872862.050000001</v>
      </c>
      <c r="N24" s="821">
        <f t="shared" si="15"/>
        <v>26298289.639999986</v>
      </c>
      <c r="O24" s="207">
        <f>'A3-FinPerf V'!I24</f>
        <v>657457241</v>
      </c>
      <c r="P24" s="204">
        <f>'A3-FinPerf V'!J24</f>
        <v>619802285</v>
      </c>
      <c r="Q24" s="205">
        <f>'A3-FinPerf V'!K24</f>
        <v>651636777</v>
      </c>
      <c r="R24" s="373"/>
    </row>
    <row r="25" spans="1:18" ht="11.25" customHeight="1">
      <c r="A25" s="251" t="str">
        <f t="shared" si="14"/>
        <v>Vote 3 - Infrastructure Development, Service Delivery and Maintenance Management</v>
      </c>
      <c r="B25" s="878"/>
      <c r="C25" s="1731">
        <f t="shared" si="16"/>
        <v>104003824.10000001</v>
      </c>
      <c r="D25" s="1708">
        <f t="shared" si="17"/>
        <v>145605353.74000001</v>
      </c>
      <c r="E25" s="1708">
        <f t="shared" si="18"/>
        <v>187206883.38</v>
      </c>
      <c r="F25" s="1708">
        <f t="shared" si="19"/>
        <v>228808413.02000001</v>
      </c>
      <c r="G25" s="1708">
        <f t="shared" si="20"/>
        <v>270409942.66000003</v>
      </c>
      <c r="H25" s="1708">
        <f t="shared" si="21"/>
        <v>208007648.20000002</v>
      </c>
      <c r="I25" s="1708">
        <f t="shared" si="22"/>
        <v>187206883.38</v>
      </c>
      <c r="J25" s="1708">
        <f t="shared" si="23"/>
        <v>249609177.84</v>
      </c>
      <c r="K25" s="1708">
        <f t="shared" si="24"/>
        <v>166406118.56</v>
      </c>
      <c r="L25" s="1708">
        <f t="shared" si="25"/>
        <v>145605353.74000001</v>
      </c>
      <c r="M25" s="1708">
        <f t="shared" si="26"/>
        <v>104003824.10000001</v>
      </c>
      <c r="N25" s="821">
        <f t="shared" si="15"/>
        <v>83203059.28000021</v>
      </c>
      <c r="O25" s="207">
        <f>'A3-FinPerf V'!I25</f>
        <v>2080076482</v>
      </c>
      <c r="P25" s="204">
        <f>'A3-FinPerf V'!J25</f>
        <v>2235178934</v>
      </c>
      <c r="Q25" s="205">
        <f>'A3-FinPerf V'!K25</f>
        <v>2297658315</v>
      </c>
      <c r="R25" s="373"/>
    </row>
    <row r="26" spans="1:18" ht="11.25" customHeight="1">
      <c r="A26" s="251" t="str">
        <f t="shared" si="14"/>
        <v>Vote 4 - Sustainable Community Service Delivery Provision Management</v>
      </c>
      <c r="B26" s="878"/>
      <c r="C26" s="1731">
        <f t="shared" si="16"/>
        <v>19392971.449999999</v>
      </c>
      <c r="D26" s="1708">
        <f t="shared" si="17"/>
        <v>27150160.030000001</v>
      </c>
      <c r="E26" s="1708">
        <f t="shared" si="18"/>
        <v>34907348.609999999</v>
      </c>
      <c r="F26" s="1708">
        <f t="shared" si="19"/>
        <v>42664537.189999998</v>
      </c>
      <c r="G26" s="1708">
        <f t="shared" si="20"/>
        <v>50421725.770000003</v>
      </c>
      <c r="H26" s="1708">
        <f t="shared" si="21"/>
        <v>38785942.899999999</v>
      </c>
      <c r="I26" s="1708">
        <f t="shared" si="22"/>
        <v>34907348.609999999</v>
      </c>
      <c r="J26" s="1708">
        <f t="shared" si="23"/>
        <v>46543131.479999997</v>
      </c>
      <c r="K26" s="1708">
        <f t="shared" si="24"/>
        <v>31028754.32</v>
      </c>
      <c r="L26" s="1708">
        <f t="shared" si="25"/>
        <v>27150160.030000001</v>
      </c>
      <c r="M26" s="1708">
        <f t="shared" si="26"/>
        <v>19392971.449999999</v>
      </c>
      <c r="N26" s="821">
        <f t="shared" si="15"/>
        <v>15514377.160000026</v>
      </c>
      <c r="O26" s="207">
        <f>'A3-FinPerf V'!I26</f>
        <v>387859429</v>
      </c>
      <c r="P26" s="204">
        <f>'A3-FinPerf V'!J26</f>
        <v>437024878</v>
      </c>
      <c r="Q26" s="205">
        <f>'A3-FinPerf V'!K26</f>
        <v>474195201</v>
      </c>
      <c r="R26" s="373"/>
    </row>
    <row r="27" spans="1:18" ht="11.25" customHeight="1">
      <c r="A27" s="251" t="str">
        <f t="shared" si="14"/>
        <v>Example 5 - Vote5</v>
      </c>
      <c r="B27" s="878"/>
      <c r="C27" s="1731"/>
      <c r="D27" s="1708"/>
      <c r="E27" s="1708"/>
      <c r="F27" s="1708"/>
      <c r="G27" s="1708"/>
      <c r="H27" s="1708"/>
      <c r="I27" s="1708"/>
      <c r="J27" s="1708"/>
      <c r="K27" s="1708"/>
      <c r="L27" s="1708"/>
      <c r="M27" s="1708"/>
      <c r="N27" s="821">
        <f t="shared" si="15"/>
        <v>0</v>
      </c>
      <c r="O27" s="207">
        <f>'A3-FinPerf V'!I27</f>
        <v>0</v>
      </c>
      <c r="P27" s="204">
        <f>'A3-FinPerf V'!J27</f>
        <v>0</v>
      </c>
      <c r="Q27" s="205">
        <f>'A3-FinPerf V'!K27</f>
        <v>0</v>
      </c>
      <c r="R27" s="373"/>
    </row>
    <row r="28" spans="1:18" ht="11.25" customHeight="1">
      <c r="A28" s="251" t="str">
        <f t="shared" si="14"/>
        <v>Example 6 - Vote6</v>
      </c>
      <c r="B28" s="878"/>
      <c r="C28" s="1731"/>
      <c r="D28" s="1708"/>
      <c r="E28" s="1708"/>
      <c r="F28" s="1708"/>
      <c r="G28" s="1708"/>
      <c r="H28" s="1708"/>
      <c r="I28" s="1708"/>
      <c r="J28" s="1708"/>
      <c r="K28" s="1708"/>
      <c r="L28" s="1708"/>
      <c r="M28" s="1708"/>
      <c r="N28" s="821">
        <f t="shared" si="15"/>
        <v>0</v>
      </c>
      <c r="O28" s="207">
        <f>'A3-FinPerf V'!I28</f>
        <v>0</v>
      </c>
      <c r="P28" s="204">
        <f>'A3-FinPerf V'!J28</f>
        <v>0</v>
      </c>
      <c r="Q28" s="205">
        <f>'A3-FinPerf V'!K28</f>
        <v>0</v>
      </c>
      <c r="R28" s="373"/>
    </row>
    <row r="29" spans="1:18" ht="11.25" customHeight="1">
      <c r="A29" s="251" t="str">
        <f t="shared" si="14"/>
        <v>Example 7 - Vote7</v>
      </c>
      <c r="B29" s="878"/>
      <c r="C29" s="1731"/>
      <c r="D29" s="1708"/>
      <c r="E29" s="1708"/>
      <c r="F29" s="1708"/>
      <c r="G29" s="1708"/>
      <c r="H29" s="1708"/>
      <c r="I29" s="1708"/>
      <c r="J29" s="1708"/>
      <c r="K29" s="1708"/>
      <c r="L29" s="1708"/>
      <c r="M29" s="1708"/>
      <c r="N29" s="821">
        <f t="shared" si="15"/>
        <v>0</v>
      </c>
      <c r="O29" s="207">
        <f>'A3-FinPerf V'!I29</f>
        <v>0</v>
      </c>
      <c r="P29" s="204">
        <f>'A3-FinPerf V'!J29</f>
        <v>0</v>
      </c>
      <c r="Q29" s="205">
        <f>'A3-FinPerf V'!K29</f>
        <v>0</v>
      </c>
      <c r="R29" s="373"/>
    </row>
    <row r="30" spans="1:18" ht="11.25" customHeight="1">
      <c r="A30" s="251" t="str">
        <f t="shared" si="14"/>
        <v>Example 8 - Vote8</v>
      </c>
      <c r="B30" s="878"/>
      <c r="C30" s="1731"/>
      <c r="D30" s="1708"/>
      <c r="E30" s="1708"/>
      <c r="F30" s="1708"/>
      <c r="G30" s="1708"/>
      <c r="H30" s="1708"/>
      <c r="I30" s="1708"/>
      <c r="J30" s="1708"/>
      <c r="K30" s="1708"/>
      <c r="L30" s="1708"/>
      <c r="M30" s="1708"/>
      <c r="N30" s="821">
        <f>O30-SUM(C30:M30)</f>
        <v>0</v>
      </c>
      <c r="O30" s="207">
        <f>'A3-FinPerf V'!I30</f>
        <v>0</v>
      </c>
      <c r="P30" s="204">
        <f>'A3-FinPerf V'!J30</f>
        <v>0</v>
      </c>
      <c r="Q30" s="205">
        <f>'A3-FinPerf V'!K30</f>
        <v>0</v>
      </c>
      <c r="R30" s="373"/>
    </row>
    <row r="31" spans="1:18" ht="11.25" customHeight="1">
      <c r="A31" s="251" t="str">
        <f t="shared" si="14"/>
        <v>Example 9 - Vote9</v>
      </c>
      <c r="B31" s="878"/>
      <c r="C31" s="1731"/>
      <c r="D31" s="1708"/>
      <c r="E31" s="1708"/>
      <c r="F31" s="1708"/>
      <c r="G31" s="1708"/>
      <c r="H31" s="1708"/>
      <c r="I31" s="1708"/>
      <c r="J31" s="1708"/>
      <c r="K31" s="1708"/>
      <c r="L31" s="1708"/>
      <c r="M31" s="1708"/>
      <c r="N31" s="821">
        <f>O31-SUM(C31:M31)</f>
        <v>0</v>
      </c>
      <c r="O31" s="207">
        <f>'A3-FinPerf V'!I31</f>
        <v>0</v>
      </c>
      <c r="P31" s="204">
        <f>'A3-FinPerf V'!J31</f>
        <v>0</v>
      </c>
      <c r="Q31" s="205">
        <f>'A3-FinPerf V'!K31</f>
        <v>0</v>
      </c>
      <c r="R31" s="373"/>
    </row>
    <row r="32" spans="1:18" ht="11.25" customHeight="1">
      <c r="A32" s="251" t="str">
        <f t="shared" ref="A32:A37" si="27">A14</f>
        <v>Example 10 - Vote10</v>
      </c>
      <c r="B32" s="878"/>
      <c r="C32" s="1731"/>
      <c r="D32" s="1708"/>
      <c r="E32" s="1708"/>
      <c r="F32" s="1708"/>
      <c r="G32" s="1708"/>
      <c r="H32" s="1708"/>
      <c r="I32" s="1708"/>
      <c r="J32" s="1708"/>
      <c r="K32" s="1708"/>
      <c r="L32" s="1708"/>
      <c r="M32" s="1708"/>
      <c r="N32" s="821">
        <f t="shared" ref="N32:N37" si="28">O32-SUM(C32:M32)</f>
        <v>0</v>
      </c>
      <c r="O32" s="207">
        <f>'A3-FinPerf V'!I32</f>
        <v>0</v>
      </c>
      <c r="P32" s="204">
        <f>'A3-FinPerf V'!J32</f>
        <v>0</v>
      </c>
      <c r="Q32" s="205">
        <f>'A3-FinPerf V'!K32</f>
        <v>0</v>
      </c>
      <c r="R32" s="373"/>
    </row>
    <row r="33" spans="1:18" ht="11.25" customHeight="1">
      <c r="A33" s="251" t="str">
        <f t="shared" si="27"/>
        <v>Example 11 - Vote11</v>
      </c>
      <c r="B33" s="878"/>
      <c r="C33" s="1731"/>
      <c r="D33" s="1708"/>
      <c r="E33" s="1708"/>
      <c r="F33" s="1708"/>
      <c r="G33" s="1708"/>
      <c r="H33" s="1708"/>
      <c r="I33" s="1708"/>
      <c r="J33" s="1708"/>
      <c r="K33" s="1708"/>
      <c r="L33" s="1708"/>
      <c r="M33" s="1708"/>
      <c r="N33" s="821">
        <f t="shared" si="28"/>
        <v>0</v>
      </c>
      <c r="O33" s="207">
        <f>'A3-FinPerf V'!I33</f>
        <v>0</v>
      </c>
      <c r="P33" s="204">
        <f>'A3-FinPerf V'!J33</f>
        <v>0</v>
      </c>
      <c r="Q33" s="205">
        <f>'A3-FinPerf V'!K33</f>
        <v>0</v>
      </c>
      <c r="R33" s="373"/>
    </row>
    <row r="34" spans="1:18" ht="11.25" customHeight="1">
      <c r="A34" s="251" t="str">
        <f t="shared" si="27"/>
        <v>Example 12 - Vote12</v>
      </c>
      <c r="B34" s="878"/>
      <c r="C34" s="1731"/>
      <c r="D34" s="1708"/>
      <c r="E34" s="1708"/>
      <c r="F34" s="1708"/>
      <c r="G34" s="1708"/>
      <c r="H34" s="1708"/>
      <c r="I34" s="1708"/>
      <c r="J34" s="1708"/>
      <c r="K34" s="1708"/>
      <c r="L34" s="1708"/>
      <c r="M34" s="1708"/>
      <c r="N34" s="821">
        <f t="shared" si="28"/>
        <v>0</v>
      </c>
      <c r="O34" s="207">
        <f>'A3-FinPerf V'!I34</f>
        <v>0</v>
      </c>
      <c r="P34" s="204">
        <f>'A3-FinPerf V'!J34</f>
        <v>0</v>
      </c>
      <c r="Q34" s="205">
        <f>'A3-FinPerf V'!K34</f>
        <v>0</v>
      </c>
      <c r="R34" s="373"/>
    </row>
    <row r="35" spans="1:18" ht="11.25" customHeight="1">
      <c r="A35" s="251" t="str">
        <f t="shared" si="27"/>
        <v>Example 13 - Vote13</v>
      </c>
      <c r="B35" s="878"/>
      <c r="C35" s="1731"/>
      <c r="D35" s="1708"/>
      <c r="E35" s="1708"/>
      <c r="F35" s="1708"/>
      <c r="G35" s="1708"/>
      <c r="H35" s="1708"/>
      <c r="I35" s="1708"/>
      <c r="J35" s="1708"/>
      <c r="K35" s="1708"/>
      <c r="L35" s="1708"/>
      <c r="M35" s="1708"/>
      <c r="N35" s="821">
        <f t="shared" si="28"/>
        <v>0</v>
      </c>
      <c r="O35" s="207">
        <f>'A3-FinPerf V'!I35</f>
        <v>0</v>
      </c>
      <c r="P35" s="204">
        <f>'A3-FinPerf V'!J35</f>
        <v>0</v>
      </c>
      <c r="Q35" s="205">
        <f>'A3-FinPerf V'!K35</f>
        <v>0</v>
      </c>
      <c r="R35" s="373"/>
    </row>
    <row r="36" spans="1:18" ht="11.25" customHeight="1">
      <c r="A36" s="251" t="str">
        <f t="shared" si="27"/>
        <v>Example 14 - Vote14</v>
      </c>
      <c r="B36" s="878"/>
      <c r="C36" s="1731"/>
      <c r="D36" s="1708"/>
      <c r="E36" s="1708"/>
      <c r="F36" s="1708"/>
      <c r="G36" s="1708"/>
      <c r="H36" s="1708"/>
      <c r="I36" s="1708"/>
      <c r="J36" s="1708"/>
      <c r="K36" s="1708"/>
      <c r="L36" s="1708"/>
      <c r="M36" s="1708"/>
      <c r="N36" s="821">
        <f t="shared" si="28"/>
        <v>0</v>
      </c>
      <c r="O36" s="207">
        <f>'A3-FinPerf V'!I36</f>
        <v>0</v>
      </c>
      <c r="P36" s="204">
        <f>'A3-FinPerf V'!J36</f>
        <v>0</v>
      </c>
      <c r="Q36" s="205">
        <f>'A3-FinPerf V'!K36</f>
        <v>0</v>
      </c>
      <c r="R36" s="373"/>
    </row>
    <row r="37" spans="1:18" ht="11.25" customHeight="1">
      <c r="A37" s="251" t="str">
        <f t="shared" si="27"/>
        <v>Example 15 - Vote15</v>
      </c>
      <c r="B37" s="878"/>
      <c r="C37" s="1731"/>
      <c r="D37" s="1708"/>
      <c r="E37" s="1708"/>
      <c r="F37" s="1708"/>
      <c r="G37" s="1708"/>
      <c r="H37" s="1708"/>
      <c r="I37" s="1708"/>
      <c r="J37" s="1708"/>
      <c r="K37" s="1708"/>
      <c r="L37" s="1708"/>
      <c r="M37" s="1708"/>
      <c r="N37" s="821">
        <f t="shared" si="28"/>
        <v>0</v>
      </c>
      <c r="O37" s="207">
        <f>'A3-FinPerf V'!I37</f>
        <v>0</v>
      </c>
      <c r="P37" s="204">
        <f>'A3-FinPerf V'!J37</f>
        <v>0</v>
      </c>
      <c r="Q37" s="205">
        <f>'A3-FinPerf V'!K37</f>
        <v>0</v>
      </c>
      <c r="R37" s="373"/>
    </row>
    <row r="38" spans="1:18">
      <c r="A38" s="266" t="str">
        <f>'A3-FinPerf V'!A38</f>
        <v>Total Expenditure by Vote</v>
      </c>
      <c r="B38" s="879"/>
      <c r="C38" s="216">
        <f>SUM(C23:C37)</f>
        <v>166955318.65000001</v>
      </c>
      <c r="D38" s="214">
        <f t="shared" ref="D38:N38" si="29">SUM(D23:D37)</f>
        <v>233737446.11000001</v>
      </c>
      <c r="E38" s="214">
        <f t="shared" si="29"/>
        <v>300519573.56999999</v>
      </c>
      <c r="F38" s="214">
        <f t="shared" si="29"/>
        <v>367301701.03000003</v>
      </c>
      <c r="G38" s="214">
        <f t="shared" si="29"/>
        <v>434083828.49000001</v>
      </c>
      <c r="H38" s="214">
        <f t="shared" si="29"/>
        <v>333910637.30000001</v>
      </c>
      <c r="I38" s="214">
        <f t="shared" si="29"/>
        <v>300519573.56999999</v>
      </c>
      <c r="J38" s="214">
        <f t="shared" si="29"/>
        <v>400692764.75999999</v>
      </c>
      <c r="K38" s="214">
        <f t="shared" si="29"/>
        <v>267128509.84</v>
      </c>
      <c r="L38" s="214">
        <f t="shared" si="29"/>
        <v>233737446.11000001</v>
      </c>
      <c r="M38" s="214">
        <f t="shared" si="29"/>
        <v>166955318.65000001</v>
      </c>
      <c r="N38" s="880">
        <f t="shared" si="29"/>
        <v>133564254.9200002</v>
      </c>
      <c r="O38" s="217">
        <f>SUM(O23:O37)</f>
        <v>3339106373</v>
      </c>
      <c r="P38" s="214">
        <f>SUM(P23:P37)</f>
        <v>3551108161</v>
      </c>
      <c r="Q38" s="215">
        <f>SUM(Q23:Q37)</f>
        <v>3711581028</v>
      </c>
      <c r="R38" s="373"/>
    </row>
    <row r="39" spans="1:18" ht="5.0999999999999996" customHeight="1">
      <c r="A39" s="274"/>
      <c r="B39" s="878"/>
      <c r="C39" s="206"/>
      <c r="D39" s="204"/>
      <c r="E39" s="204"/>
      <c r="F39" s="204"/>
      <c r="G39" s="204"/>
      <c r="H39" s="204"/>
      <c r="I39" s="204"/>
      <c r="J39" s="204"/>
      <c r="K39" s="204"/>
      <c r="L39" s="204"/>
      <c r="M39" s="204"/>
      <c r="N39" s="821"/>
      <c r="O39" s="207"/>
      <c r="P39" s="204"/>
      <c r="Q39" s="205"/>
      <c r="R39" s="373"/>
    </row>
    <row r="40" spans="1:18">
      <c r="A40" s="882" t="str">
        <f>'A4-FinPerf RE'!A38&amp;" before assoc."</f>
        <v>Surplus/(Deficit) before assoc.</v>
      </c>
      <c r="B40" s="883"/>
      <c r="C40" s="216">
        <f t="shared" ref="C40:Q40" si="30">C20-C38</f>
        <v>4500</v>
      </c>
      <c r="D40" s="214">
        <f t="shared" si="30"/>
        <v>6300</v>
      </c>
      <c r="E40" s="214">
        <f t="shared" si="30"/>
        <v>8099.9999999403954</v>
      </c>
      <c r="F40" s="214">
        <f t="shared" si="30"/>
        <v>9899.9999999403954</v>
      </c>
      <c r="G40" s="214">
        <f t="shared" si="30"/>
        <v>11700</v>
      </c>
      <c r="H40" s="214">
        <f t="shared" si="30"/>
        <v>9000</v>
      </c>
      <c r="I40" s="214">
        <f t="shared" si="30"/>
        <v>8099.9999999403954</v>
      </c>
      <c r="J40" s="214">
        <f t="shared" si="30"/>
        <v>10800</v>
      </c>
      <c r="K40" s="214">
        <f t="shared" si="30"/>
        <v>7200</v>
      </c>
      <c r="L40" s="214">
        <f t="shared" si="30"/>
        <v>6300</v>
      </c>
      <c r="M40" s="214">
        <f t="shared" si="30"/>
        <v>4500</v>
      </c>
      <c r="N40" s="880">
        <f t="shared" si="30"/>
        <v>3599.9999999552965</v>
      </c>
      <c r="O40" s="217">
        <f t="shared" si="30"/>
        <v>90000</v>
      </c>
      <c r="P40" s="214">
        <f t="shared" si="30"/>
        <v>100001</v>
      </c>
      <c r="Q40" s="215">
        <f t="shared" si="30"/>
        <v>110000</v>
      </c>
    </row>
    <row r="41" spans="1:18" ht="5.0999999999999996" customHeight="1">
      <c r="A41" s="274"/>
      <c r="B41" s="878"/>
      <c r="C41" s="206"/>
      <c r="D41" s="204"/>
      <c r="E41" s="204"/>
      <c r="F41" s="204"/>
      <c r="G41" s="204"/>
      <c r="H41" s="204"/>
      <c r="I41" s="204"/>
      <c r="J41" s="204"/>
      <c r="K41" s="204"/>
      <c r="L41" s="204"/>
      <c r="M41" s="204"/>
      <c r="N41" s="821"/>
      <c r="O41" s="207"/>
      <c r="P41" s="204"/>
      <c r="Q41" s="205"/>
    </row>
    <row r="42" spans="1:18" ht="11.25" customHeight="1">
      <c r="A42" s="251" t="str">
        <f>'SA25'!A43</f>
        <v>Taxation</v>
      </c>
      <c r="B42" s="878"/>
      <c r="C42" s="1731"/>
      <c r="D42" s="1708"/>
      <c r="E42" s="1708"/>
      <c r="F42" s="1708"/>
      <c r="G42" s="1708"/>
      <c r="H42" s="1708"/>
      <c r="I42" s="1708"/>
      <c r="J42" s="1708"/>
      <c r="K42" s="1708"/>
      <c r="L42" s="1708"/>
      <c r="M42" s="1708"/>
      <c r="N42" s="821">
        <f>O42-SUM(C42:M42)</f>
        <v>0</v>
      </c>
      <c r="O42" s="207">
        <f>'SA25'!O43</f>
        <v>0</v>
      </c>
      <c r="P42" s="204">
        <f>'SA25'!P43</f>
        <v>0</v>
      </c>
      <c r="Q42" s="205">
        <f>'SA25'!Q43</f>
        <v>0</v>
      </c>
    </row>
    <row r="43" spans="1:18" ht="11.25" customHeight="1">
      <c r="A43" s="251" t="str">
        <f>'SA25'!A44</f>
        <v>Attributable to minorities</v>
      </c>
      <c r="B43" s="878"/>
      <c r="C43" s="1731"/>
      <c r="D43" s="1708"/>
      <c r="E43" s="1708"/>
      <c r="F43" s="1708"/>
      <c r="G43" s="1708"/>
      <c r="H43" s="1708"/>
      <c r="I43" s="1708"/>
      <c r="J43" s="1708"/>
      <c r="K43" s="1708"/>
      <c r="L43" s="1708"/>
      <c r="M43" s="1708"/>
      <c r="N43" s="821">
        <f>O43-SUM(C43:M43)</f>
        <v>0</v>
      </c>
      <c r="O43" s="207">
        <f>'SA25'!O44</f>
        <v>0</v>
      </c>
      <c r="P43" s="204">
        <f>'SA25'!P44</f>
        <v>0</v>
      </c>
      <c r="Q43" s="205">
        <f>'SA25'!Q44</f>
        <v>0</v>
      </c>
    </row>
    <row r="44" spans="1:18">
      <c r="A44" s="536" t="str">
        <f>'A4-FinPerf RE'!A47</f>
        <v>Share of surplus/ (deficit) of associate</v>
      </c>
      <c r="B44" s="890"/>
      <c r="C44" s="1731"/>
      <c r="D44" s="1708"/>
      <c r="E44" s="1708"/>
      <c r="F44" s="1708"/>
      <c r="G44" s="1708"/>
      <c r="H44" s="1708"/>
      <c r="I44" s="1708"/>
      <c r="J44" s="1708"/>
      <c r="K44" s="1708"/>
      <c r="L44" s="1708"/>
      <c r="M44" s="1708"/>
      <c r="N44" s="821">
        <f>O44-SUM(C44:M44)</f>
        <v>0</v>
      </c>
      <c r="O44" s="207">
        <f>'A4-FinPerf RE'!J47</f>
        <v>0</v>
      </c>
      <c r="P44" s="204">
        <f>'A4-FinPerf RE'!K47</f>
        <v>0</v>
      </c>
      <c r="Q44" s="205">
        <f>'A4-FinPerf RE'!L47</f>
        <v>0</v>
      </c>
    </row>
    <row r="45" spans="1:18">
      <c r="A45" s="863" t="str">
        <f>'A4-FinPerf RE'!A38</f>
        <v>Surplus/(Deficit)</v>
      </c>
      <c r="B45" s="891">
        <v>1</v>
      </c>
      <c r="C45" s="355">
        <f>C40+C44</f>
        <v>4500</v>
      </c>
      <c r="D45" s="228">
        <f t="shared" ref="D45:Q45" si="31">D40+D44</f>
        <v>6300</v>
      </c>
      <c r="E45" s="228">
        <f t="shared" si="31"/>
        <v>8099.9999999403954</v>
      </c>
      <c r="F45" s="228">
        <f t="shared" si="31"/>
        <v>9899.9999999403954</v>
      </c>
      <c r="G45" s="228">
        <f t="shared" si="31"/>
        <v>11700</v>
      </c>
      <c r="H45" s="228">
        <f t="shared" si="31"/>
        <v>9000</v>
      </c>
      <c r="I45" s="228">
        <f t="shared" si="31"/>
        <v>8099.9999999403954</v>
      </c>
      <c r="J45" s="228">
        <f t="shared" si="31"/>
        <v>10800</v>
      </c>
      <c r="K45" s="228">
        <f t="shared" si="31"/>
        <v>7200</v>
      </c>
      <c r="L45" s="228">
        <f t="shared" si="31"/>
        <v>6300</v>
      </c>
      <c r="M45" s="228">
        <f t="shared" si="31"/>
        <v>4500</v>
      </c>
      <c r="N45" s="833">
        <f t="shared" si="31"/>
        <v>3599.9999999552965</v>
      </c>
      <c r="O45" s="356">
        <f t="shared" si="31"/>
        <v>90000</v>
      </c>
      <c r="P45" s="228">
        <f t="shared" si="31"/>
        <v>100001</v>
      </c>
      <c r="Q45" s="354">
        <f t="shared" si="31"/>
        <v>110000</v>
      </c>
    </row>
    <row r="46" spans="1:18" s="722" customFormat="1">
      <c r="A46" s="1464" t="str">
        <f>head27a</f>
        <v>References</v>
      </c>
      <c r="B46" s="1112"/>
      <c r="C46" s="1067"/>
      <c r="D46" s="1067"/>
      <c r="E46" s="1067"/>
      <c r="F46" s="1067"/>
      <c r="G46" s="1067"/>
      <c r="H46" s="1067"/>
      <c r="I46" s="1067"/>
      <c r="J46" s="1067"/>
      <c r="K46" s="1067"/>
      <c r="L46" s="1067"/>
      <c r="M46" s="1067"/>
      <c r="N46" s="1067"/>
      <c r="O46" s="1067"/>
      <c r="P46" s="1067"/>
      <c r="Q46" s="1067"/>
    </row>
    <row r="47" spans="1:18" s="722" customFormat="1">
      <c r="A47" s="1462" t="s">
        <v>1756</v>
      </c>
    </row>
    <row r="48" spans="1:18">
      <c r="A48" s="440" t="s">
        <v>1661</v>
      </c>
      <c r="B48" s="440"/>
      <c r="O48" s="893">
        <f>O45-'A4-FinPerf RE'!J48</f>
        <v>-411313236</v>
      </c>
      <c r="P48" s="893">
        <f>P45-'A4-FinPerf RE'!K48</f>
        <v>-310819115.44300032</v>
      </c>
      <c r="Q48" s="893">
        <f>Q45-'A4-FinPerf RE'!L48</f>
        <v>-214214923.18236494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workbookViewId="0">
      <pane xSplit="2" ySplit="3" topLeftCell="C32" activePane="bottomRight" state="frozen"/>
      <selection activeCell="O37" sqref="A1:IV65536"/>
      <selection pane="topRight" activeCell="O37" sqref="A1:IV65536"/>
      <selection pane="bottomLeft" activeCell="O37" sqref="A1:IV65536"/>
      <selection pane="bottomRight" activeCell="M43" activeCellId="6" sqref="M10:M14 M16:M17 M20:M24 M29:M31 M33:M37 M39:M40 M43:M47"/>
    </sheetView>
  </sheetViews>
  <sheetFormatPr defaultRowHeight="12.75"/>
  <cols>
    <col min="1" max="1" width="30.7109375" style="150" customWidth="1"/>
    <col min="2" max="2" width="3" style="248" customWidth="1"/>
    <col min="3" max="14" width="8.28515625" style="150" customWidth="1"/>
    <col min="15" max="17" width="9.28515625" style="150" customWidth="1"/>
    <col min="18" max="16384" width="9.140625" style="150"/>
  </cols>
  <sheetData>
    <row r="1" spans="1:18" ht="13.5" customHeight="1">
      <c r="A1" s="148" t="str">
        <f>muni&amp;" - "&amp;TableA27</f>
        <v>KZN225 Msunduzi - Supporting Table SA27 Budgeted monthly revenue and expenditure (standard classification)</v>
      </c>
      <c r="B1" s="148"/>
      <c r="C1" s="148"/>
      <c r="D1" s="148"/>
      <c r="E1" s="148"/>
      <c r="F1" s="148"/>
      <c r="G1" s="148"/>
      <c r="H1" s="148"/>
      <c r="I1" s="148"/>
      <c r="J1" s="148"/>
      <c r="K1" s="148"/>
      <c r="L1" s="148"/>
      <c r="M1" s="148"/>
      <c r="N1" s="148"/>
      <c r="O1" s="148"/>
      <c r="P1" s="148"/>
      <c r="Q1" s="148"/>
    </row>
    <row r="2" spans="1:18" ht="28.5" customHeight="1">
      <c r="A2" s="1011" t="str">
        <f>desc</f>
        <v>Description</v>
      </c>
      <c r="B2" s="1023" t="str">
        <f>head27</f>
        <v>Ref</v>
      </c>
      <c r="C2" s="2415" t="str">
        <f>Head9</f>
        <v>Budget Year 2011/12</v>
      </c>
      <c r="D2" s="2416"/>
      <c r="E2" s="2416"/>
      <c r="F2" s="2416"/>
      <c r="G2" s="2416"/>
      <c r="H2" s="2416"/>
      <c r="I2" s="2416"/>
      <c r="J2" s="2416"/>
      <c r="K2" s="2416"/>
      <c r="L2" s="2416"/>
      <c r="M2" s="2416"/>
      <c r="N2" s="2416"/>
      <c r="O2" s="2412" t="s">
        <v>1961</v>
      </c>
      <c r="P2" s="2413"/>
      <c r="Q2" s="2414"/>
    </row>
    <row r="3" spans="1:18" ht="25.5">
      <c r="A3" s="1018" t="s">
        <v>703</v>
      </c>
      <c r="B3" s="1024"/>
      <c r="C3" s="300" t="s">
        <v>765</v>
      </c>
      <c r="D3" s="942" t="s">
        <v>1543</v>
      </c>
      <c r="E3" s="942" t="s">
        <v>1544</v>
      </c>
      <c r="F3" s="942" t="s">
        <v>1545</v>
      </c>
      <c r="G3" s="942" t="s">
        <v>745</v>
      </c>
      <c r="H3" s="942" t="s">
        <v>746</v>
      </c>
      <c r="I3" s="942" t="s">
        <v>747</v>
      </c>
      <c r="J3" s="942" t="s">
        <v>748</v>
      </c>
      <c r="K3" s="942" t="s">
        <v>749</v>
      </c>
      <c r="L3" s="942" t="s">
        <v>750</v>
      </c>
      <c r="M3" s="942" t="s">
        <v>751</v>
      </c>
      <c r="N3" s="394" t="s">
        <v>752</v>
      </c>
      <c r="O3" s="300" t="str">
        <f>Head9</f>
        <v>Budget Year 2011/12</v>
      </c>
      <c r="P3" s="393" t="str">
        <f>Head10</f>
        <v>Budget Year +1 2012/13</v>
      </c>
      <c r="Q3" s="394" t="str">
        <f>Head11</f>
        <v>Budget Year +2 2013/14</v>
      </c>
    </row>
    <row r="4" spans="1:18">
      <c r="A4" s="250" t="str">
        <f>'A2-FinPerf SC'!A4</f>
        <v>Revenue - Standard</v>
      </c>
      <c r="B4" s="881"/>
      <c r="C4" s="318"/>
      <c r="D4" s="316"/>
      <c r="E4" s="316"/>
      <c r="F4" s="316"/>
      <c r="G4" s="316"/>
      <c r="H4" s="316"/>
      <c r="I4" s="316"/>
      <c r="J4" s="316"/>
      <c r="K4" s="316"/>
      <c r="L4" s="316"/>
      <c r="M4" s="316"/>
      <c r="N4" s="319"/>
      <c r="O4" s="318"/>
      <c r="P4" s="316"/>
      <c r="Q4" s="319"/>
      <c r="R4" s="373"/>
    </row>
    <row r="5" spans="1:18" ht="11.25" customHeight="1">
      <c r="A5" s="1314" t="str">
        <f>'A2-FinPerf SC'!A5</f>
        <v>Governance and administration</v>
      </c>
      <c r="B5" s="878"/>
      <c r="C5" s="1170">
        <f>SUM(C6:C8)</f>
        <v>49204491.600000009</v>
      </c>
      <c r="D5" s="1168">
        <f>SUM(D6:D8)</f>
        <v>68886288.24000001</v>
      </c>
      <c r="E5" s="1168">
        <f t="shared" ref="E5:M5" si="0">SUM(E6:E8)</f>
        <v>88568084.88000001</v>
      </c>
      <c r="F5" s="1168">
        <f t="shared" si="0"/>
        <v>108249881.52</v>
      </c>
      <c r="G5" s="1168">
        <f t="shared" si="0"/>
        <v>127931678.16000001</v>
      </c>
      <c r="H5" s="1168">
        <f t="shared" si="0"/>
        <v>98408983.200000018</v>
      </c>
      <c r="I5" s="1168">
        <f t="shared" si="0"/>
        <v>88568084.88000001</v>
      </c>
      <c r="J5" s="1168">
        <f t="shared" si="0"/>
        <v>118090779.83999999</v>
      </c>
      <c r="K5" s="1168">
        <f t="shared" si="0"/>
        <v>78727186.560000002</v>
      </c>
      <c r="L5" s="1168">
        <f t="shared" si="0"/>
        <v>68886288.24000001</v>
      </c>
      <c r="M5" s="1168">
        <f t="shared" si="0"/>
        <v>49204491.600000009</v>
      </c>
      <c r="N5" s="220">
        <f>O5-SUM(C5:M5)</f>
        <v>39363593.279999852</v>
      </c>
      <c r="O5" s="221">
        <f>'A2-FinPerf SC'!I5</f>
        <v>984089832</v>
      </c>
      <c r="P5" s="219">
        <f>'A2-FinPerf SC'!J5</f>
        <v>1033784987</v>
      </c>
      <c r="Q5" s="220">
        <f>'A2-FinPerf SC'!K5</f>
        <v>1090316667</v>
      </c>
      <c r="R5" s="373"/>
    </row>
    <row r="6" spans="1:18" ht="11.25" customHeight="1">
      <c r="A6" s="1315" t="str">
        <f>'A2-FinPerf SC'!A6</f>
        <v>Executive and council</v>
      </c>
      <c r="B6" s="878"/>
      <c r="C6" s="1731">
        <f>O6*0.05</f>
        <v>15203.85</v>
      </c>
      <c r="D6" s="1708">
        <f>O6*0.07</f>
        <v>21285.390000000003</v>
      </c>
      <c r="E6" s="1708">
        <f>O6*0.09</f>
        <v>27366.93</v>
      </c>
      <c r="F6" s="1708">
        <f>O6*0.11</f>
        <v>33448.47</v>
      </c>
      <c r="G6" s="1708">
        <f>O6*0.13</f>
        <v>39530.01</v>
      </c>
      <c r="H6" s="1708">
        <f>O6*0.1</f>
        <v>30407.7</v>
      </c>
      <c r="I6" s="1708">
        <f>O6*0.09</f>
        <v>27366.93</v>
      </c>
      <c r="J6" s="1708">
        <f>O6*0.12</f>
        <v>36489.24</v>
      </c>
      <c r="K6" s="1708">
        <f>O6*0.08</f>
        <v>24326.16</v>
      </c>
      <c r="L6" s="1708">
        <f>O6*0.07</f>
        <v>21285.390000000003</v>
      </c>
      <c r="M6" s="1708">
        <f>O6*0.05</f>
        <v>15203.85</v>
      </c>
      <c r="N6" s="205">
        <f t="shared" ref="N6:N24" si="1">O6-SUM(C6:M6)</f>
        <v>12163.080000000016</v>
      </c>
      <c r="O6" s="206">
        <f>'A2-FinPerf SC'!I6</f>
        <v>304077</v>
      </c>
      <c r="P6" s="208">
        <f>'A2-FinPerf SC'!J6</f>
        <v>320193</v>
      </c>
      <c r="Q6" s="265">
        <f>'A2-FinPerf SC'!K6</f>
        <v>337804</v>
      </c>
      <c r="R6" s="373"/>
    </row>
    <row r="7" spans="1:18" ht="11.25" customHeight="1">
      <c r="A7" s="1315" t="str">
        <f>'A2-FinPerf SC'!A7</f>
        <v>Budget and treasury office</v>
      </c>
      <c r="B7" s="878"/>
      <c r="C7" s="1731">
        <f t="shared" ref="C7:C17" si="2">O7*0.05</f>
        <v>48372536.650000006</v>
      </c>
      <c r="D7" s="1733">
        <f t="shared" ref="D7:D8" si="3">O7*0.07</f>
        <v>67721551.310000002</v>
      </c>
      <c r="E7" s="1708">
        <f t="shared" ref="E7:E17" si="4">O7*0.09</f>
        <v>87070565.969999999</v>
      </c>
      <c r="F7" s="1708">
        <f>O7*0.11</f>
        <v>106419580.63</v>
      </c>
      <c r="G7" s="1708">
        <f t="shared" ref="G7:G17" si="5">O7*0.13</f>
        <v>125768595.29000001</v>
      </c>
      <c r="H7" s="1708">
        <f t="shared" ref="H7:H17" si="6">O7*0.1</f>
        <v>96745073.300000012</v>
      </c>
      <c r="I7" s="1708">
        <f t="shared" ref="I7:I17" si="7">O7*0.09</f>
        <v>87070565.969999999</v>
      </c>
      <c r="J7" s="1708">
        <f t="shared" ref="J7:J17" si="8">O7*0.12</f>
        <v>116094087.95999999</v>
      </c>
      <c r="K7" s="1708">
        <f t="shared" ref="K7:K17" si="9">O7*0.08</f>
        <v>77396058.640000001</v>
      </c>
      <c r="L7" s="1708">
        <f t="shared" ref="L7:L17" si="10">O7*0.07</f>
        <v>67721551.310000002</v>
      </c>
      <c r="M7" s="1708">
        <f t="shared" ref="M7:M17" si="11">O7*0.05</f>
        <v>48372536.650000006</v>
      </c>
      <c r="N7" s="205">
        <f t="shared" si="1"/>
        <v>38698029.320000052</v>
      </c>
      <c r="O7" s="206">
        <f>'A2-FinPerf SC'!I7</f>
        <v>967450733</v>
      </c>
      <c r="P7" s="208">
        <f>'A2-FinPerf SC'!J7</f>
        <v>1018146379</v>
      </c>
      <c r="Q7" s="265">
        <f>'A2-FinPerf SC'!K7</f>
        <v>1073817930</v>
      </c>
      <c r="R7" s="373"/>
    </row>
    <row r="8" spans="1:18" ht="11.25" customHeight="1">
      <c r="A8" s="1315" t="str">
        <f>'A2-FinPerf SC'!A8</f>
        <v>Corporate services</v>
      </c>
      <c r="B8" s="878"/>
      <c r="C8" s="1731">
        <f t="shared" si="2"/>
        <v>816751.10000000009</v>
      </c>
      <c r="D8" s="1731">
        <f t="shared" si="3"/>
        <v>1143451.54</v>
      </c>
      <c r="E8" s="1708">
        <f t="shared" si="4"/>
        <v>1470151.98</v>
      </c>
      <c r="F8" s="1708">
        <f>O8*0.11</f>
        <v>1796852.42</v>
      </c>
      <c r="G8" s="1708">
        <f t="shared" si="5"/>
        <v>2123552.86</v>
      </c>
      <c r="H8" s="1708">
        <f t="shared" si="6"/>
        <v>1633502.2000000002</v>
      </c>
      <c r="I8" s="1708">
        <f t="shared" si="7"/>
        <v>1470151.98</v>
      </c>
      <c r="J8" s="1708">
        <f t="shared" si="8"/>
        <v>1960202.64</v>
      </c>
      <c r="K8" s="1708">
        <f t="shared" si="9"/>
        <v>1306801.76</v>
      </c>
      <c r="L8" s="1708">
        <f t="shared" si="10"/>
        <v>1143451.54</v>
      </c>
      <c r="M8" s="1708">
        <f t="shared" si="11"/>
        <v>816751.10000000009</v>
      </c>
      <c r="N8" s="205">
        <f t="shared" si="1"/>
        <v>653400.87999999709</v>
      </c>
      <c r="O8" s="206">
        <f>'A2-FinPerf SC'!I8</f>
        <v>16335022</v>
      </c>
      <c r="P8" s="208">
        <f>'A2-FinPerf SC'!J8</f>
        <v>15318415</v>
      </c>
      <c r="Q8" s="265">
        <f>'A2-FinPerf SC'!K8</f>
        <v>16160933</v>
      </c>
      <c r="R8" s="373"/>
    </row>
    <row r="9" spans="1:18" ht="11.25" customHeight="1">
      <c r="A9" s="1314" t="str">
        <f>'A2-FinPerf SC'!A9</f>
        <v>Community and public safety</v>
      </c>
      <c r="B9" s="878"/>
      <c r="C9" s="1170">
        <f>SUM(C10:C14)</f>
        <v>1181970</v>
      </c>
      <c r="D9" s="1168">
        <f t="shared" ref="D9:M9" si="12">SUM(D10:D14)</f>
        <v>1654758.0000000005</v>
      </c>
      <c r="E9" s="1168">
        <f t="shared" si="12"/>
        <v>2127546</v>
      </c>
      <c r="F9" s="1168">
        <f t="shared" si="12"/>
        <v>2600334</v>
      </c>
      <c r="G9" s="1168">
        <f t="shared" si="12"/>
        <v>3073122</v>
      </c>
      <c r="H9" s="1168">
        <f t="shared" si="12"/>
        <v>2363940</v>
      </c>
      <c r="I9" s="1168">
        <f t="shared" si="12"/>
        <v>2127546</v>
      </c>
      <c r="J9" s="1168">
        <f t="shared" si="12"/>
        <v>2836728</v>
      </c>
      <c r="K9" s="1168">
        <f t="shared" si="12"/>
        <v>1891152</v>
      </c>
      <c r="L9" s="1168">
        <f t="shared" si="12"/>
        <v>1654758.0000000005</v>
      </c>
      <c r="M9" s="1168">
        <f t="shared" si="12"/>
        <v>1181970</v>
      </c>
      <c r="N9" s="220">
        <f t="shared" si="1"/>
        <v>945576</v>
      </c>
      <c r="O9" s="221">
        <f>'A2-FinPerf SC'!I9</f>
        <v>23639400</v>
      </c>
      <c r="P9" s="397">
        <f>'A2-FinPerf SC'!J9</f>
        <v>25836184.710000001</v>
      </c>
      <c r="Q9" s="346">
        <f>'A2-FinPerf SC'!K9</f>
        <v>39380418.894050002</v>
      </c>
      <c r="R9" s="373"/>
    </row>
    <row r="10" spans="1:18" ht="11.25" customHeight="1">
      <c r="A10" s="1315" t="str">
        <f>'A2-FinPerf SC'!A10</f>
        <v>Community and social services</v>
      </c>
      <c r="B10" s="878"/>
      <c r="C10" s="1731">
        <f t="shared" si="2"/>
        <v>163021.6</v>
      </c>
      <c r="D10" s="1731">
        <f t="shared" ref="D10:D14" si="13">O10*0.07</f>
        <v>228230.24000000002</v>
      </c>
      <c r="E10" s="1731">
        <f t="shared" si="4"/>
        <v>293438.88</v>
      </c>
      <c r="F10" s="1731">
        <f t="shared" ref="F10:F14" si="14">O10*0.11</f>
        <v>358647.52</v>
      </c>
      <c r="G10" s="1731">
        <f t="shared" si="5"/>
        <v>423856.16000000003</v>
      </c>
      <c r="H10" s="1731">
        <f t="shared" si="6"/>
        <v>326043.2</v>
      </c>
      <c r="I10" s="1731">
        <f t="shared" si="7"/>
        <v>293438.88</v>
      </c>
      <c r="J10" s="1731">
        <f t="shared" si="8"/>
        <v>391251.83999999997</v>
      </c>
      <c r="K10" s="1731">
        <f t="shared" si="9"/>
        <v>260834.56</v>
      </c>
      <c r="L10" s="1731">
        <f t="shared" si="10"/>
        <v>228230.24000000002</v>
      </c>
      <c r="M10" s="1731">
        <f t="shared" si="11"/>
        <v>163021.6</v>
      </c>
      <c r="N10" s="205">
        <f t="shared" si="1"/>
        <v>130417.2799999998</v>
      </c>
      <c r="O10" s="206">
        <f>'A2-FinPerf SC'!I10</f>
        <v>3260432</v>
      </c>
      <c r="P10" s="208">
        <f>'A2-FinPerf SC'!J10</f>
        <v>12881459</v>
      </c>
      <c r="Q10" s="265">
        <f>'A2-FinPerf SC'!K10</f>
        <v>23459628</v>
      </c>
      <c r="R10" s="373"/>
    </row>
    <row r="11" spans="1:18" ht="11.25" customHeight="1">
      <c r="A11" s="1315" t="str">
        <f>'A2-FinPerf SC'!A11</f>
        <v>Sport and recreation</v>
      </c>
      <c r="B11" s="878"/>
      <c r="C11" s="1731">
        <f t="shared" si="2"/>
        <v>256840.7</v>
      </c>
      <c r="D11" s="1731">
        <f t="shared" si="13"/>
        <v>359576.98000000004</v>
      </c>
      <c r="E11" s="1731">
        <f t="shared" si="4"/>
        <v>462313.26</v>
      </c>
      <c r="F11" s="1731">
        <f t="shared" si="14"/>
        <v>565049.54</v>
      </c>
      <c r="G11" s="1731">
        <f t="shared" si="5"/>
        <v>667785.82000000007</v>
      </c>
      <c r="H11" s="1731">
        <f t="shared" si="6"/>
        <v>513681.4</v>
      </c>
      <c r="I11" s="1731">
        <f t="shared" si="7"/>
        <v>462313.26</v>
      </c>
      <c r="J11" s="1731">
        <f t="shared" si="8"/>
        <v>616417.67999999993</v>
      </c>
      <c r="K11" s="1731">
        <f t="shared" si="9"/>
        <v>410945.12</v>
      </c>
      <c r="L11" s="1731">
        <f t="shared" si="10"/>
        <v>359576.98000000004</v>
      </c>
      <c r="M11" s="1731">
        <f t="shared" si="11"/>
        <v>256840.7</v>
      </c>
      <c r="N11" s="205">
        <f t="shared" si="1"/>
        <v>205472.55999999959</v>
      </c>
      <c r="O11" s="206">
        <f>'A2-FinPerf SC'!I11</f>
        <v>5136814</v>
      </c>
      <c r="P11" s="208">
        <f>'A2-FinPerf SC'!J11</f>
        <v>809561</v>
      </c>
      <c r="Q11" s="265">
        <f>'A2-FinPerf SC'!K11</f>
        <v>854087</v>
      </c>
      <c r="R11" s="373"/>
    </row>
    <row r="12" spans="1:18" ht="11.25" customHeight="1">
      <c r="A12" s="1315" t="str">
        <f>'A2-FinPerf SC'!A12</f>
        <v>Public safety</v>
      </c>
      <c r="B12" s="878"/>
      <c r="C12" s="1731">
        <f t="shared" si="2"/>
        <v>400374.30000000005</v>
      </c>
      <c r="D12" s="1731">
        <f t="shared" si="13"/>
        <v>560524.02</v>
      </c>
      <c r="E12" s="1731">
        <f t="shared" si="4"/>
        <v>720673.74</v>
      </c>
      <c r="F12" s="1731">
        <f t="shared" si="14"/>
        <v>880823.46</v>
      </c>
      <c r="G12" s="1731">
        <f t="shared" si="5"/>
        <v>1040973.18</v>
      </c>
      <c r="H12" s="1731">
        <f t="shared" si="6"/>
        <v>800748.60000000009</v>
      </c>
      <c r="I12" s="1731">
        <f t="shared" si="7"/>
        <v>720673.74</v>
      </c>
      <c r="J12" s="1731">
        <f t="shared" si="8"/>
        <v>960898.32</v>
      </c>
      <c r="K12" s="1731">
        <f t="shared" si="9"/>
        <v>640598.88</v>
      </c>
      <c r="L12" s="1731">
        <f t="shared" si="10"/>
        <v>560524.02</v>
      </c>
      <c r="M12" s="1731">
        <f t="shared" si="11"/>
        <v>400374.30000000005</v>
      </c>
      <c r="N12" s="205">
        <f t="shared" si="1"/>
        <v>320299.43999999855</v>
      </c>
      <c r="O12" s="206">
        <f>'A2-FinPerf SC'!I12</f>
        <v>8007486</v>
      </c>
      <c r="P12" s="208">
        <f>'A2-FinPerf SC'!J12</f>
        <v>2343658.71</v>
      </c>
      <c r="Q12" s="265">
        <f>'A2-FinPerf SC'!K12</f>
        <v>2473615.8940499998</v>
      </c>
      <c r="R12" s="373"/>
    </row>
    <row r="13" spans="1:18" ht="11.25" customHeight="1">
      <c r="A13" s="1315" t="str">
        <f>'A2-FinPerf SC'!A13</f>
        <v>Housing</v>
      </c>
      <c r="B13" s="878"/>
      <c r="C13" s="1731">
        <f t="shared" si="2"/>
        <v>346819.4</v>
      </c>
      <c r="D13" s="1731">
        <f t="shared" si="13"/>
        <v>485547.16000000003</v>
      </c>
      <c r="E13" s="1731">
        <f t="shared" si="4"/>
        <v>624274.91999999993</v>
      </c>
      <c r="F13" s="1731">
        <f t="shared" si="14"/>
        <v>763002.68</v>
      </c>
      <c r="G13" s="1731">
        <f t="shared" si="5"/>
        <v>901730.44000000006</v>
      </c>
      <c r="H13" s="1731">
        <f t="shared" si="6"/>
        <v>693638.8</v>
      </c>
      <c r="I13" s="1731">
        <f t="shared" si="7"/>
        <v>624274.91999999993</v>
      </c>
      <c r="J13" s="1731">
        <f t="shared" si="8"/>
        <v>832366.55999999994</v>
      </c>
      <c r="K13" s="1731">
        <f t="shared" si="9"/>
        <v>554911.04</v>
      </c>
      <c r="L13" s="1731">
        <f t="shared" si="10"/>
        <v>485547.16000000003</v>
      </c>
      <c r="M13" s="1731">
        <f t="shared" si="11"/>
        <v>346819.4</v>
      </c>
      <c r="N13" s="205">
        <f t="shared" si="1"/>
        <v>277455.51999999955</v>
      </c>
      <c r="O13" s="206">
        <f>'A2-FinPerf SC'!I13</f>
        <v>6936388</v>
      </c>
      <c r="P13" s="208">
        <f>'A2-FinPerf SC'!J13</f>
        <v>9698017</v>
      </c>
      <c r="Q13" s="265">
        <f>'A2-FinPerf SC'!K13</f>
        <v>12483907</v>
      </c>
      <c r="R13" s="373"/>
    </row>
    <row r="14" spans="1:18" ht="11.25" customHeight="1">
      <c r="A14" s="1315" t="str">
        <f>'A2-FinPerf SC'!A14</f>
        <v>Health</v>
      </c>
      <c r="B14" s="878"/>
      <c r="C14" s="1731">
        <f t="shared" si="2"/>
        <v>14914</v>
      </c>
      <c r="D14" s="1731">
        <f t="shared" si="13"/>
        <v>20879.600000000002</v>
      </c>
      <c r="E14" s="1731">
        <f t="shared" si="4"/>
        <v>26845.200000000001</v>
      </c>
      <c r="F14" s="1731">
        <f t="shared" si="14"/>
        <v>32810.800000000003</v>
      </c>
      <c r="G14" s="1731">
        <f t="shared" si="5"/>
        <v>38776.400000000001</v>
      </c>
      <c r="H14" s="1731">
        <f t="shared" si="6"/>
        <v>29828</v>
      </c>
      <c r="I14" s="1731">
        <f t="shared" si="7"/>
        <v>26845.200000000001</v>
      </c>
      <c r="J14" s="1731">
        <f t="shared" si="8"/>
        <v>35793.599999999999</v>
      </c>
      <c r="K14" s="1731">
        <f t="shared" si="9"/>
        <v>23862.400000000001</v>
      </c>
      <c r="L14" s="1731">
        <f t="shared" si="10"/>
        <v>20879.600000000002</v>
      </c>
      <c r="M14" s="1731">
        <f t="shared" si="11"/>
        <v>14914</v>
      </c>
      <c r="N14" s="205">
        <f t="shared" si="1"/>
        <v>11931.200000000012</v>
      </c>
      <c r="O14" s="206">
        <f>'A2-FinPerf SC'!I14</f>
        <v>298280</v>
      </c>
      <c r="P14" s="208">
        <f>'A2-FinPerf SC'!J14</f>
        <v>103489</v>
      </c>
      <c r="Q14" s="265">
        <f>'A2-FinPerf SC'!K14</f>
        <v>109181</v>
      </c>
      <c r="R14" s="373"/>
    </row>
    <row r="15" spans="1:18" ht="11.25" customHeight="1">
      <c r="A15" s="1314" t="str">
        <f>'A2-FinPerf SC'!A15</f>
        <v>Economic and environmental services</v>
      </c>
      <c r="B15" s="878"/>
      <c r="C15" s="1170">
        <f>SUM(C16:C18)</f>
        <v>6152618.4500000002</v>
      </c>
      <c r="D15" s="1168">
        <f t="shared" ref="D15:M15" si="15">SUM(D16:D18)</f>
        <v>8613665.8300000001</v>
      </c>
      <c r="E15" s="1168">
        <f t="shared" si="15"/>
        <v>11074713.209999999</v>
      </c>
      <c r="F15" s="1168">
        <f t="shared" si="15"/>
        <v>13535760.59</v>
      </c>
      <c r="G15" s="1168">
        <f t="shared" si="15"/>
        <v>15996807.970000001</v>
      </c>
      <c r="H15" s="1168">
        <f t="shared" si="15"/>
        <v>12305236.9</v>
      </c>
      <c r="I15" s="1168">
        <f t="shared" si="15"/>
        <v>11074713.209999999</v>
      </c>
      <c r="J15" s="1168">
        <f t="shared" si="15"/>
        <v>14766284.279999999</v>
      </c>
      <c r="K15" s="1168">
        <f t="shared" si="15"/>
        <v>9844189.5199999996</v>
      </c>
      <c r="L15" s="1168">
        <f t="shared" si="15"/>
        <v>8613665.8300000001</v>
      </c>
      <c r="M15" s="1168">
        <f t="shared" si="15"/>
        <v>6152618.4500000002</v>
      </c>
      <c r="N15" s="220">
        <f t="shared" si="1"/>
        <v>4922094.7600000054</v>
      </c>
      <c r="O15" s="221">
        <f>'A2-FinPerf SC'!I15</f>
        <v>123052369</v>
      </c>
      <c r="P15" s="397">
        <f>'A2-FinPerf SC'!J15</f>
        <v>96102647.148000002</v>
      </c>
      <c r="Q15" s="346">
        <f>'A2-FinPerf SC'!K15</f>
        <v>50383291.881140001</v>
      </c>
      <c r="R15" s="373"/>
    </row>
    <row r="16" spans="1:18" ht="11.25" customHeight="1">
      <c r="A16" s="1315" t="str">
        <f>'A2-FinPerf SC'!A16</f>
        <v>Planning and development</v>
      </c>
      <c r="B16" s="878"/>
      <c r="C16" s="1731">
        <f t="shared" si="2"/>
        <v>493029.45</v>
      </c>
      <c r="D16" s="1731">
        <f t="shared" ref="D16:D17" si="16">O16*0.07</f>
        <v>690241.2300000001</v>
      </c>
      <c r="E16" s="1731">
        <f t="shared" si="4"/>
        <v>887453.01</v>
      </c>
      <c r="F16" s="1731">
        <f t="shared" ref="F16:F17" si="17">O16*0.11</f>
        <v>1084664.79</v>
      </c>
      <c r="G16" s="1731">
        <f t="shared" si="5"/>
        <v>1281876.57</v>
      </c>
      <c r="H16" s="1731">
        <f t="shared" si="6"/>
        <v>986058.9</v>
      </c>
      <c r="I16" s="1731">
        <f t="shared" si="7"/>
        <v>887453.01</v>
      </c>
      <c r="J16" s="1731">
        <f t="shared" si="8"/>
        <v>1183270.68</v>
      </c>
      <c r="K16" s="1731">
        <f t="shared" si="9"/>
        <v>788847.12</v>
      </c>
      <c r="L16" s="1731">
        <f t="shared" si="10"/>
        <v>690241.2300000001</v>
      </c>
      <c r="M16" s="1731">
        <f t="shared" si="11"/>
        <v>493029.45</v>
      </c>
      <c r="N16" s="205">
        <f t="shared" si="1"/>
        <v>394423.56000000052</v>
      </c>
      <c r="O16" s="206">
        <f>'A2-FinPerf SC'!I16</f>
        <v>9860589</v>
      </c>
      <c r="P16" s="208">
        <f>'A2-FinPerf SC'!J16</f>
        <v>9782996</v>
      </c>
      <c r="Q16" s="265">
        <f>'A2-FinPerf SC'!K16</f>
        <v>23991061</v>
      </c>
      <c r="R16" s="373"/>
    </row>
    <row r="17" spans="1:18" ht="11.25" customHeight="1">
      <c r="A17" s="1315" t="str">
        <f>'A2-FinPerf SC'!A17</f>
        <v>Road transport</v>
      </c>
      <c r="B17" s="878"/>
      <c r="C17" s="1731">
        <f t="shared" si="2"/>
        <v>5659589</v>
      </c>
      <c r="D17" s="1731">
        <f t="shared" si="16"/>
        <v>7923424.6000000006</v>
      </c>
      <c r="E17" s="1731">
        <f t="shared" si="4"/>
        <v>10187260.199999999</v>
      </c>
      <c r="F17" s="1731">
        <f t="shared" si="17"/>
        <v>12451095.800000001</v>
      </c>
      <c r="G17" s="1731">
        <f t="shared" si="5"/>
        <v>14714931.4</v>
      </c>
      <c r="H17" s="1731">
        <f t="shared" si="6"/>
        <v>11319178</v>
      </c>
      <c r="I17" s="1731">
        <f t="shared" si="7"/>
        <v>10187260.199999999</v>
      </c>
      <c r="J17" s="1731">
        <f t="shared" si="8"/>
        <v>13583013.6</v>
      </c>
      <c r="K17" s="1731">
        <f t="shared" si="9"/>
        <v>9055342.4000000004</v>
      </c>
      <c r="L17" s="1731">
        <f t="shared" si="10"/>
        <v>7923424.6000000006</v>
      </c>
      <c r="M17" s="1731">
        <f t="shared" si="11"/>
        <v>5659589</v>
      </c>
      <c r="N17" s="205">
        <f t="shared" si="1"/>
        <v>4527671.200000003</v>
      </c>
      <c r="O17" s="206">
        <f>'A2-FinPerf SC'!I17</f>
        <v>113191780</v>
      </c>
      <c r="P17" s="208">
        <f>'A2-FinPerf SC'!J17</f>
        <v>86319651.148000002</v>
      </c>
      <c r="Q17" s="265">
        <f>'A2-FinPerf SC'!K17</f>
        <v>26392230.881140001</v>
      </c>
      <c r="R17" s="373"/>
    </row>
    <row r="18" spans="1:18" ht="11.25" customHeight="1">
      <c r="A18" s="1315" t="str">
        <f>'A2-FinPerf SC'!A18</f>
        <v>Environmental protection</v>
      </c>
      <c r="B18" s="878"/>
      <c r="C18" s="1731"/>
      <c r="D18" s="1708"/>
      <c r="E18" s="1708"/>
      <c r="F18" s="1708"/>
      <c r="G18" s="1708"/>
      <c r="H18" s="1708"/>
      <c r="I18" s="1708"/>
      <c r="J18" s="1708"/>
      <c r="K18" s="1708"/>
      <c r="L18" s="1708"/>
      <c r="M18" s="1708"/>
      <c r="N18" s="205">
        <f t="shared" si="1"/>
        <v>0</v>
      </c>
      <c r="O18" s="206">
        <f>'A2-FinPerf SC'!I18</f>
        <v>0</v>
      </c>
      <c r="P18" s="208">
        <f>'A2-FinPerf SC'!J18</f>
        <v>0</v>
      </c>
      <c r="Q18" s="265">
        <f>'A2-FinPerf SC'!K18</f>
        <v>0</v>
      </c>
      <c r="R18" s="373"/>
    </row>
    <row r="19" spans="1:18" ht="11.25" customHeight="1">
      <c r="A19" s="1314" t="str">
        <f>'A2-FinPerf SC'!A19</f>
        <v>Trading services</v>
      </c>
      <c r="B19" s="878"/>
      <c r="C19" s="1170">
        <f>SUM(C20:C23)</f>
        <v>108787274.5</v>
      </c>
      <c r="D19" s="1168">
        <f t="shared" ref="D19:M19" si="18">SUM(D20:D23)</f>
        <v>152302184.30000001</v>
      </c>
      <c r="E19" s="1168">
        <f t="shared" si="18"/>
        <v>195817094.09999999</v>
      </c>
      <c r="F19" s="1168">
        <f t="shared" si="18"/>
        <v>239332003.90000004</v>
      </c>
      <c r="G19" s="1168">
        <f t="shared" si="18"/>
        <v>282846913.69999999</v>
      </c>
      <c r="H19" s="1168">
        <f t="shared" si="18"/>
        <v>217574549</v>
      </c>
      <c r="I19" s="1168">
        <f t="shared" si="18"/>
        <v>195817094.09999999</v>
      </c>
      <c r="J19" s="1168">
        <f t="shared" si="18"/>
        <v>261089458.79999998</v>
      </c>
      <c r="K19" s="1168">
        <f t="shared" si="18"/>
        <v>174059639.19999999</v>
      </c>
      <c r="L19" s="1168">
        <f t="shared" si="18"/>
        <v>152302184.30000001</v>
      </c>
      <c r="M19" s="1168">
        <f t="shared" si="18"/>
        <v>108787274.5</v>
      </c>
      <c r="N19" s="220">
        <f>O19-SUM(C19:M19)</f>
        <v>87029819.600000143</v>
      </c>
      <c r="O19" s="221">
        <f>'A2-FinPerf SC'!I19</f>
        <v>2175745490</v>
      </c>
      <c r="P19" s="397">
        <f>'A2-FinPerf SC'!J19</f>
        <v>2362057805.618</v>
      </c>
      <c r="Q19" s="346">
        <f>'A2-FinPerf SC'!K19</f>
        <v>2496346712.75699</v>
      </c>
      <c r="R19" s="373"/>
    </row>
    <row r="20" spans="1:18" ht="11.25" customHeight="1">
      <c r="A20" s="1315" t="str">
        <f>'A2-FinPerf SC'!A20</f>
        <v>Electricity</v>
      </c>
      <c r="B20" s="878"/>
      <c r="C20" s="1731">
        <f t="shared" ref="C20:C24" si="19">O20*0.05</f>
        <v>66848787.650000006</v>
      </c>
      <c r="D20" s="1731">
        <f t="shared" ref="D20:D24" si="20">O20*0.07</f>
        <v>93588302.710000008</v>
      </c>
      <c r="E20" s="1731">
        <f t="shared" ref="E20:E24" si="21">O20*0.09</f>
        <v>120327817.77</v>
      </c>
      <c r="F20" s="1731">
        <f t="shared" ref="F20:F24" si="22">O20*0.11</f>
        <v>147067332.83000001</v>
      </c>
      <c r="G20" s="1731">
        <f t="shared" ref="G20:G24" si="23">O20*0.13</f>
        <v>173806847.89000002</v>
      </c>
      <c r="H20" s="1731">
        <f t="shared" ref="H20:H24" si="24">O20*0.1</f>
        <v>133697575.30000001</v>
      </c>
      <c r="I20" s="1731">
        <f t="shared" ref="I20:I24" si="25">O20*0.09</f>
        <v>120327817.77</v>
      </c>
      <c r="J20" s="1731">
        <f t="shared" ref="J20:J24" si="26">O20*0.12</f>
        <v>160437090.35999998</v>
      </c>
      <c r="K20" s="1731">
        <f t="shared" ref="K20:K24" si="27">O20*0.08</f>
        <v>106958060.24000001</v>
      </c>
      <c r="L20" s="1731">
        <f t="shared" ref="L20:L24" si="28">O20*0.07</f>
        <v>93588302.710000008</v>
      </c>
      <c r="M20" s="1731">
        <f t="shared" ref="M20:M24" si="29">O20*0.05</f>
        <v>66848787.650000006</v>
      </c>
      <c r="N20" s="205">
        <f t="shared" si="1"/>
        <v>53479030.119999886</v>
      </c>
      <c r="O20" s="206">
        <f>'A2-FinPerf SC'!I20</f>
        <v>1336975753</v>
      </c>
      <c r="P20" s="208">
        <f>'A2-FinPerf SC'!J20</f>
        <v>1401386845</v>
      </c>
      <c r="Q20" s="265">
        <f>'A2-FinPerf SC'!K20</f>
        <v>1482838547</v>
      </c>
      <c r="R20" s="373"/>
    </row>
    <row r="21" spans="1:18" ht="11.25" customHeight="1">
      <c r="A21" s="1315" t="str">
        <f>'A2-FinPerf SC'!A21</f>
        <v>Water</v>
      </c>
      <c r="B21" s="878"/>
      <c r="C21" s="1731">
        <f t="shared" si="19"/>
        <v>26826284.200000003</v>
      </c>
      <c r="D21" s="1731">
        <f t="shared" si="20"/>
        <v>37556797.880000003</v>
      </c>
      <c r="E21" s="1731">
        <f t="shared" si="21"/>
        <v>48287311.559999995</v>
      </c>
      <c r="F21" s="1731">
        <f t="shared" si="22"/>
        <v>59017825.240000002</v>
      </c>
      <c r="G21" s="1731">
        <f t="shared" si="23"/>
        <v>69748338.920000002</v>
      </c>
      <c r="H21" s="1731">
        <f t="shared" si="24"/>
        <v>53652568.400000006</v>
      </c>
      <c r="I21" s="1731">
        <f t="shared" si="25"/>
        <v>48287311.559999995</v>
      </c>
      <c r="J21" s="1731">
        <f t="shared" si="26"/>
        <v>64383082.079999998</v>
      </c>
      <c r="K21" s="1731">
        <f t="shared" si="27"/>
        <v>42922054.719999999</v>
      </c>
      <c r="L21" s="1731">
        <f t="shared" si="28"/>
        <v>37556797.880000003</v>
      </c>
      <c r="M21" s="1731">
        <f t="shared" si="29"/>
        <v>26826284.200000003</v>
      </c>
      <c r="N21" s="205">
        <f t="shared" si="1"/>
        <v>21461027.359999955</v>
      </c>
      <c r="O21" s="206">
        <f>'A2-FinPerf SC'!I21</f>
        <v>536525684</v>
      </c>
      <c r="P21" s="208">
        <f>'A2-FinPerf SC'!J21</f>
        <v>642407972</v>
      </c>
      <c r="Q21" s="265">
        <f>'A2-FinPerf SC'!K21</f>
        <v>677740714</v>
      </c>
      <c r="R21" s="373"/>
    </row>
    <row r="22" spans="1:18" ht="11.25" customHeight="1">
      <c r="A22" s="1315" t="str">
        <f>'A2-FinPerf SC'!A22</f>
        <v>Waste water management</v>
      </c>
      <c r="B22" s="878"/>
      <c r="C22" s="1731">
        <f t="shared" si="19"/>
        <v>8870414.3000000007</v>
      </c>
      <c r="D22" s="1731">
        <f t="shared" si="20"/>
        <v>12418580.020000001</v>
      </c>
      <c r="E22" s="1731">
        <f t="shared" si="21"/>
        <v>15966745.74</v>
      </c>
      <c r="F22" s="1731">
        <f t="shared" si="22"/>
        <v>19514911.460000001</v>
      </c>
      <c r="G22" s="1731">
        <f t="shared" si="23"/>
        <v>23063077.18</v>
      </c>
      <c r="H22" s="1731">
        <f t="shared" si="24"/>
        <v>17740828.600000001</v>
      </c>
      <c r="I22" s="1731">
        <f t="shared" si="25"/>
        <v>15966745.74</v>
      </c>
      <c r="J22" s="1731">
        <f t="shared" si="26"/>
        <v>21288994.32</v>
      </c>
      <c r="K22" s="1731">
        <f t="shared" si="27"/>
        <v>14192662.880000001</v>
      </c>
      <c r="L22" s="1731">
        <f t="shared" si="28"/>
        <v>12418580.020000001</v>
      </c>
      <c r="M22" s="1731">
        <f t="shared" si="29"/>
        <v>8870414.3000000007</v>
      </c>
      <c r="N22" s="205">
        <f t="shared" si="1"/>
        <v>7096331.4399999678</v>
      </c>
      <c r="O22" s="206">
        <f>'A2-FinPerf SC'!I22</f>
        <v>177408286</v>
      </c>
      <c r="P22" s="208">
        <f>'A2-FinPerf SC'!J22</f>
        <v>186810925.618</v>
      </c>
      <c r="Q22" s="265">
        <f>'A2-FinPerf SC'!K22</f>
        <v>197085525.75698999</v>
      </c>
      <c r="R22" s="373"/>
    </row>
    <row r="23" spans="1:18" ht="11.25" customHeight="1">
      <c r="A23" s="1315" t="str">
        <f>'A2-FinPerf SC'!A23</f>
        <v>Waste management</v>
      </c>
      <c r="B23" s="878"/>
      <c r="C23" s="1731">
        <f t="shared" si="19"/>
        <v>6241788.3500000006</v>
      </c>
      <c r="D23" s="1731">
        <f t="shared" si="20"/>
        <v>8738503.6900000013</v>
      </c>
      <c r="E23" s="1731">
        <f t="shared" si="21"/>
        <v>11235219.029999999</v>
      </c>
      <c r="F23" s="1731">
        <f t="shared" si="22"/>
        <v>13731934.369999999</v>
      </c>
      <c r="G23" s="1731">
        <f t="shared" si="23"/>
        <v>16228649.710000001</v>
      </c>
      <c r="H23" s="1731">
        <f t="shared" si="24"/>
        <v>12483576.700000001</v>
      </c>
      <c r="I23" s="1731">
        <f t="shared" si="25"/>
        <v>11235219.029999999</v>
      </c>
      <c r="J23" s="1731">
        <f t="shared" si="26"/>
        <v>14980292.039999999</v>
      </c>
      <c r="K23" s="1731">
        <f t="shared" si="27"/>
        <v>9986861.3599999994</v>
      </c>
      <c r="L23" s="1731">
        <f t="shared" si="28"/>
        <v>8738503.6900000013</v>
      </c>
      <c r="M23" s="1731">
        <f t="shared" si="29"/>
        <v>6241788.3500000006</v>
      </c>
      <c r="N23" s="205">
        <f t="shared" si="1"/>
        <v>4993430.6800000221</v>
      </c>
      <c r="O23" s="206">
        <f>'A2-FinPerf SC'!I23</f>
        <v>124835767</v>
      </c>
      <c r="P23" s="208">
        <f>'A2-FinPerf SC'!J23</f>
        <v>131452063</v>
      </c>
      <c r="Q23" s="265">
        <f>'A2-FinPerf SC'!K23</f>
        <v>138681926</v>
      </c>
      <c r="R23" s="373"/>
    </row>
    <row r="24" spans="1:18" ht="11.25" customHeight="1">
      <c r="A24" s="1314" t="str">
        <f>'A2-FinPerf SC'!A24</f>
        <v>Other</v>
      </c>
      <c r="B24" s="878"/>
      <c r="C24" s="1745">
        <f t="shared" si="19"/>
        <v>1633464.1</v>
      </c>
      <c r="D24" s="1745">
        <f t="shared" si="20"/>
        <v>2286849.7400000002</v>
      </c>
      <c r="E24" s="1745">
        <f t="shared" si="21"/>
        <v>2940235.38</v>
      </c>
      <c r="F24" s="1745">
        <f t="shared" si="22"/>
        <v>3593621.02</v>
      </c>
      <c r="G24" s="1745">
        <f t="shared" si="23"/>
        <v>4247006.66</v>
      </c>
      <c r="H24" s="1745">
        <f t="shared" si="24"/>
        <v>3266928.2</v>
      </c>
      <c r="I24" s="1745">
        <f t="shared" si="25"/>
        <v>2940235.38</v>
      </c>
      <c r="J24" s="1745">
        <f t="shared" si="26"/>
        <v>3920313.84</v>
      </c>
      <c r="K24" s="1745">
        <f t="shared" si="27"/>
        <v>2613542.56</v>
      </c>
      <c r="L24" s="1745">
        <f t="shared" si="28"/>
        <v>2286849.7400000002</v>
      </c>
      <c r="M24" s="1745">
        <f t="shared" si="29"/>
        <v>1633464.1</v>
      </c>
      <c r="N24" s="220">
        <f t="shared" si="1"/>
        <v>1306771.2800000012</v>
      </c>
      <c r="O24" s="221">
        <f>'A2-FinPerf SC'!I24</f>
        <v>32669282</v>
      </c>
      <c r="P24" s="397">
        <f>'A2-FinPerf SC'!J24</f>
        <v>33426537.456</v>
      </c>
      <c r="Q24" s="346">
        <f>'A2-FinPerf SC'!K24</f>
        <v>35263941.591080002</v>
      </c>
      <c r="R24" s="373"/>
    </row>
    <row r="25" spans="1:18">
      <c r="A25" s="266" t="str">
        <f>'A2-FinPerf SC'!A25</f>
        <v>Total Revenue - Standard</v>
      </c>
      <c r="B25" s="879"/>
      <c r="C25" s="270">
        <f t="shared" ref="C25:Q25" si="30">C5+C9+C15+C19+C24</f>
        <v>166959818.65000001</v>
      </c>
      <c r="D25" s="268">
        <f t="shared" si="30"/>
        <v>233743746.11000001</v>
      </c>
      <c r="E25" s="268">
        <f t="shared" si="30"/>
        <v>300527673.56999999</v>
      </c>
      <c r="F25" s="268">
        <f t="shared" si="30"/>
        <v>367311601.03000003</v>
      </c>
      <c r="G25" s="268">
        <f t="shared" si="30"/>
        <v>434095528.49000007</v>
      </c>
      <c r="H25" s="268">
        <f t="shared" si="30"/>
        <v>333919637.30000001</v>
      </c>
      <c r="I25" s="268">
        <f t="shared" si="30"/>
        <v>300527673.56999999</v>
      </c>
      <c r="J25" s="268">
        <f t="shared" si="30"/>
        <v>400703564.75999993</v>
      </c>
      <c r="K25" s="268">
        <f t="shared" si="30"/>
        <v>267135709.83999997</v>
      </c>
      <c r="L25" s="268">
        <f t="shared" si="30"/>
        <v>233743746.11000001</v>
      </c>
      <c r="M25" s="268">
        <f t="shared" si="30"/>
        <v>166959818.65000001</v>
      </c>
      <c r="N25" s="268">
        <f t="shared" si="30"/>
        <v>133567854.92</v>
      </c>
      <c r="O25" s="216">
        <f>O5+O9+O15+O19+O24</f>
        <v>3339196373</v>
      </c>
      <c r="P25" s="214">
        <f t="shared" si="30"/>
        <v>3551208161.9319997</v>
      </c>
      <c r="Q25" s="215">
        <f t="shared" si="30"/>
        <v>3711691032.12326</v>
      </c>
      <c r="R25" s="373"/>
    </row>
    <row r="26" spans="1:18" ht="5.0999999999999996" customHeight="1">
      <c r="A26" s="274"/>
      <c r="B26" s="878"/>
      <c r="C26" s="206"/>
      <c r="D26" s="204">
        <f t="shared" ref="D26:L26" si="31">D6+D10+D16+D20+D25</f>
        <v>328271805.68000001</v>
      </c>
      <c r="E26" s="204">
        <f t="shared" si="31"/>
        <v>422063750.15999997</v>
      </c>
      <c r="F26" s="204">
        <f t="shared" si="31"/>
        <v>515855694.64000005</v>
      </c>
      <c r="G26" s="204">
        <f t="shared" si="31"/>
        <v>609647639.12000012</v>
      </c>
      <c r="H26" s="204">
        <f t="shared" si="31"/>
        <v>468959722.40000004</v>
      </c>
      <c r="I26" s="204">
        <f t="shared" si="31"/>
        <v>422063750.15999997</v>
      </c>
      <c r="J26" s="204">
        <f t="shared" si="31"/>
        <v>562751666.87999988</v>
      </c>
      <c r="K26" s="204">
        <f t="shared" si="31"/>
        <v>375167777.91999996</v>
      </c>
      <c r="L26" s="204">
        <f t="shared" si="31"/>
        <v>328271805.68000001</v>
      </c>
      <c r="M26" s="204">
        <f>M6+M10+M16+M20+M25</f>
        <v>234479861.20000002</v>
      </c>
      <c r="N26" s="205"/>
      <c r="O26" s="206"/>
      <c r="P26" s="204"/>
      <c r="Q26" s="205"/>
      <c r="R26" s="373"/>
    </row>
    <row r="27" spans="1:18">
      <c r="A27" s="250" t="str">
        <f>'A2-FinPerf SC'!A27</f>
        <v>Expenditure - Standard</v>
      </c>
      <c r="B27" s="881"/>
      <c r="C27" s="206"/>
      <c r="D27" s="204"/>
      <c r="E27" s="204"/>
      <c r="F27" s="204"/>
      <c r="G27" s="204"/>
      <c r="H27" s="204"/>
      <c r="I27" s="204"/>
      <c r="J27" s="204"/>
      <c r="K27" s="204"/>
      <c r="L27" s="204"/>
      <c r="M27" s="204"/>
      <c r="N27" s="205"/>
      <c r="O27" s="206"/>
      <c r="P27" s="204"/>
      <c r="Q27" s="205"/>
      <c r="R27" s="373"/>
    </row>
    <row r="28" spans="1:18" ht="11.25" customHeight="1">
      <c r="A28" s="1314" t="str">
        <f>'A2-FinPerf SC'!A28</f>
        <v>Governance and administration</v>
      </c>
      <c r="B28" s="878"/>
      <c r="C28" s="1170">
        <f>SUM(C29:C31)</f>
        <v>43143482.399999999</v>
      </c>
      <c r="D28" s="1168">
        <f>SUM(D29:D31)</f>
        <v>60400875.359999999</v>
      </c>
      <c r="E28" s="1168">
        <f t="shared" ref="E28:M28" si="32">SUM(E29:E31)</f>
        <v>77658268.319999993</v>
      </c>
      <c r="F28" s="1168">
        <f t="shared" si="32"/>
        <v>94915661.280000001</v>
      </c>
      <c r="G28" s="1168">
        <f t="shared" si="32"/>
        <v>112173054.23999999</v>
      </c>
      <c r="H28" s="1168">
        <f t="shared" si="32"/>
        <v>86286964.799999997</v>
      </c>
      <c r="I28" s="1168">
        <f t="shared" si="32"/>
        <v>77658268.319999993</v>
      </c>
      <c r="J28" s="1168">
        <f t="shared" si="32"/>
        <v>103544357.76000001</v>
      </c>
      <c r="K28" s="1168">
        <f t="shared" si="32"/>
        <v>69029571.840000004</v>
      </c>
      <c r="L28" s="1168">
        <f t="shared" si="32"/>
        <v>60400875.359999999</v>
      </c>
      <c r="M28" s="1168">
        <f t="shared" si="32"/>
        <v>43143482.399999999</v>
      </c>
      <c r="N28" s="220">
        <f t="shared" ref="N28:N37" si="33">O28-SUM(C28:M28)</f>
        <v>34514785.919999957</v>
      </c>
      <c r="O28" s="221">
        <f>'A2-FinPerf SC'!I28</f>
        <v>862869648</v>
      </c>
      <c r="P28" s="219">
        <f>'A2-FinPerf SC'!J28</f>
        <v>856789856</v>
      </c>
      <c r="Q28" s="220">
        <f>'A2-FinPerf SC'!K28</f>
        <v>901150785</v>
      </c>
      <c r="R28" s="373"/>
    </row>
    <row r="29" spans="1:18" ht="11.25" customHeight="1">
      <c r="A29" s="1315" t="str">
        <f>'A2-FinPerf SC'!A29</f>
        <v>Executive and council</v>
      </c>
      <c r="B29" s="878"/>
      <c r="C29" s="1731">
        <f t="shared" ref="C29:C31" si="34">O29*0.05</f>
        <v>3489331</v>
      </c>
      <c r="D29" s="1731">
        <f t="shared" ref="D29:D31" si="35">O29*0.07</f>
        <v>4885063.4000000004</v>
      </c>
      <c r="E29" s="1731">
        <f t="shared" ref="E29:E31" si="36">O29*0.09</f>
        <v>6280795.7999999998</v>
      </c>
      <c r="F29" s="1731">
        <f t="shared" ref="F29:F31" si="37">O29*0.11</f>
        <v>7676528.2000000002</v>
      </c>
      <c r="G29" s="1731">
        <f t="shared" ref="G29:G31" si="38">O29*0.13</f>
        <v>9072260.5999999996</v>
      </c>
      <c r="H29" s="1731">
        <f t="shared" ref="H29:H31" si="39">O29*0.1</f>
        <v>6978662</v>
      </c>
      <c r="I29" s="1731">
        <f t="shared" ref="I29:I31" si="40">O29*0.09</f>
        <v>6280795.7999999998</v>
      </c>
      <c r="J29" s="1731">
        <f t="shared" ref="J29:J31" si="41">O29*0.12</f>
        <v>8374394.3999999994</v>
      </c>
      <c r="K29" s="1731">
        <f t="shared" ref="K29:K31" si="42">O29*0.08</f>
        <v>5582929.6000000006</v>
      </c>
      <c r="L29" s="1731">
        <f t="shared" ref="L29:L31" si="43">O29*0.07</f>
        <v>4885063.4000000004</v>
      </c>
      <c r="M29" s="1731">
        <f t="shared" ref="M29:M31" si="44">O29*0.05</f>
        <v>3489331</v>
      </c>
      <c r="N29" s="205">
        <f t="shared" si="33"/>
        <v>2791464.8000000045</v>
      </c>
      <c r="O29" s="206">
        <f>'A2-FinPerf SC'!I29</f>
        <v>69786620</v>
      </c>
      <c r="P29" s="204">
        <f>'A2-FinPerf SC'!J29</f>
        <v>73537220</v>
      </c>
      <c r="Q29" s="205">
        <f>'A2-FinPerf SC'!K29</f>
        <v>77587950</v>
      </c>
      <c r="R29" s="373"/>
    </row>
    <row r="30" spans="1:18" ht="11.25" customHeight="1">
      <c r="A30" s="1315" t="str">
        <f>'A2-FinPerf SC'!A30</f>
        <v>Budget and treasury office</v>
      </c>
      <c r="B30" s="878"/>
      <c r="C30" s="1735">
        <f t="shared" si="34"/>
        <v>30556372.800000001</v>
      </c>
      <c r="D30" s="1735">
        <f t="shared" si="35"/>
        <v>42778921.920000002</v>
      </c>
      <c r="E30" s="1735">
        <f t="shared" si="36"/>
        <v>55001471.039999999</v>
      </c>
      <c r="F30" s="1735">
        <f t="shared" si="37"/>
        <v>67224020.159999996</v>
      </c>
      <c r="G30" s="1735">
        <f t="shared" si="38"/>
        <v>79446569.280000001</v>
      </c>
      <c r="H30" s="1735">
        <f t="shared" si="39"/>
        <v>61112745.600000001</v>
      </c>
      <c r="I30" s="1735">
        <f t="shared" si="40"/>
        <v>55001471.039999999</v>
      </c>
      <c r="J30" s="1735">
        <f t="shared" si="41"/>
        <v>73335294.719999999</v>
      </c>
      <c r="K30" s="1735">
        <f t="shared" si="42"/>
        <v>48890196.480000004</v>
      </c>
      <c r="L30" s="1735">
        <f t="shared" si="43"/>
        <v>42778921.920000002</v>
      </c>
      <c r="M30" s="1735">
        <f t="shared" si="44"/>
        <v>30556372.800000001</v>
      </c>
      <c r="N30" s="205">
        <f t="shared" si="33"/>
        <v>24445098.24000001</v>
      </c>
      <c r="O30" s="206">
        <f>'A2-FinPerf SC'!I30</f>
        <v>611127456</v>
      </c>
      <c r="P30" s="204">
        <f>'A2-FinPerf SC'!J30</f>
        <v>570882765</v>
      </c>
      <c r="Q30" s="205">
        <f>'A2-FinPerf SC'!K30</f>
        <v>599737931</v>
      </c>
      <c r="R30" s="373"/>
    </row>
    <row r="31" spans="1:18" ht="11.25" customHeight="1">
      <c r="A31" s="1315" t="str">
        <f>'A2-FinPerf SC'!A31</f>
        <v>Corporate services</v>
      </c>
      <c r="B31" s="878"/>
      <c r="C31" s="1731">
        <f t="shared" si="34"/>
        <v>9097778.5999999996</v>
      </c>
      <c r="D31" s="1731">
        <f t="shared" si="35"/>
        <v>12736890.040000001</v>
      </c>
      <c r="E31" s="1731">
        <f t="shared" si="36"/>
        <v>16376001.479999999</v>
      </c>
      <c r="F31" s="1731">
        <f t="shared" si="37"/>
        <v>20015112.920000002</v>
      </c>
      <c r="G31" s="1731">
        <f t="shared" si="38"/>
        <v>23654224.359999999</v>
      </c>
      <c r="H31" s="1731">
        <f t="shared" si="39"/>
        <v>18195557.199999999</v>
      </c>
      <c r="I31" s="1731">
        <f t="shared" si="40"/>
        <v>16376001.479999999</v>
      </c>
      <c r="J31" s="1731">
        <f t="shared" si="41"/>
        <v>21834668.640000001</v>
      </c>
      <c r="K31" s="1731">
        <f t="shared" si="42"/>
        <v>14556445.76</v>
      </c>
      <c r="L31" s="1731">
        <f t="shared" si="43"/>
        <v>12736890.040000001</v>
      </c>
      <c r="M31" s="1731">
        <f t="shared" si="44"/>
        <v>9097778.5999999996</v>
      </c>
      <c r="N31" s="205">
        <f t="shared" si="33"/>
        <v>7278222.8799999952</v>
      </c>
      <c r="O31" s="206">
        <f>'A2-FinPerf SC'!I31</f>
        <v>181955572</v>
      </c>
      <c r="P31" s="204">
        <f>'A2-FinPerf SC'!J31</f>
        <v>212369871</v>
      </c>
      <c r="Q31" s="205">
        <f>'A2-FinPerf SC'!K31</f>
        <v>223824904</v>
      </c>
      <c r="R31" s="373"/>
    </row>
    <row r="32" spans="1:18" ht="11.25" customHeight="1">
      <c r="A32" s="1314" t="str">
        <f>'A2-FinPerf SC'!A32</f>
        <v>Community and public safety</v>
      </c>
      <c r="B32" s="878"/>
      <c r="C32" s="1170">
        <f>SUM(C33:C37)</f>
        <v>19749178.550000004</v>
      </c>
      <c r="D32" s="1168">
        <f t="shared" ref="D32:M32" si="45">SUM(D33:D37)</f>
        <v>27648849.970000003</v>
      </c>
      <c r="E32" s="1168">
        <f t="shared" si="45"/>
        <v>35548521.390000001</v>
      </c>
      <c r="F32" s="1168">
        <f t="shared" si="45"/>
        <v>43448192.810000002</v>
      </c>
      <c r="G32" s="1168">
        <f t="shared" si="45"/>
        <v>51347864.230000004</v>
      </c>
      <c r="H32" s="1168">
        <f t="shared" si="45"/>
        <v>39498357.100000009</v>
      </c>
      <c r="I32" s="1168">
        <f t="shared" si="45"/>
        <v>35548521.390000001</v>
      </c>
      <c r="J32" s="1168">
        <f t="shared" si="45"/>
        <v>47398028.519999996</v>
      </c>
      <c r="K32" s="1168">
        <f t="shared" si="45"/>
        <v>31598685.68</v>
      </c>
      <c r="L32" s="1168">
        <f t="shared" si="45"/>
        <v>27648849.970000003</v>
      </c>
      <c r="M32" s="1168">
        <f t="shared" si="45"/>
        <v>19749178.550000004</v>
      </c>
      <c r="N32" s="220">
        <f t="shared" si="33"/>
        <v>15799342.839999974</v>
      </c>
      <c r="O32" s="221">
        <f>'A2-FinPerf SC'!I32</f>
        <v>394983571</v>
      </c>
      <c r="P32" s="219">
        <f>'A2-FinPerf SC'!J32</f>
        <v>442857933</v>
      </c>
      <c r="Q32" s="220">
        <f>'A2-FinPerf SC'!K32</f>
        <v>482845802.10399997</v>
      </c>
      <c r="R32" s="373"/>
    </row>
    <row r="33" spans="1:18" ht="11.25" customHeight="1">
      <c r="A33" s="1315" t="str">
        <f>'A2-FinPerf SC'!A33</f>
        <v>Community and social services</v>
      </c>
      <c r="B33" s="878"/>
      <c r="C33" s="1731">
        <f t="shared" ref="C33:C37" si="46">O33*0.05</f>
        <v>2227133.9</v>
      </c>
      <c r="D33" s="1708">
        <f t="shared" ref="D33:D37" si="47">O33*0.07</f>
        <v>3117987.4600000004</v>
      </c>
      <c r="E33" s="1708">
        <f t="shared" ref="E33:E37" si="48">O33*0.09</f>
        <v>4008841.02</v>
      </c>
      <c r="F33" s="1708">
        <f t="shared" ref="F33:F37" si="49">O33*0.11</f>
        <v>4899694.58</v>
      </c>
      <c r="G33" s="1708">
        <f t="shared" ref="G33:G37" si="50">O33*0.13</f>
        <v>5790548.1400000006</v>
      </c>
      <c r="H33" s="1708">
        <f t="shared" ref="H33:H37" si="51">O33*0.1</f>
        <v>4454267.8</v>
      </c>
      <c r="I33" s="1708">
        <f t="shared" ref="I33:I37" si="52">O33*0.09</f>
        <v>4008841.02</v>
      </c>
      <c r="J33" s="1708">
        <f t="shared" ref="J33:J37" si="53">O33*0.12</f>
        <v>5345121.3599999994</v>
      </c>
      <c r="K33" s="1708">
        <f t="shared" ref="K33:K37" si="54">O33*0.08</f>
        <v>3563414.24</v>
      </c>
      <c r="L33" s="1708">
        <f t="shared" ref="L33:L37" si="55">O33*0.07</f>
        <v>3117987.4600000004</v>
      </c>
      <c r="M33" s="1708">
        <f t="shared" ref="M33:M37" si="56">O33*0.05</f>
        <v>2227133.9</v>
      </c>
      <c r="N33" s="205">
        <f t="shared" si="33"/>
        <v>1781707.1199999973</v>
      </c>
      <c r="O33" s="206">
        <f>'A2-FinPerf SC'!I33</f>
        <v>44542678</v>
      </c>
      <c r="P33" s="204">
        <f>'A2-FinPerf SC'!J33</f>
        <v>56799263</v>
      </c>
      <c r="Q33" s="205">
        <f>'A2-FinPerf SC'!K33</f>
        <v>70173541.104000002</v>
      </c>
      <c r="R33" s="373"/>
    </row>
    <row r="34" spans="1:18" ht="11.25" customHeight="1">
      <c r="A34" s="1315" t="str">
        <f>'A2-FinPerf SC'!A34</f>
        <v>Sport and recreation</v>
      </c>
      <c r="B34" s="878"/>
      <c r="C34" s="1731">
        <f t="shared" si="46"/>
        <v>4599256.8500000006</v>
      </c>
      <c r="D34" s="1708">
        <f t="shared" si="47"/>
        <v>6438959.5900000008</v>
      </c>
      <c r="E34" s="1708">
        <f t="shared" si="48"/>
        <v>8278662.3300000001</v>
      </c>
      <c r="F34" s="1708">
        <f t="shared" si="49"/>
        <v>10118365.07</v>
      </c>
      <c r="G34" s="1708">
        <f t="shared" si="50"/>
        <v>11958067.810000001</v>
      </c>
      <c r="H34" s="1708">
        <f t="shared" si="51"/>
        <v>9198513.7000000011</v>
      </c>
      <c r="I34" s="1708">
        <f t="shared" si="52"/>
        <v>8278662.3300000001</v>
      </c>
      <c r="J34" s="1708">
        <f t="shared" si="53"/>
        <v>11038216.439999999</v>
      </c>
      <c r="K34" s="1708">
        <f t="shared" si="54"/>
        <v>7358810.96</v>
      </c>
      <c r="L34" s="1708">
        <f t="shared" si="55"/>
        <v>6438959.5900000008</v>
      </c>
      <c r="M34" s="1708">
        <f t="shared" si="56"/>
        <v>4599256.8500000006</v>
      </c>
      <c r="N34" s="205">
        <f t="shared" si="33"/>
        <v>3679405.4800000042</v>
      </c>
      <c r="O34" s="206">
        <f>'A2-FinPerf SC'!I34</f>
        <v>91985137</v>
      </c>
      <c r="P34" s="204">
        <f>'A2-FinPerf SC'!J34</f>
        <v>102863227</v>
      </c>
      <c r="Q34" s="205">
        <f>'A2-FinPerf SC'!K34</f>
        <v>108981156</v>
      </c>
      <c r="R34" s="373"/>
    </row>
    <row r="35" spans="1:18" ht="11.25" customHeight="1">
      <c r="A35" s="1315" t="str">
        <f>'A2-FinPerf SC'!A35</f>
        <v>Public safety</v>
      </c>
      <c r="B35" s="878"/>
      <c r="C35" s="1731">
        <f t="shared" si="46"/>
        <v>8908776.4500000011</v>
      </c>
      <c r="D35" s="1708">
        <f t="shared" si="47"/>
        <v>12472287.030000001</v>
      </c>
      <c r="E35" s="1708">
        <f t="shared" si="48"/>
        <v>16035797.609999999</v>
      </c>
      <c r="F35" s="1708">
        <f t="shared" si="49"/>
        <v>19599308.190000001</v>
      </c>
      <c r="G35" s="1708">
        <f t="shared" si="50"/>
        <v>23162818.77</v>
      </c>
      <c r="H35" s="1708">
        <f t="shared" si="51"/>
        <v>17817552.900000002</v>
      </c>
      <c r="I35" s="1708">
        <f t="shared" si="52"/>
        <v>16035797.609999999</v>
      </c>
      <c r="J35" s="1708">
        <f t="shared" si="53"/>
        <v>21381063.48</v>
      </c>
      <c r="K35" s="1708">
        <f t="shared" si="54"/>
        <v>14254042.32</v>
      </c>
      <c r="L35" s="1708">
        <f t="shared" si="55"/>
        <v>12472287.030000001</v>
      </c>
      <c r="M35" s="1708">
        <f t="shared" si="56"/>
        <v>8908776.4500000011</v>
      </c>
      <c r="N35" s="205">
        <f t="shared" si="33"/>
        <v>7127021.1600000262</v>
      </c>
      <c r="O35" s="206">
        <f>'A2-FinPerf SC'!I35</f>
        <v>178175529</v>
      </c>
      <c r="P35" s="204">
        <f>'A2-FinPerf SC'!J35</f>
        <v>205737962</v>
      </c>
      <c r="Q35" s="205">
        <f>'A2-FinPerf SC'!K35</f>
        <v>218747462</v>
      </c>
      <c r="R35" s="373"/>
    </row>
    <row r="36" spans="1:18" ht="11.25" customHeight="1">
      <c r="A36" s="1315" t="str">
        <f>'A2-FinPerf SC'!A36</f>
        <v>Housing</v>
      </c>
      <c r="B36" s="878"/>
      <c r="C36" s="1731">
        <f t="shared" si="46"/>
        <v>1597709.5</v>
      </c>
      <c r="D36" s="1708">
        <f t="shared" si="47"/>
        <v>2236793.3000000003</v>
      </c>
      <c r="E36" s="1708">
        <f t="shared" si="48"/>
        <v>2875877.1</v>
      </c>
      <c r="F36" s="1708">
        <f t="shared" si="49"/>
        <v>3514960.9</v>
      </c>
      <c r="G36" s="1708">
        <f t="shared" si="50"/>
        <v>4154044.7</v>
      </c>
      <c r="H36" s="1708">
        <f t="shared" si="51"/>
        <v>3195419</v>
      </c>
      <c r="I36" s="1708">
        <f t="shared" si="52"/>
        <v>2875877.1</v>
      </c>
      <c r="J36" s="1708">
        <f t="shared" si="53"/>
        <v>3834502.8</v>
      </c>
      <c r="K36" s="1708">
        <f t="shared" si="54"/>
        <v>2556335.2000000002</v>
      </c>
      <c r="L36" s="1708">
        <f t="shared" si="55"/>
        <v>2236793.3000000003</v>
      </c>
      <c r="M36" s="1708">
        <f t="shared" si="56"/>
        <v>1597709.5</v>
      </c>
      <c r="N36" s="205">
        <f t="shared" si="33"/>
        <v>1278167.5999999978</v>
      </c>
      <c r="O36" s="206">
        <f>'A2-FinPerf SC'!I36</f>
        <v>31954190</v>
      </c>
      <c r="P36" s="204">
        <f>'A2-FinPerf SC'!J36</f>
        <v>30165344</v>
      </c>
      <c r="Q36" s="205">
        <f>'A2-FinPerf SC'!K36</f>
        <v>34521568</v>
      </c>
      <c r="R36" s="373"/>
    </row>
    <row r="37" spans="1:18" ht="11.25" customHeight="1">
      <c r="A37" s="1315" t="str">
        <f>'A2-FinPerf SC'!A37</f>
        <v>Health</v>
      </c>
      <c r="B37" s="878"/>
      <c r="C37" s="1731">
        <f t="shared" si="46"/>
        <v>2416301.85</v>
      </c>
      <c r="D37" s="1708">
        <f t="shared" si="47"/>
        <v>3382822.5900000003</v>
      </c>
      <c r="E37" s="1708">
        <f t="shared" si="48"/>
        <v>4349343.33</v>
      </c>
      <c r="F37" s="1708">
        <f t="shared" si="49"/>
        <v>5315864.07</v>
      </c>
      <c r="G37" s="1708">
        <f t="shared" si="50"/>
        <v>6282384.8100000005</v>
      </c>
      <c r="H37" s="1708">
        <f t="shared" si="51"/>
        <v>4832603.7</v>
      </c>
      <c r="I37" s="1708">
        <f t="shared" si="52"/>
        <v>4349343.33</v>
      </c>
      <c r="J37" s="1708">
        <f t="shared" si="53"/>
        <v>5799124.4399999995</v>
      </c>
      <c r="K37" s="1708">
        <f t="shared" si="54"/>
        <v>3866082.96</v>
      </c>
      <c r="L37" s="1708">
        <f t="shared" si="55"/>
        <v>3382822.5900000003</v>
      </c>
      <c r="M37" s="1708">
        <f t="shared" si="56"/>
        <v>2416301.85</v>
      </c>
      <c r="N37" s="205">
        <f t="shared" si="33"/>
        <v>1933041.4799999967</v>
      </c>
      <c r="O37" s="206">
        <f>'A2-FinPerf SC'!I37</f>
        <v>48326037</v>
      </c>
      <c r="P37" s="204">
        <f>'A2-FinPerf SC'!J37</f>
        <v>47292137</v>
      </c>
      <c r="Q37" s="205">
        <f>'A2-FinPerf SC'!K37</f>
        <v>50422075</v>
      </c>
      <c r="R37" s="373"/>
    </row>
    <row r="38" spans="1:18" ht="11.25" customHeight="1">
      <c r="A38" s="1314" t="str">
        <f>'A2-FinPerf SC'!A38</f>
        <v>Economic and environmental services</v>
      </c>
      <c r="B38" s="878"/>
      <c r="C38" s="1170">
        <f>SUM(C39:C41)</f>
        <v>13985178.300000001</v>
      </c>
      <c r="D38" s="1168">
        <f t="shared" ref="D38:M38" si="57">SUM(D39:D41)</f>
        <v>19579249.620000005</v>
      </c>
      <c r="E38" s="1168">
        <f t="shared" si="57"/>
        <v>25173320.939999998</v>
      </c>
      <c r="F38" s="1168">
        <f t="shared" si="57"/>
        <v>30767392.259999998</v>
      </c>
      <c r="G38" s="1168">
        <f t="shared" si="57"/>
        <v>36361463.580000006</v>
      </c>
      <c r="H38" s="1168">
        <f t="shared" si="57"/>
        <v>27970356.600000001</v>
      </c>
      <c r="I38" s="1168">
        <f t="shared" si="57"/>
        <v>25173320.939999998</v>
      </c>
      <c r="J38" s="1168">
        <f t="shared" si="57"/>
        <v>33564427.919999994</v>
      </c>
      <c r="K38" s="1168">
        <f t="shared" si="57"/>
        <v>22376285.280000001</v>
      </c>
      <c r="L38" s="1168">
        <f t="shared" si="57"/>
        <v>19579249.620000005</v>
      </c>
      <c r="M38" s="1168">
        <f t="shared" si="57"/>
        <v>13985178.300000001</v>
      </c>
      <c r="N38" s="220">
        <f t="shared" ref="N38:N47" si="58">O38-SUM(C38:M38)</f>
        <v>11188142.639999986</v>
      </c>
      <c r="O38" s="221">
        <f>'A2-FinPerf SC'!I38</f>
        <v>279703566</v>
      </c>
      <c r="P38" s="219">
        <f>'A2-FinPerf SC'!J38</f>
        <v>246973990.51499999</v>
      </c>
      <c r="Q38" s="220">
        <f>'A2-FinPerf SC'!K38</f>
        <v>211415689.773325</v>
      </c>
      <c r="R38" s="373"/>
    </row>
    <row r="39" spans="1:18" ht="11.25" customHeight="1">
      <c r="A39" s="1315" t="str">
        <f>'A2-FinPerf SC'!A39</f>
        <v>Planning and development</v>
      </c>
      <c r="B39" s="878"/>
      <c r="C39" s="1731">
        <f t="shared" ref="C39:C40" si="59">O39*0.05</f>
        <v>3578452</v>
      </c>
      <c r="D39" s="1708">
        <f t="shared" ref="D39:D40" si="60">O39*0.07</f>
        <v>5009832.8000000007</v>
      </c>
      <c r="E39" s="1708">
        <f t="shared" ref="E39:E40" si="61">O39*0.09</f>
        <v>6441213.5999999996</v>
      </c>
      <c r="F39" s="1708">
        <f t="shared" ref="F39:F40" si="62">O39*0.11</f>
        <v>7872594.4000000004</v>
      </c>
      <c r="G39" s="1708">
        <f t="shared" ref="G39:G40" si="63">O39*0.13</f>
        <v>9303975.2000000011</v>
      </c>
      <c r="H39" s="1708">
        <f t="shared" ref="H39:H40" si="64">O39*0.1</f>
        <v>7156904</v>
      </c>
      <c r="I39" s="1708">
        <f t="shared" ref="I39:I40" si="65">O39*0.09</f>
        <v>6441213.5999999996</v>
      </c>
      <c r="J39" s="1708">
        <f t="shared" ref="J39:J40" si="66">O39*0.12</f>
        <v>8588284.7999999989</v>
      </c>
      <c r="K39" s="1708">
        <f t="shared" ref="K39:K40" si="67">O39*0.08</f>
        <v>5725523.2000000002</v>
      </c>
      <c r="L39" s="1708">
        <f t="shared" ref="L39:L40" si="68">O39*0.07</f>
        <v>5009832.8000000007</v>
      </c>
      <c r="M39" s="1708">
        <f t="shared" ref="M39:M40" si="69">O39*0.05</f>
        <v>3578452</v>
      </c>
      <c r="N39" s="205">
        <f t="shared" si="58"/>
        <v>2862761.599999994</v>
      </c>
      <c r="O39" s="206">
        <f>'A2-FinPerf SC'!I39</f>
        <v>71569040</v>
      </c>
      <c r="P39" s="204">
        <f>'A2-FinPerf SC'!J39</f>
        <v>75274713</v>
      </c>
      <c r="Q39" s="205">
        <f>'A2-FinPerf SC'!K39</f>
        <v>93848079</v>
      </c>
      <c r="R39" s="373"/>
    </row>
    <row r="40" spans="1:18" ht="11.25" customHeight="1">
      <c r="A40" s="1315" t="str">
        <f>'A2-FinPerf SC'!A40</f>
        <v>Road transport</v>
      </c>
      <c r="B40" s="878"/>
      <c r="C40" s="1731">
        <f t="shared" si="59"/>
        <v>10406726.300000001</v>
      </c>
      <c r="D40" s="1708">
        <f t="shared" si="60"/>
        <v>14569416.820000002</v>
      </c>
      <c r="E40" s="1708">
        <f t="shared" si="61"/>
        <v>18732107.34</v>
      </c>
      <c r="F40" s="1708">
        <f t="shared" si="62"/>
        <v>22894797.859999999</v>
      </c>
      <c r="G40" s="1708">
        <f t="shared" si="63"/>
        <v>27057488.380000003</v>
      </c>
      <c r="H40" s="1708">
        <f t="shared" si="64"/>
        <v>20813452.600000001</v>
      </c>
      <c r="I40" s="1708">
        <f t="shared" si="65"/>
        <v>18732107.34</v>
      </c>
      <c r="J40" s="1708">
        <f t="shared" si="66"/>
        <v>24976143.119999997</v>
      </c>
      <c r="K40" s="1708">
        <f t="shared" si="67"/>
        <v>16650762.08</v>
      </c>
      <c r="L40" s="1708">
        <f t="shared" si="68"/>
        <v>14569416.820000002</v>
      </c>
      <c r="M40" s="1708">
        <f t="shared" si="69"/>
        <v>10406726.300000001</v>
      </c>
      <c r="N40" s="205">
        <f t="shared" si="58"/>
        <v>8325381.0399999619</v>
      </c>
      <c r="O40" s="206">
        <f>'A2-FinPerf SC'!I40</f>
        <v>208134526</v>
      </c>
      <c r="P40" s="204">
        <f>'A2-FinPerf SC'!J40</f>
        <v>171699277.51499999</v>
      </c>
      <c r="Q40" s="205">
        <f>'A2-FinPerf SC'!K40</f>
        <v>117567610.773325</v>
      </c>
      <c r="R40" s="373"/>
    </row>
    <row r="41" spans="1:18" ht="11.25" customHeight="1">
      <c r="A41" s="1315" t="str">
        <f>'A2-FinPerf SC'!A41</f>
        <v>Environmental protection</v>
      </c>
      <c r="B41" s="878"/>
      <c r="C41" s="1731">
        <f t="shared" ref="C41" si="70">O41/12</f>
        <v>0</v>
      </c>
      <c r="D41" s="1708"/>
      <c r="E41" s="1708"/>
      <c r="F41" s="1708"/>
      <c r="G41" s="1708"/>
      <c r="H41" s="1708"/>
      <c r="I41" s="1708"/>
      <c r="J41" s="1708"/>
      <c r="K41" s="1708"/>
      <c r="L41" s="1708"/>
      <c r="M41" s="1708"/>
      <c r="N41" s="205">
        <f t="shared" si="58"/>
        <v>0</v>
      </c>
      <c r="O41" s="206">
        <f>'A2-FinPerf SC'!I41</f>
        <v>0</v>
      </c>
      <c r="P41" s="204">
        <f>'A2-FinPerf SC'!J41</f>
        <v>0</v>
      </c>
      <c r="Q41" s="205">
        <f>'A2-FinPerf SC'!K41</f>
        <v>0</v>
      </c>
      <c r="R41" s="373"/>
    </row>
    <row r="42" spans="1:18" ht="11.25" customHeight="1">
      <c r="A42" s="1314" t="str">
        <f>'A2-FinPerf SC'!A42</f>
        <v>Trading services</v>
      </c>
      <c r="B42" s="878"/>
      <c r="C42" s="1170">
        <f>SUM(C43:C46)</f>
        <v>87681929.899999991</v>
      </c>
      <c r="D42" s="1168">
        <f t="shared" ref="D42:M42" si="71">SUM(D43:D46)</f>
        <v>122754701.86000001</v>
      </c>
      <c r="E42" s="1168">
        <f t="shared" si="71"/>
        <v>157827473.81999999</v>
      </c>
      <c r="F42" s="1168">
        <f t="shared" si="71"/>
        <v>192900245.78</v>
      </c>
      <c r="G42" s="1168">
        <f t="shared" si="71"/>
        <v>227973017.74000004</v>
      </c>
      <c r="H42" s="1168">
        <f t="shared" si="71"/>
        <v>175363859.79999998</v>
      </c>
      <c r="I42" s="1168">
        <f t="shared" si="71"/>
        <v>157827473.81999999</v>
      </c>
      <c r="J42" s="1168">
        <f t="shared" si="71"/>
        <v>210436631.75999999</v>
      </c>
      <c r="K42" s="1168">
        <f t="shared" si="71"/>
        <v>140291087.84</v>
      </c>
      <c r="L42" s="1168">
        <f t="shared" si="71"/>
        <v>122754701.86000001</v>
      </c>
      <c r="M42" s="1168">
        <f t="shared" si="71"/>
        <v>87681929.899999991</v>
      </c>
      <c r="N42" s="220">
        <f>O42-SUM(C42:M42)</f>
        <v>70145543.920000076</v>
      </c>
      <c r="O42" s="221">
        <f>'A2-FinPerf SC'!I42</f>
        <v>1753638598</v>
      </c>
      <c r="P42" s="219">
        <f>'A2-FinPerf SC'!J42</f>
        <v>1954036624</v>
      </c>
      <c r="Q42" s="220">
        <f>'A2-FinPerf SC'!K42</f>
        <v>2062987521</v>
      </c>
      <c r="R42" s="373"/>
    </row>
    <row r="43" spans="1:18" ht="11.25" customHeight="1">
      <c r="A43" s="1315" t="str">
        <f>'A2-FinPerf SC'!A43</f>
        <v>Electricity</v>
      </c>
      <c r="B43" s="878"/>
      <c r="C43" s="1731">
        <f t="shared" ref="C43:C47" si="72">O43*0.05</f>
        <v>53745352</v>
      </c>
      <c r="D43" s="1708">
        <f t="shared" ref="D43:D47" si="73">O43*0.07</f>
        <v>75243492.800000012</v>
      </c>
      <c r="E43" s="1708">
        <f t="shared" ref="E43:E47" si="74">O43*0.09</f>
        <v>96741633.599999994</v>
      </c>
      <c r="F43" s="1708">
        <f t="shared" ref="F43:F47" si="75">O43*0.11</f>
        <v>118239774.40000001</v>
      </c>
      <c r="G43" s="1708">
        <f t="shared" ref="G43:G47" si="76">O43*0.13</f>
        <v>139737915.20000002</v>
      </c>
      <c r="H43" s="1708">
        <f t="shared" ref="H43:H47" si="77">O43*0.1</f>
        <v>107490704</v>
      </c>
      <c r="I43" s="1708">
        <f t="shared" ref="I43:I47" si="78">O43*0.09</f>
        <v>96741633.599999994</v>
      </c>
      <c r="J43" s="1708">
        <f t="shared" ref="J43:J47" si="79">O43*0.12</f>
        <v>128988844.8</v>
      </c>
      <c r="K43" s="1708">
        <f t="shared" ref="K43:K47" si="80">O43*0.08</f>
        <v>85992563.200000003</v>
      </c>
      <c r="L43" s="1708">
        <f t="shared" ref="L43:L47" si="81">O43*0.07</f>
        <v>75243492.800000012</v>
      </c>
      <c r="M43" s="1708">
        <f t="shared" ref="M43:M47" si="82">O43*0.05</f>
        <v>53745352</v>
      </c>
      <c r="N43" s="205">
        <f t="shared" si="58"/>
        <v>42996281.599999905</v>
      </c>
      <c r="O43" s="206">
        <f>'A2-FinPerf SC'!I43</f>
        <v>1074907040</v>
      </c>
      <c r="P43" s="204">
        <f>'A2-FinPerf SC'!J43</f>
        <v>1118263860</v>
      </c>
      <c r="Q43" s="205">
        <f>'A2-FinPerf SC'!K43</f>
        <v>1180619312</v>
      </c>
      <c r="R43" s="373"/>
    </row>
    <row r="44" spans="1:18" ht="11.25" customHeight="1">
      <c r="A44" s="1315" t="str">
        <f>'A2-FinPerf SC'!A44</f>
        <v>Water</v>
      </c>
      <c r="B44" s="878"/>
      <c r="C44" s="1731">
        <f t="shared" si="72"/>
        <v>26309840.800000001</v>
      </c>
      <c r="D44" s="1708">
        <f t="shared" si="73"/>
        <v>36833777.120000005</v>
      </c>
      <c r="E44" s="1708">
        <f t="shared" si="74"/>
        <v>47357713.439999998</v>
      </c>
      <c r="F44" s="1708">
        <f t="shared" si="75"/>
        <v>57881649.759999998</v>
      </c>
      <c r="G44" s="1708">
        <f t="shared" si="76"/>
        <v>68405586.079999998</v>
      </c>
      <c r="H44" s="1708">
        <f t="shared" si="77"/>
        <v>52619681.600000001</v>
      </c>
      <c r="I44" s="1708">
        <f t="shared" si="78"/>
        <v>47357713.439999998</v>
      </c>
      <c r="J44" s="1708">
        <f t="shared" si="79"/>
        <v>63143617.919999994</v>
      </c>
      <c r="K44" s="1708">
        <f t="shared" si="80"/>
        <v>42095745.280000001</v>
      </c>
      <c r="L44" s="1708">
        <f t="shared" si="81"/>
        <v>36833777.120000005</v>
      </c>
      <c r="M44" s="1708">
        <f t="shared" si="82"/>
        <v>26309840.800000001</v>
      </c>
      <c r="N44" s="205">
        <f t="shared" si="58"/>
        <v>21047872.639999926</v>
      </c>
      <c r="O44" s="206">
        <f>'A2-FinPerf SC'!I44</f>
        <v>526196816</v>
      </c>
      <c r="P44" s="204">
        <f>'A2-FinPerf SC'!J44</f>
        <v>649377723</v>
      </c>
      <c r="Q44" s="205">
        <f>'A2-FinPerf SC'!K44</f>
        <v>684654593</v>
      </c>
      <c r="R44" s="373"/>
    </row>
    <row r="45" spans="1:18" ht="11.25" customHeight="1">
      <c r="A45" s="1315" t="str">
        <f>'A2-FinPerf SC'!A45</f>
        <v>Waste water management</v>
      </c>
      <c r="B45" s="878"/>
      <c r="C45" s="1731">
        <f t="shared" si="72"/>
        <v>3992602.1</v>
      </c>
      <c r="D45" s="1708">
        <f t="shared" si="73"/>
        <v>5589642.9400000004</v>
      </c>
      <c r="E45" s="1708">
        <f t="shared" si="74"/>
        <v>7186683.7799999993</v>
      </c>
      <c r="F45" s="1708">
        <f t="shared" si="75"/>
        <v>8783724.6199999992</v>
      </c>
      <c r="G45" s="1708">
        <f t="shared" si="76"/>
        <v>10380765.460000001</v>
      </c>
      <c r="H45" s="1708">
        <f t="shared" si="77"/>
        <v>7985204.2000000002</v>
      </c>
      <c r="I45" s="1708">
        <f t="shared" si="78"/>
        <v>7186683.7799999993</v>
      </c>
      <c r="J45" s="1708">
        <f t="shared" si="79"/>
        <v>9582245.0399999991</v>
      </c>
      <c r="K45" s="1708">
        <f t="shared" si="80"/>
        <v>6388163.3600000003</v>
      </c>
      <c r="L45" s="1708">
        <f t="shared" si="81"/>
        <v>5589642.9400000004</v>
      </c>
      <c r="M45" s="1708">
        <f t="shared" si="82"/>
        <v>3992602.1</v>
      </c>
      <c r="N45" s="205">
        <f t="shared" si="58"/>
        <v>3194081.6800000072</v>
      </c>
      <c r="O45" s="206">
        <f>'A2-FinPerf SC'!I45</f>
        <v>79852042</v>
      </c>
      <c r="P45" s="204">
        <f>'A2-FinPerf SC'!J45</f>
        <v>92913125</v>
      </c>
      <c r="Q45" s="205">
        <f>'A2-FinPerf SC'!K45</f>
        <v>98382114</v>
      </c>
      <c r="R45" s="373"/>
    </row>
    <row r="46" spans="1:18" ht="11.25" customHeight="1">
      <c r="A46" s="1315" t="str">
        <f>'A2-FinPerf SC'!A46</f>
        <v>Waste management</v>
      </c>
      <c r="B46" s="878"/>
      <c r="C46" s="1731">
        <f t="shared" si="72"/>
        <v>3634135</v>
      </c>
      <c r="D46" s="1708">
        <f t="shared" si="73"/>
        <v>5087789.0000000009</v>
      </c>
      <c r="E46" s="1708">
        <f t="shared" si="74"/>
        <v>6541443</v>
      </c>
      <c r="F46" s="1708">
        <f t="shared" si="75"/>
        <v>7995097</v>
      </c>
      <c r="G46" s="1708">
        <f t="shared" si="76"/>
        <v>9448751</v>
      </c>
      <c r="H46" s="1708">
        <f t="shared" si="77"/>
        <v>7268270</v>
      </c>
      <c r="I46" s="1708">
        <f t="shared" si="78"/>
        <v>6541443</v>
      </c>
      <c r="J46" s="1708">
        <f t="shared" si="79"/>
        <v>8721924</v>
      </c>
      <c r="K46" s="1708">
        <f t="shared" si="80"/>
        <v>5814616</v>
      </c>
      <c r="L46" s="1708">
        <f t="shared" si="81"/>
        <v>5087789.0000000009</v>
      </c>
      <c r="M46" s="1708">
        <f t="shared" si="82"/>
        <v>3634135</v>
      </c>
      <c r="N46" s="205">
        <f t="shared" si="58"/>
        <v>2907308</v>
      </c>
      <c r="O46" s="206">
        <f>'A2-FinPerf SC'!I46</f>
        <v>72682700</v>
      </c>
      <c r="P46" s="204">
        <f>'A2-FinPerf SC'!J46</f>
        <v>93481916</v>
      </c>
      <c r="Q46" s="205">
        <f>'A2-FinPerf SC'!K46</f>
        <v>99331502</v>
      </c>
      <c r="R46" s="373"/>
    </row>
    <row r="47" spans="1:18" ht="11.25" customHeight="1">
      <c r="A47" s="1314" t="str">
        <f>'A2-FinPerf SC'!A47</f>
        <v>Other</v>
      </c>
      <c r="B47" s="878"/>
      <c r="C47" s="1731">
        <f t="shared" si="72"/>
        <v>2395549.6</v>
      </c>
      <c r="D47" s="1743">
        <f t="shared" si="73"/>
        <v>3353769.4400000004</v>
      </c>
      <c r="E47" s="1743">
        <f t="shared" si="74"/>
        <v>4311989.28</v>
      </c>
      <c r="F47" s="1743">
        <f t="shared" si="75"/>
        <v>5270209.12</v>
      </c>
      <c r="G47" s="1743">
        <f t="shared" si="76"/>
        <v>6228428.96</v>
      </c>
      <c r="H47" s="1743">
        <f t="shared" si="77"/>
        <v>4791099.2</v>
      </c>
      <c r="I47" s="1743">
        <f t="shared" si="78"/>
        <v>4311989.28</v>
      </c>
      <c r="J47" s="1743">
        <f t="shared" si="79"/>
        <v>5749319.04</v>
      </c>
      <c r="K47" s="1743">
        <f t="shared" si="80"/>
        <v>3832879.36</v>
      </c>
      <c r="L47" s="1743">
        <f t="shared" si="81"/>
        <v>3353769.4400000004</v>
      </c>
      <c r="M47" s="1743">
        <f t="shared" si="82"/>
        <v>2395549.6</v>
      </c>
      <c r="N47" s="220">
        <f t="shared" si="58"/>
        <v>1916439.6799999997</v>
      </c>
      <c r="O47" s="221">
        <f>'A2-FinPerf SC'!I47</f>
        <v>47910992</v>
      </c>
      <c r="P47" s="219">
        <f>'A2-FinPerf SC'!J47</f>
        <v>50449758</v>
      </c>
      <c r="Q47" s="220">
        <f>'A2-FinPerf SC'!K47</f>
        <v>53181232</v>
      </c>
      <c r="R47" s="373"/>
    </row>
    <row r="48" spans="1:18">
      <c r="A48" s="266" t="str">
        <f>'A2-FinPerf SC'!A48</f>
        <v>Total Expenditure - Standard</v>
      </c>
      <c r="B48" s="879"/>
      <c r="C48" s="270">
        <f>C28+C32+C38+C42+C47</f>
        <v>166955318.74999997</v>
      </c>
      <c r="D48" s="268">
        <f t="shared" ref="D48:P48" si="83">D28+D32+D38+D42+D47</f>
        <v>233737446.25</v>
      </c>
      <c r="E48" s="268">
        <f t="shared" si="83"/>
        <v>300519573.74999994</v>
      </c>
      <c r="F48" s="268">
        <f t="shared" si="83"/>
        <v>367301701.25</v>
      </c>
      <c r="G48" s="268">
        <f t="shared" si="83"/>
        <v>434083828.75000006</v>
      </c>
      <c r="H48" s="268">
        <f t="shared" si="83"/>
        <v>333910637.49999994</v>
      </c>
      <c r="I48" s="268">
        <f t="shared" si="83"/>
        <v>300519573.74999994</v>
      </c>
      <c r="J48" s="268">
        <f t="shared" si="83"/>
        <v>400692765</v>
      </c>
      <c r="K48" s="268">
        <f t="shared" si="83"/>
        <v>267128510.00000003</v>
      </c>
      <c r="L48" s="268">
        <f t="shared" si="83"/>
        <v>233737446.25</v>
      </c>
      <c r="M48" s="268">
        <f t="shared" si="83"/>
        <v>166955318.74999997</v>
      </c>
      <c r="N48" s="215">
        <f t="shared" si="83"/>
        <v>133564255</v>
      </c>
      <c r="O48" s="216">
        <f t="shared" si="83"/>
        <v>3339106375</v>
      </c>
      <c r="P48" s="214">
        <f t="shared" si="83"/>
        <v>3551108161.5149999</v>
      </c>
      <c r="Q48" s="215">
        <f>Q28+Q32+Q38+Q42+Q47</f>
        <v>3711581029.8773251</v>
      </c>
      <c r="R48" s="373"/>
    </row>
    <row r="49" spans="1:18" ht="6" customHeight="1">
      <c r="A49" s="274"/>
      <c r="B49" s="878"/>
      <c r="C49" s="206"/>
      <c r="D49" s="204"/>
      <c r="E49" s="204"/>
      <c r="F49" s="204"/>
      <c r="G49" s="204"/>
      <c r="H49" s="204"/>
      <c r="I49" s="204"/>
      <c r="J49" s="204"/>
      <c r="K49" s="204"/>
      <c r="L49" s="204"/>
      <c r="M49" s="204"/>
      <c r="N49" s="205"/>
      <c r="O49" s="206"/>
      <c r="P49" s="204"/>
      <c r="Q49" s="205"/>
      <c r="R49" s="373"/>
    </row>
    <row r="50" spans="1:18">
      <c r="A50" s="882" t="str">
        <f>'A4-FinPerf RE'!A38&amp;" before assoc."</f>
        <v>Surplus/(Deficit) before assoc.</v>
      </c>
      <c r="B50" s="883"/>
      <c r="C50" s="216">
        <f t="shared" ref="C50:Q50" si="84">C25-C48</f>
        <v>4499.9000000357628</v>
      </c>
      <c r="D50" s="214">
        <f t="shared" si="84"/>
        <v>6299.8600000143051</v>
      </c>
      <c r="E50" s="214">
        <f t="shared" si="84"/>
        <v>8099.8200000524521</v>
      </c>
      <c r="F50" s="214">
        <f t="shared" si="84"/>
        <v>9899.7800000309944</v>
      </c>
      <c r="G50" s="214">
        <f t="shared" si="84"/>
        <v>11699.740000009537</v>
      </c>
      <c r="H50" s="214">
        <f t="shared" si="84"/>
        <v>8999.8000000715256</v>
      </c>
      <c r="I50" s="214">
        <f t="shared" si="84"/>
        <v>8099.8200000524521</v>
      </c>
      <c r="J50" s="214">
        <f t="shared" si="84"/>
        <v>10799.759999930859</v>
      </c>
      <c r="K50" s="214">
        <f t="shared" si="84"/>
        <v>7199.8399999439716</v>
      </c>
      <c r="L50" s="214">
        <f t="shared" si="84"/>
        <v>6299.8600000143051</v>
      </c>
      <c r="M50" s="214">
        <f t="shared" si="84"/>
        <v>4499.9000000357628</v>
      </c>
      <c r="N50" s="215">
        <f t="shared" si="84"/>
        <v>3599.9200000017881</v>
      </c>
      <c r="O50" s="216">
        <f t="shared" si="84"/>
        <v>89998</v>
      </c>
      <c r="P50" s="214">
        <f t="shared" si="84"/>
        <v>100000.41699981689</v>
      </c>
      <c r="Q50" s="215">
        <f t="shared" si="84"/>
        <v>110002.24593496323</v>
      </c>
      <c r="R50" s="373"/>
    </row>
    <row r="51" spans="1:18" ht="6" customHeight="1">
      <c r="A51" s="274"/>
      <c r="B51" s="878"/>
      <c r="C51" s="206"/>
      <c r="D51" s="204"/>
      <c r="E51" s="204"/>
      <c r="F51" s="204"/>
      <c r="G51" s="204"/>
      <c r="H51" s="204"/>
      <c r="I51" s="204"/>
      <c r="J51" s="204"/>
      <c r="K51" s="204"/>
      <c r="L51" s="204"/>
      <c r="M51" s="204"/>
      <c r="N51" s="205"/>
      <c r="O51" s="206"/>
      <c r="P51" s="204"/>
      <c r="Q51" s="205"/>
      <c r="R51" s="373"/>
    </row>
    <row r="52" spans="1:18">
      <c r="A52" s="536" t="str">
        <f>'A4-FinPerf RE'!A47</f>
        <v>Share of surplus/ (deficit) of associate</v>
      </c>
      <c r="B52" s="890"/>
      <c r="C52" s="1731"/>
      <c r="D52" s="1708"/>
      <c r="E52" s="1708"/>
      <c r="F52" s="1708"/>
      <c r="G52" s="1708"/>
      <c r="H52" s="1708"/>
      <c r="I52" s="1708"/>
      <c r="J52" s="1708"/>
      <c r="K52" s="1708"/>
      <c r="L52" s="1708"/>
      <c r="M52" s="1708"/>
      <c r="N52" s="205">
        <f>O52-SUM(C52:M52)</f>
        <v>0</v>
      </c>
      <c r="O52" s="206">
        <f>'A4-FinPerf RE'!J47</f>
        <v>0</v>
      </c>
      <c r="P52" s="204">
        <f>'A4-FinPerf RE'!K47</f>
        <v>0</v>
      </c>
      <c r="Q52" s="205">
        <f>'A4-FinPerf RE'!L47</f>
        <v>0</v>
      </c>
      <c r="R52" s="373"/>
    </row>
    <row r="53" spans="1:18">
      <c r="A53" s="863" t="str">
        <f>'A4-FinPerf RE'!A38</f>
        <v>Surplus/(Deficit)</v>
      </c>
      <c r="B53" s="891">
        <v>1</v>
      </c>
      <c r="C53" s="355">
        <f>C50+C52</f>
        <v>4499.9000000357628</v>
      </c>
      <c r="D53" s="228">
        <f t="shared" ref="D53:Q53" si="85">D50+D52</f>
        <v>6299.8600000143051</v>
      </c>
      <c r="E53" s="228">
        <f t="shared" si="85"/>
        <v>8099.8200000524521</v>
      </c>
      <c r="F53" s="228">
        <f t="shared" si="85"/>
        <v>9899.7800000309944</v>
      </c>
      <c r="G53" s="228">
        <f t="shared" si="85"/>
        <v>11699.740000009537</v>
      </c>
      <c r="H53" s="228">
        <f t="shared" si="85"/>
        <v>8999.8000000715256</v>
      </c>
      <c r="I53" s="228">
        <f t="shared" si="85"/>
        <v>8099.8200000524521</v>
      </c>
      <c r="J53" s="228">
        <f t="shared" si="85"/>
        <v>10799.759999930859</v>
      </c>
      <c r="K53" s="228">
        <f t="shared" si="85"/>
        <v>7199.8399999439716</v>
      </c>
      <c r="L53" s="228">
        <f t="shared" si="85"/>
        <v>6299.8600000143051</v>
      </c>
      <c r="M53" s="228">
        <f t="shared" si="85"/>
        <v>4499.9000000357628</v>
      </c>
      <c r="N53" s="354">
        <f t="shared" si="85"/>
        <v>3599.9200000017881</v>
      </c>
      <c r="O53" s="355">
        <f t="shared" si="85"/>
        <v>89998</v>
      </c>
      <c r="P53" s="228">
        <f t="shared" si="85"/>
        <v>100000.41699981689</v>
      </c>
      <c r="Q53" s="354">
        <f t="shared" si="85"/>
        <v>110002.24593496323</v>
      </c>
      <c r="R53" s="373"/>
    </row>
    <row r="54" spans="1:18">
      <c r="A54" s="892" t="str">
        <f>head27a</f>
        <v>References</v>
      </c>
      <c r="B54" s="894"/>
      <c r="C54" s="239"/>
      <c r="D54" s="239"/>
      <c r="E54" s="239"/>
      <c r="F54" s="239"/>
      <c r="G54" s="239"/>
      <c r="H54" s="239"/>
      <c r="I54" s="239"/>
      <c r="J54" s="239"/>
      <c r="K54" s="239"/>
      <c r="L54" s="239"/>
      <c r="M54" s="239"/>
      <c r="N54" s="239"/>
      <c r="O54" s="239"/>
      <c r="P54" s="239"/>
      <c r="Q54" s="239"/>
      <c r="R54" s="373"/>
    </row>
    <row r="55" spans="1:18">
      <c r="A55" s="847" t="s">
        <v>1757</v>
      </c>
    </row>
    <row r="56" spans="1:18">
      <c r="A56" s="440" t="s">
        <v>1661</v>
      </c>
      <c r="B56" s="818"/>
      <c r="O56" s="893">
        <f>O53-'A4-FinPerf RE'!J48</f>
        <v>-411313238</v>
      </c>
      <c r="P56" s="893">
        <f>P53-'A4-FinPerf RE'!K48</f>
        <v>-310819116.0260005</v>
      </c>
      <c r="Q56" s="893">
        <f>Q53-'A4-FinPerf RE'!L48</f>
        <v>-214214920.93642998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C5" sqref="C5:M8"/>
    </sheetView>
  </sheetViews>
  <sheetFormatPr defaultRowHeight="12.75"/>
  <cols>
    <col min="1" max="1" width="30.7109375" style="150" customWidth="1"/>
    <col min="2" max="2" width="3" style="248" customWidth="1"/>
    <col min="3" max="14" width="8.28515625" style="150" customWidth="1"/>
    <col min="15" max="17" width="9.28515625" style="150" customWidth="1"/>
    <col min="18" max="16384" width="9.140625" style="150"/>
  </cols>
  <sheetData>
    <row r="1" spans="1:17" ht="13.5" customHeight="1">
      <c r="A1" s="148" t="str">
        <f>muni&amp;" - "&amp; TableA28</f>
        <v>KZN225 Msunduzi - Supporting Table SA28 Budgeted monthly capital expenditure (municipal vote)</v>
      </c>
      <c r="B1" s="148"/>
      <c r="C1" s="148"/>
      <c r="D1" s="148"/>
      <c r="E1" s="148"/>
      <c r="F1" s="148"/>
      <c r="G1" s="148"/>
      <c r="H1" s="148"/>
      <c r="I1" s="148"/>
      <c r="J1" s="148"/>
      <c r="K1" s="148"/>
      <c r="L1" s="148"/>
      <c r="M1" s="148"/>
      <c r="N1" s="148"/>
      <c r="O1" s="148"/>
      <c r="P1" s="148"/>
      <c r="Q1" s="148"/>
    </row>
    <row r="2" spans="1:17" ht="27" customHeight="1">
      <c r="A2" s="1011" t="str">
        <f>desc</f>
        <v>Description</v>
      </c>
      <c r="B2" s="1023" t="str">
        <f>head27</f>
        <v>Ref</v>
      </c>
      <c r="C2" s="2415" t="str">
        <f>Head9</f>
        <v>Budget Year 2011/12</v>
      </c>
      <c r="D2" s="2416"/>
      <c r="E2" s="2416"/>
      <c r="F2" s="2416"/>
      <c r="G2" s="2416"/>
      <c r="H2" s="2416"/>
      <c r="I2" s="2416"/>
      <c r="J2" s="2416"/>
      <c r="K2" s="2416"/>
      <c r="L2" s="2416"/>
      <c r="M2" s="2416"/>
      <c r="N2" s="2416"/>
      <c r="O2" s="2412" t="s">
        <v>1961</v>
      </c>
      <c r="P2" s="2413"/>
      <c r="Q2" s="2414"/>
    </row>
    <row r="3" spans="1:17" ht="25.5">
      <c r="A3" s="1018" t="s">
        <v>703</v>
      </c>
      <c r="B3" s="1024"/>
      <c r="C3" s="300" t="s">
        <v>765</v>
      </c>
      <c r="D3" s="942" t="s">
        <v>1543</v>
      </c>
      <c r="E3" s="942" t="s">
        <v>1544</v>
      </c>
      <c r="F3" s="942" t="s">
        <v>1545</v>
      </c>
      <c r="G3" s="942" t="s">
        <v>444</v>
      </c>
      <c r="H3" s="942" t="s">
        <v>445</v>
      </c>
      <c r="I3" s="942" t="s">
        <v>747</v>
      </c>
      <c r="J3" s="942" t="s">
        <v>446</v>
      </c>
      <c r="K3" s="942" t="s">
        <v>749</v>
      </c>
      <c r="L3" s="942" t="s">
        <v>750</v>
      </c>
      <c r="M3" s="942" t="s">
        <v>751</v>
      </c>
      <c r="N3" s="392" t="s">
        <v>752</v>
      </c>
      <c r="O3" s="300" t="str">
        <f>Head9</f>
        <v>Budget Year 2011/12</v>
      </c>
      <c r="P3" s="393" t="str">
        <f>Head10</f>
        <v>Budget Year +1 2012/13</v>
      </c>
      <c r="Q3" s="394" t="str">
        <f>Head11</f>
        <v>Budget Year +2 2013/14</v>
      </c>
    </row>
    <row r="4" spans="1:17">
      <c r="A4" s="182" t="s">
        <v>371</v>
      </c>
      <c r="B4" s="1020">
        <v>1</v>
      </c>
      <c r="C4" s="206"/>
      <c r="D4" s="204"/>
      <c r="E4" s="204"/>
      <c r="F4" s="204"/>
      <c r="G4" s="204"/>
      <c r="H4" s="204"/>
      <c r="I4" s="204"/>
      <c r="J4" s="204"/>
      <c r="K4" s="204"/>
      <c r="L4" s="204"/>
      <c r="M4" s="204"/>
      <c r="N4" s="203"/>
      <c r="O4" s="206"/>
      <c r="P4" s="204"/>
      <c r="Q4" s="205"/>
    </row>
    <row r="5" spans="1:17">
      <c r="A5" s="1174" t="str">
        <f>'A5-Capex'!A6</f>
        <v>Vote 1 - Corporate Services and Planning</v>
      </c>
      <c r="B5" s="878"/>
      <c r="C5" s="1731">
        <f>O5*0.05</f>
        <v>1828000</v>
      </c>
      <c r="D5" s="1708">
        <f>O5*0.07</f>
        <v>2559200.0000000005</v>
      </c>
      <c r="E5" s="1708">
        <f>O5*0.09</f>
        <v>3290400</v>
      </c>
      <c r="F5" s="1708">
        <f>O5*0.11</f>
        <v>4021600</v>
      </c>
      <c r="G5" s="1708">
        <f>O5*0.13</f>
        <v>4752800</v>
      </c>
      <c r="H5" s="1708">
        <f>O5*0.1</f>
        <v>3656000</v>
      </c>
      <c r="I5" s="1708">
        <f>O5*0.09</f>
        <v>3290400</v>
      </c>
      <c r="J5" s="1708">
        <f>O5*0.12</f>
        <v>4387200</v>
      </c>
      <c r="K5" s="1708">
        <f>O5*0.08</f>
        <v>2924800</v>
      </c>
      <c r="L5" s="1708">
        <f>O5*0.07</f>
        <v>2559200.0000000005</v>
      </c>
      <c r="M5" s="1708">
        <f>O5*0.05</f>
        <v>1828000</v>
      </c>
      <c r="N5" s="203">
        <f>O5-SUM(C5:M5)</f>
        <v>1462400</v>
      </c>
      <c r="O5" s="206">
        <f>'A5-Capex'!J6</f>
        <v>36560000</v>
      </c>
      <c r="P5" s="204">
        <f>'A5-Capex'!K6</f>
        <v>29600000</v>
      </c>
      <c r="Q5" s="205">
        <f>'A5-Capex'!L6</f>
        <v>20000000</v>
      </c>
    </row>
    <row r="6" spans="1:17">
      <c r="A6" s="1174" t="str">
        <f>'A5-Capex'!A7</f>
        <v>Vote 2 - Financial Management Area</v>
      </c>
      <c r="B6" s="878"/>
      <c r="C6" s="1731">
        <f t="shared" ref="C6:C8" si="0">O6*0.05</f>
        <v>0</v>
      </c>
      <c r="D6" s="1708">
        <f t="shared" ref="D6:D8" si="1">O6*0.07</f>
        <v>0</v>
      </c>
      <c r="E6" s="1708">
        <f t="shared" ref="E6:E8" si="2">O6*0.09</f>
        <v>0</v>
      </c>
      <c r="F6" s="1708">
        <f t="shared" ref="F6:F8" si="3">O6*0.11</f>
        <v>0</v>
      </c>
      <c r="G6" s="1708">
        <f t="shared" ref="G6:G8" si="4">O6*0.13</f>
        <v>0</v>
      </c>
      <c r="H6" s="1708">
        <f t="shared" ref="H6:H8" si="5">O6*0.1</f>
        <v>0</v>
      </c>
      <c r="I6" s="1708">
        <f t="shared" ref="I6:I8" si="6">O6*0.09</f>
        <v>0</v>
      </c>
      <c r="J6" s="1708">
        <f t="shared" ref="J6:J8" si="7">O6*0.12</f>
        <v>0</v>
      </c>
      <c r="K6" s="1708">
        <f t="shared" ref="K6:K8" si="8">O6*0.08</f>
        <v>0</v>
      </c>
      <c r="L6" s="1708">
        <f t="shared" ref="L6:L8" si="9">O6*0.07</f>
        <v>0</v>
      </c>
      <c r="M6" s="1708">
        <f t="shared" ref="M6:M8" si="10">O6*0.05</f>
        <v>0</v>
      </c>
      <c r="N6" s="203">
        <f t="shared" ref="N6:N11" si="11">O6-SUM(C6:M6)</f>
        <v>0</v>
      </c>
      <c r="O6" s="206">
        <f>'A5-Capex'!J7</f>
        <v>0</v>
      </c>
      <c r="P6" s="204">
        <f>'A5-Capex'!K7</f>
        <v>0</v>
      </c>
      <c r="Q6" s="205">
        <f>'A5-Capex'!L7</f>
        <v>0</v>
      </c>
    </row>
    <row r="7" spans="1:17">
      <c r="A7" s="1174" t="str">
        <f>'A5-Capex'!A8</f>
        <v>Vote 3 - Infrastructure Development, Service Delivery and Maintenance Management</v>
      </c>
      <c r="B7" s="878"/>
      <c r="C7" s="1731">
        <f t="shared" si="0"/>
        <v>15825815</v>
      </c>
      <c r="D7" s="1708">
        <f t="shared" si="1"/>
        <v>22156141.000000004</v>
      </c>
      <c r="E7" s="1708">
        <f t="shared" si="2"/>
        <v>28486467</v>
      </c>
      <c r="F7" s="1708">
        <f t="shared" si="3"/>
        <v>34816793</v>
      </c>
      <c r="G7" s="1708">
        <f t="shared" si="4"/>
        <v>41147119</v>
      </c>
      <c r="H7" s="1708">
        <f t="shared" si="5"/>
        <v>31651630</v>
      </c>
      <c r="I7" s="1708">
        <f t="shared" si="6"/>
        <v>28486467</v>
      </c>
      <c r="J7" s="1708">
        <f t="shared" si="7"/>
        <v>37981956</v>
      </c>
      <c r="K7" s="1708">
        <f t="shared" si="8"/>
        <v>25321304</v>
      </c>
      <c r="L7" s="1708">
        <f t="shared" si="9"/>
        <v>22156141.000000004</v>
      </c>
      <c r="M7" s="1708">
        <f t="shared" si="10"/>
        <v>15825815</v>
      </c>
      <c r="N7" s="203">
        <f t="shared" si="11"/>
        <v>12660652</v>
      </c>
      <c r="O7" s="206">
        <f>'A5-Capex'!J8</f>
        <v>316516300</v>
      </c>
      <c r="P7" s="204">
        <f>'A5-Capex'!K8</f>
        <v>263470300</v>
      </c>
      <c r="Q7" s="205">
        <f>'A5-Capex'!L8</f>
        <v>194215000</v>
      </c>
    </row>
    <row r="8" spans="1:17">
      <c r="A8" s="1174" t="str">
        <f>'A5-Capex'!A9</f>
        <v>Vote 4 - Sustainable Community Service Delivery Provision Management</v>
      </c>
      <c r="B8" s="878"/>
      <c r="C8" s="1731">
        <f t="shared" si="0"/>
        <v>2911850</v>
      </c>
      <c r="D8" s="1708">
        <f t="shared" si="1"/>
        <v>4076590.0000000005</v>
      </c>
      <c r="E8" s="1708">
        <f t="shared" si="2"/>
        <v>5241330</v>
      </c>
      <c r="F8" s="1708">
        <f t="shared" si="3"/>
        <v>6406070</v>
      </c>
      <c r="G8" s="1708">
        <f t="shared" si="4"/>
        <v>7570810</v>
      </c>
      <c r="H8" s="1708">
        <f t="shared" si="5"/>
        <v>5823700</v>
      </c>
      <c r="I8" s="1708">
        <f t="shared" si="6"/>
        <v>5241330</v>
      </c>
      <c r="J8" s="1708">
        <f t="shared" si="7"/>
        <v>6988440</v>
      </c>
      <c r="K8" s="1708">
        <f t="shared" si="8"/>
        <v>4658960</v>
      </c>
      <c r="L8" s="1708">
        <f t="shared" si="9"/>
        <v>4076590.0000000005</v>
      </c>
      <c r="M8" s="1708">
        <f t="shared" si="10"/>
        <v>2911850</v>
      </c>
      <c r="N8" s="203">
        <f t="shared" si="11"/>
        <v>2329480</v>
      </c>
      <c r="O8" s="206">
        <f>'A5-Capex'!J9</f>
        <v>58237000</v>
      </c>
      <c r="P8" s="204">
        <f>'A5-Capex'!K9</f>
        <v>17749000</v>
      </c>
      <c r="Q8" s="205">
        <f>'A5-Capex'!L9</f>
        <v>0</v>
      </c>
    </row>
    <row r="9" spans="1:17">
      <c r="A9" s="1174" t="str">
        <f>'A5-Capex'!A10</f>
        <v>Example 5 - Vote5</v>
      </c>
      <c r="B9" s="878"/>
      <c r="C9" s="1731"/>
      <c r="D9" s="1708"/>
      <c r="E9" s="1708"/>
      <c r="F9" s="1708"/>
      <c r="G9" s="1708"/>
      <c r="H9" s="1708"/>
      <c r="I9" s="1708"/>
      <c r="J9" s="1708"/>
      <c r="K9" s="1708"/>
      <c r="L9" s="1708"/>
      <c r="M9" s="1708"/>
      <c r="N9" s="203">
        <f t="shared" si="11"/>
        <v>0</v>
      </c>
      <c r="O9" s="206">
        <f>'A5-Capex'!J10</f>
        <v>0</v>
      </c>
      <c r="P9" s="204">
        <f>'A5-Capex'!K10</f>
        <v>0</v>
      </c>
      <c r="Q9" s="205">
        <f>'A5-Capex'!L10</f>
        <v>0</v>
      </c>
    </row>
    <row r="10" spans="1:17">
      <c r="A10" s="1174" t="str">
        <f>'A5-Capex'!A11</f>
        <v>Example 6 - Vote6</v>
      </c>
      <c r="B10" s="878"/>
      <c r="C10" s="1731"/>
      <c r="D10" s="1708"/>
      <c r="E10" s="1708"/>
      <c r="F10" s="1708"/>
      <c r="G10" s="1708"/>
      <c r="H10" s="1708"/>
      <c r="I10" s="1708"/>
      <c r="J10" s="1708"/>
      <c r="K10" s="1708"/>
      <c r="L10" s="1708"/>
      <c r="M10" s="1708"/>
      <c r="N10" s="203">
        <f t="shared" si="11"/>
        <v>0</v>
      </c>
      <c r="O10" s="206">
        <f>'A5-Capex'!J11</f>
        <v>0</v>
      </c>
      <c r="P10" s="204">
        <f>'A5-Capex'!K11</f>
        <v>0</v>
      </c>
      <c r="Q10" s="205">
        <f>'A5-Capex'!L11</f>
        <v>0</v>
      </c>
    </row>
    <row r="11" spans="1:17">
      <c r="A11" s="1174" t="str">
        <f>'A5-Capex'!A12</f>
        <v>Example 7 - Vote7</v>
      </c>
      <c r="B11" s="878"/>
      <c r="C11" s="1731"/>
      <c r="D11" s="1708"/>
      <c r="E11" s="1708"/>
      <c r="F11" s="1708"/>
      <c r="G11" s="1708"/>
      <c r="H11" s="1708"/>
      <c r="I11" s="1708"/>
      <c r="J11" s="1708"/>
      <c r="K11" s="1708"/>
      <c r="L11" s="1708"/>
      <c r="M11" s="1708"/>
      <c r="N11" s="203">
        <f t="shared" si="11"/>
        <v>0</v>
      </c>
      <c r="O11" s="206">
        <f>'A5-Capex'!J12</f>
        <v>0</v>
      </c>
      <c r="P11" s="204">
        <f>'A5-Capex'!K12</f>
        <v>0</v>
      </c>
      <c r="Q11" s="205">
        <f>'A5-Capex'!L12</f>
        <v>0</v>
      </c>
    </row>
    <row r="12" spans="1:17">
      <c r="A12" s="1174" t="str">
        <f>'A5-Capex'!A13</f>
        <v>Example 8 - Vote8</v>
      </c>
      <c r="B12" s="878"/>
      <c r="C12" s="1731"/>
      <c r="D12" s="1708"/>
      <c r="E12" s="1708"/>
      <c r="F12" s="1708"/>
      <c r="G12" s="1708"/>
      <c r="H12" s="1708"/>
      <c r="I12" s="1708"/>
      <c r="J12" s="1708"/>
      <c r="K12" s="1708"/>
      <c r="L12" s="1708"/>
      <c r="M12" s="1708"/>
      <c r="N12" s="203">
        <f>O12-SUM(C12:M12)</f>
        <v>0</v>
      </c>
      <c r="O12" s="206">
        <f>'A5-Capex'!J13</f>
        <v>0</v>
      </c>
      <c r="P12" s="204">
        <f>'A5-Capex'!K13</f>
        <v>0</v>
      </c>
      <c r="Q12" s="205">
        <f>'A5-Capex'!L13</f>
        <v>0</v>
      </c>
    </row>
    <row r="13" spans="1:17">
      <c r="A13" s="1174" t="str">
        <f>'A5-Capex'!A14</f>
        <v>Example 9 - Vote9</v>
      </c>
      <c r="B13" s="878"/>
      <c r="C13" s="1731"/>
      <c r="D13" s="1708"/>
      <c r="E13" s="1708"/>
      <c r="F13" s="1708"/>
      <c r="G13" s="1708"/>
      <c r="H13" s="1708"/>
      <c r="I13" s="1708"/>
      <c r="J13" s="1708"/>
      <c r="K13" s="1708"/>
      <c r="L13" s="1708"/>
      <c r="M13" s="1708"/>
      <c r="N13" s="203">
        <f>O13-SUM(C13:M13)</f>
        <v>0</v>
      </c>
      <c r="O13" s="206">
        <f>'A5-Capex'!J14</f>
        <v>0</v>
      </c>
      <c r="P13" s="204">
        <f>'A5-Capex'!K14</f>
        <v>0</v>
      </c>
      <c r="Q13" s="205">
        <f>'A5-Capex'!L14</f>
        <v>0</v>
      </c>
    </row>
    <row r="14" spans="1:17">
      <c r="A14" s="1174" t="str">
        <f>'A5-Capex'!A15</f>
        <v>Example 10 - Vote10</v>
      </c>
      <c r="B14" s="878"/>
      <c r="C14" s="1731"/>
      <c r="D14" s="1708"/>
      <c r="E14" s="1708"/>
      <c r="F14" s="1708"/>
      <c r="G14" s="1708"/>
      <c r="H14" s="1708"/>
      <c r="I14" s="1708"/>
      <c r="J14" s="1708"/>
      <c r="K14" s="1708"/>
      <c r="L14" s="1708"/>
      <c r="M14" s="1708"/>
      <c r="N14" s="203">
        <f t="shared" ref="N14:N19" si="12">O14-SUM(C14:M14)</f>
        <v>0</v>
      </c>
      <c r="O14" s="206">
        <f>'A5-Capex'!J15</f>
        <v>0</v>
      </c>
      <c r="P14" s="204">
        <f>'A5-Capex'!K15</f>
        <v>0</v>
      </c>
      <c r="Q14" s="205">
        <f>'A5-Capex'!L15</f>
        <v>0</v>
      </c>
    </row>
    <row r="15" spans="1:17">
      <c r="A15" s="1174" t="str">
        <f>'A5-Capex'!A16</f>
        <v>Example 11 - Vote11</v>
      </c>
      <c r="B15" s="878"/>
      <c r="C15" s="1731"/>
      <c r="D15" s="1708"/>
      <c r="E15" s="1708"/>
      <c r="F15" s="1708"/>
      <c r="G15" s="1708"/>
      <c r="H15" s="1708"/>
      <c r="I15" s="1708"/>
      <c r="J15" s="1708"/>
      <c r="K15" s="1708"/>
      <c r="L15" s="1708"/>
      <c r="M15" s="1708"/>
      <c r="N15" s="203">
        <f t="shared" si="12"/>
        <v>0</v>
      </c>
      <c r="O15" s="206">
        <f>'A5-Capex'!J16</f>
        <v>0</v>
      </c>
      <c r="P15" s="204">
        <f>'A5-Capex'!K16</f>
        <v>0</v>
      </c>
      <c r="Q15" s="205">
        <f>'A5-Capex'!L16</f>
        <v>0</v>
      </c>
    </row>
    <row r="16" spans="1:17">
      <c r="A16" s="1174" t="str">
        <f>'A5-Capex'!A17</f>
        <v>Example 12 - Vote12</v>
      </c>
      <c r="B16" s="878"/>
      <c r="C16" s="1731"/>
      <c r="D16" s="1708"/>
      <c r="E16" s="1708"/>
      <c r="F16" s="1708"/>
      <c r="G16" s="1708"/>
      <c r="H16" s="1708"/>
      <c r="I16" s="1708"/>
      <c r="J16" s="1708"/>
      <c r="K16" s="1708"/>
      <c r="L16" s="1708"/>
      <c r="M16" s="1708"/>
      <c r="N16" s="203">
        <f t="shared" si="12"/>
        <v>0</v>
      </c>
      <c r="O16" s="206">
        <f>'A5-Capex'!J17</f>
        <v>0</v>
      </c>
      <c r="P16" s="204">
        <f>'A5-Capex'!K17</f>
        <v>0</v>
      </c>
      <c r="Q16" s="205">
        <f>'A5-Capex'!L17</f>
        <v>0</v>
      </c>
    </row>
    <row r="17" spans="1:17">
      <c r="A17" s="1174" t="str">
        <f>'A5-Capex'!A18</f>
        <v>Example 13 - Vote13</v>
      </c>
      <c r="B17" s="878"/>
      <c r="C17" s="1731"/>
      <c r="D17" s="1708"/>
      <c r="E17" s="1708"/>
      <c r="F17" s="1708"/>
      <c r="G17" s="1708"/>
      <c r="H17" s="1708"/>
      <c r="I17" s="1708"/>
      <c r="J17" s="1708"/>
      <c r="K17" s="1708"/>
      <c r="L17" s="1708"/>
      <c r="M17" s="1708"/>
      <c r="N17" s="203">
        <f t="shared" si="12"/>
        <v>0</v>
      </c>
      <c r="O17" s="206">
        <f>'A5-Capex'!J18</f>
        <v>0</v>
      </c>
      <c r="P17" s="204">
        <f>'A5-Capex'!K18</f>
        <v>0</v>
      </c>
      <c r="Q17" s="205">
        <f>'A5-Capex'!L18</f>
        <v>0</v>
      </c>
    </row>
    <row r="18" spans="1:17">
      <c r="A18" s="1174" t="str">
        <f>'A5-Capex'!A19</f>
        <v>Example 14 - Vote14</v>
      </c>
      <c r="B18" s="878"/>
      <c r="C18" s="1731"/>
      <c r="D18" s="1708"/>
      <c r="E18" s="1708"/>
      <c r="F18" s="1708"/>
      <c r="G18" s="1708"/>
      <c r="H18" s="1708"/>
      <c r="I18" s="1708"/>
      <c r="J18" s="1708"/>
      <c r="K18" s="1708"/>
      <c r="L18" s="1708"/>
      <c r="M18" s="1708"/>
      <c r="N18" s="203">
        <f t="shared" si="12"/>
        <v>0</v>
      </c>
      <c r="O18" s="206">
        <f>'A5-Capex'!J19</f>
        <v>0</v>
      </c>
      <c r="P18" s="204">
        <f>'A5-Capex'!K19</f>
        <v>0</v>
      </c>
      <c r="Q18" s="205">
        <f>'A5-Capex'!L19</f>
        <v>0</v>
      </c>
    </row>
    <row r="19" spans="1:17">
      <c r="A19" s="1174" t="str">
        <f>'A5-Capex'!A20</f>
        <v>Example 15 - Vote15</v>
      </c>
      <c r="B19" s="878"/>
      <c r="C19" s="1731"/>
      <c r="D19" s="1708"/>
      <c r="E19" s="1708"/>
      <c r="F19" s="1708"/>
      <c r="G19" s="1708"/>
      <c r="H19" s="1708"/>
      <c r="I19" s="1708"/>
      <c r="J19" s="1708"/>
      <c r="K19" s="1708"/>
      <c r="L19" s="1708"/>
      <c r="M19" s="1708"/>
      <c r="N19" s="203">
        <f t="shared" si="12"/>
        <v>0</v>
      </c>
      <c r="O19" s="206">
        <f>'A5-Capex'!J20</f>
        <v>0</v>
      </c>
      <c r="P19" s="204">
        <f>'A5-Capex'!K20</f>
        <v>0</v>
      </c>
      <c r="Q19" s="205">
        <f>'A5-Capex'!L20</f>
        <v>0</v>
      </c>
    </row>
    <row r="20" spans="1:17">
      <c r="A20" s="198" t="s">
        <v>203</v>
      </c>
      <c r="B20" s="1331">
        <v>2</v>
      </c>
      <c r="C20" s="270">
        <f>SUM(C5:C19)</f>
        <v>20565665</v>
      </c>
      <c r="D20" s="268">
        <f t="shared" ref="D20:Q20" si="13">SUM(D5:D19)</f>
        <v>28791931.000000004</v>
      </c>
      <c r="E20" s="268">
        <f t="shared" si="13"/>
        <v>37018197</v>
      </c>
      <c r="F20" s="268">
        <f t="shared" si="13"/>
        <v>45244463</v>
      </c>
      <c r="G20" s="268">
        <f t="shared" si="13"/>
        <v>53470729</v>
      </c>
      <c r="H20" s="268">
        <f t="shared" si="13"/>
        <v>41131330</v>
      </c>
      <c r="I20" s="268">
        <f t="shared" si="13"/>
        <v>37018197</v>
      </c>
      <c r="J20" s="268">
        <f t="shared" si="13"/>
        <v>49357596</v>
      </c>
      <c r="K20" s="268">
        <f t="shared" si="13"/>
        <v>32905064</v>
      </c>
      <c r="L20" s="268">
        <f t="shared" si="13"/>
        <v>28791931.000000004</v>
      </c>
      <c r="M20" s="268">
        <f>SUM(M5:M19)</f>
        <v>20565665</v>
      </c>
      <c r="N20" s="267">
        <f t="shared" si="13"/>
        <v>16452532</v>
      </c>
      <c r="O20" s="270">
        <f t="shared" si="13"/>
        <v>411313300</v>
      </c>
      <c r="P20" s="268">
        <f t="shared" si="13"/>
        <v>310819300</v>
      </c>
      <c r="Q20" s="269">
        <f t="shared" si="13"/>
        <v>214215000</v>
      </c>
    </row>
    <row r="21" spans="1:17" ht="3.75" customHeight="1">
      <c r="A21" s="1329"/>
      <c r="B21" s="1330"/>
      <c r="C21" s="398"/>
      <c r="D21" s="397"/>
      <c r="E21" s="397"/>
      <c r="F21" s="397"/>
      <c r="G21" s="397"/>
      <c r="H21" s="397"/>
      <c r="I21" s="397"/>
      <c r="J21" s="397"/>
      <c r="K21" s="397"/>
      <c r="L21" s="397"/>
      <c r="M21" s="397"/>
      <c r="N21" s="399"/>
      <c r="O21" s="398"/>
      <c r="P21" s="397"/>
      <c r="Q21" s="346"/>
    </row>
    <row r="22" spans="1:17">
      <c r="A22" s="182" t="s">
        <v>1001</v>
      </c>
      <c r="B22" s="1020"/>
      <c r="C22" s="206"/>
      <c r="D22" s="204"/>
      <c r="E22" s="204"/>
      <c r="F22" s="204"/>
      <c r="G22" s="204"/>
      <c r="H22" s="204"/>
      <c r="I22" s="204"/>
      <c r="J22" s="204"/>
      <c r="K22" s="204"/>
      <c r="L22" s="204"/>
      <c r="M22" s="204"/>
      <c r="N22" s="203"/>
      <c r="O22" s="206"/>
      <c r="P22" s="204"/>
      <c r="Q22" s="205"/>
    </row>
    <row r="23" spans="1:17">
      <c r="A23" s="1174" t="str">
        <f>'A5-Capex'!A24</f>
        <v>Vote 1 - Corporate Services and Planning</v>
      </c>
      <c r="B23" s="878"/>
      <c r="C23" s="1731"/>
      <c r="D23" s="1708"/>
      <c r="E23" s="1708"/>
      <c r="F23" s="1708"/>
      <c r="G23" s="1708"/>
      <c r="H23" s="1708"/>
      <c r="I23" s="1708"/>
      <c r="J23" s="1708"/>
      <c r="K23" s="1708"/>
      <c r="L23" s="1708"/>
      <c r="M23" s="1708"/>
      <c r="N23" s="203">
        <f>O23-SUM(C23:M23)</f>
        <v>0</v>
      </c>
      <c r="O23" s="206">
        <f>'A5-Capex'!J24</f>
        <v>0</v>
      </c>
      <c r="P23" s="204">
        <f>'A5-Capex'!K24</f>
        <v>0</v>
      </c>
      <c r="Q23" s="205">
        <f>'A5-Capex'!L24</f>
        <v>0</v>
      </c>
    </row>
    <row r="24" spans="1:17">
      <c r="A24" s="1174" t="str">
        <f>'A5-Capex'!A25</f>
        <v>Vote 2 - Financial Management Area</v>
      </c>
      <c r="B24" s="878"/>
      <c r="C24" s="1731"/>
      <c r="D24" s="1708"/>
      <c r="E24" s="1708"/>
      <c r="F24" s="1708"/>
      <c r="G24" s="1708"/>
      <c r="H24" s="1708"/>
      <c r="I24" s="1708"/>
      <c r="J24" s="1708"/>
      <c r="K24" s="1708"/>
      <c r="L24" s="1708"/>
      <c r="M24" s="1708"/>
      <c r="N24" s="203">
        <f t="shared" ref="N24:N29" si="14">O24-SUM(C24:M24)</f>
        <v>0</v>
      </c>
      <c r="O24" s="206">
        <f>'A5-Capex'!J25</f>
        <v>0</v>
      </c>
      <c r="P24" s="204">
        <f>'A5-Capex'!K25</f>
        <v>0</v>
      </c>
      <c r="Q24" s="205">
        <f>'A5-Capex'!L25</f>
        <v>0</v>
      </c>
    </row>
    <row r="25" spans="1:17">
      <c r="A25" s="1174" t="str">
        <f>'A5-Capex'!A26</f>
        <v>Vote 3 - Infrastructure Development, Service Delivery and Maintenance Management</v>
      </c>
      <c r="B25" s="878"/>
      <c r="C25" s="1731"/>
      <c r="D25" s="1708"/>
      <c r="E25" s="1708"/>
      <c r="F25" s="1708"/>
      <c r="G25" s="1708"/>
      <c r="H25" s="1708"/>
      <c r="I25" s="1708"/>
      <c r="J25" s="1708"/>
      <c r="K25" s="1708"/>
      <c r="L25" s="1708"/>
      <c r="M25" s="1708"/>
      <c r="N25" s="203">
        <f t="shared" si="14"/>
        <v>0</v>
      </c>
      <c r="O25" s="206">
        <f>'A5-Capex'!J26</f>
        <v>0</v>
      </c>
      <c r="P25" s="204">
        <f>'A5-Capex'!K26</f>
        <v>0</v>
      </c>
      <c r="Q25" s="205">
        <f>'A5-Capex'!L26</f>
        <v>0</v>
      </c>
    </row>
    <row r="26" spans="1:17">
      <c r="A26" s="1174" t="str">
        <f>'A5-Capex'!A27</f>
        <v>Vote 4 - Sustainable Community Service Delivery Provision Management</v>
      </c>
      <c r="B26" s="878"/>
      <c r="C26" s="1731"/>
      <c r="D26" s="1708"/>
      <c r="E26" s="1708"/>
      <c r="F26" s="1708"/>
      <c r="G26" s="1708"/>
      <c r="H26" s="1708"/>
      <c r="I26" s="1708"/>
      <c r="J26" s="1708"/>
      <c r="K26" s="1708"/>
      <c r="L26" s="1708"/>
      <c r="M26" s="1708"/>
      <c r="N26" s="203">
        <f t="shared" si="14"/>
        <v>0</v>
      </c>
      <c r="O26" s="206">
        <f>'A5-Capex'!J27</f>
        <v>0</v>
      </c>
      <c r="P26" s="204">
        <f>'A5-Capex'!K27</f>
        <v>0</v>
      </c>
      <c r="Q26" s="205">
        <f>'A5-Capex'!L27</f>
        <v>0</v>
      </c>
    </row>
    <row r="27" spans="1:17">
      <c r="A27" s="1174" t="str">
        <f>'A5-Capex'!A28</f>
        <v>Example 5 - Vote5</v>
      </c>
      <c r="B27" s="878"/>
      <c r="C27" s="1731"/>
      <c r="D27" s="1708"/>
      <c r="E27" s="1708"/>
      <c r="F27" s="1708"/>
      <c r="G27" s="1708"/>
      <c r="H27" s="1708"/>
      <c r="I27" s="1708"/>
      <c r="J27" s="1708"/>
      <c r="K27" s="1708"/>
      <c r="L27" s="1708"/>
      <c r="M27" s="1708"/>
      <c r="N27" s="203">
        <f t="shared" si="14"/>
        <v>0</v>
      </c>
      <c r="O27" s="206">
        <f>'A5-Capex'!J28</f>
        <v>0</v>
      </c>
      <c r="P27" s="204">
        <f>'A5-Capex'!K28</f>
        <v>0</v>
      </c>
      <c r="Q27" s="205">
        <f>'A5-Capex'!L28</f>
        <v>0</v>
      </c>
    </row>
    <row r="28" spans="1:17">
      <c r="A28" s="1174" t="str">
        <f>'A5-Capex'!A29</f>
        <v>Example 6 - Vote6</v>
      </c>
      <c r="B28" s="878"/>
      <c r="C28" s="1731"/>
      <c r="D28" s="1708"/>
      <c r="E28" s="1708"/>
      <c r="F28" s="1708"/>
      <c r="G28" s="1708"/>
      <c r="H28" s="1708"/>
      <c r="I28" s="1708"/>
      <c r="J28" s="1708"/>
      <c r="K28" s="1708"/>
      <c r="L28" s="1708"/>
      <c r="M28" s="1708"/>
      <c r="N28" s="203">
        <f t="shared" si="14"/>
        <v>0</v>
      </c>
      <c r="O28" s="206">
        <f>'A5-Capex'!J29</f>
        <v>0</v>
      </c>
      <c r="P28" s="204">
        <f>'A5-Capex'!K29</f>
        <v>0</v>
      </c>
      <c r="Q28" s="205">
        <f>'A5-Capex'!L29</f>
        <v>0</v>
      </c>
    </row>
    <row r="29" spans="1:17">
      <c r="A29" s="1174" t="str">
        <f>'A5-Capex'!A30</f>
        <v>Example 7 - Vote7</v>
      </c>
      <c r="B29" s="878"/>
      <c r="C29" s="1731"/>
      <c r="D29" s="1708"/>
      <c r="E29" s="1708"/>
      <c r="F29" s="1708"/>
      <c r="G29" s="1708"/>
      <c r="H29" s="1708"/>
      <c r="I29" s="1708"/>
      <c r="J29" s="1708"/>
      <c r="K29" s="1708"/>
      <c r="L29" s="1708"/>
      <c r="M29" s="1708"/>
      <c r="N29" s="203">
        <f t="shared" si="14"/>
        <v>0</v>
      </c>
      <c r="O29" s="206">
        <f>'A5-Capex'!J30</f>
        <v>0</v>
      </c>
      <c r="P29" s="204">
        <f>'A5-Capex'!K30</f>
        <v>0</v>
      </c>
      <c r="Q29" s="205">
        <f>'A5-Capex'!L30</f>
        <v>0</v>
      </c>
    </row>
    <row r="30" spans="1:17">
      <c r="A30" s="1174" t="str">
        <f>'A5-Capex'!A31</f>
        <v>Example 8 - Vote8</v>
      </c>
      <c r="B30" s="878"/>
      <c r="C30" s="1731"/>
      <c r="D30" s="1708"/>
      <c r="E30" s="1708"/>
      <c r="F30" s="1708"/>
      <c r="G30" s="1708"/>
      <c r="H30" s="1708"/>
      <c r="I30" s="1708"/>
      <c r="J30" s="1708"/>
      <c r="K30" s="1708"/>
      <c r="L30" s="1708"/>
      <c r="M30" s="1708"/>
      <c r="N30" s="203">
        <f>O30-SUM(C30:M30)</f>
        <v>0</v>
      </c>
      <c r="O30" s="206">
        <f>'A5-Capex'!J31</f>
        <v>0</v>
      </c>
      <c r="P30" s="204">
        <f>'A5-Capex'!K31</f>
        <v>0</v>
      </c>
      <c r="Q30" s="205">
        <f>'A5-Capex'!L31</f>
        <v>0</v>
      </c>
    </row>
    <row r="31" spans="1:17">
      <c r="A31" s="1174" t="str">
        <f>'A5-Capex'!A32</f>
        <v>Example 9 - Vote9</v>
      </c>
      <c r="B31" s="878"/>
      <c r="C31" s="1731"/>
      <c r="D31" s="1708"/>
      <c r="E31" s="1708"/>
      <c r="F31" s="1708"/>
      <c r="G31" s="1708"/>
      <c r="H31" s="1708"/>
      <c r="I31" s="1708"/>
      <c r="J31" s="1708"/>
      <c r="K31" s="1708"/>
      <c r="L31" s="1708"/>
      <c r="M31" s="1708"/>
      <c r="N31" s="203">
        <f>O31-SUM(C31:M31)</f>
        <v>0</v>
      </c>
      <c r="O31" s="206">
        <f>'A5-Capex'!J32</f>
        <v>0</v>
      </c>
      <c r="P31" s="204">
        <f>'A5-Capex'!K32</f>
        <v>0</v>
      </c>
      <c r="Q31" s="205">
        <f>'A5-Capex'!L32</f>
        <v>0</v>
      </c>
    </row>
    <row r="32" spans="1:17">
      <c r="A32" s="1174" t="str">
        <f>'A5-Capex'!A33</f>
        <v>Example 10 - Vote10</v>
      </c>
      <c r="B32" s="878"/>
      <c r="C32" s="1731"/>
      <c r="D32" s="1708"/>
      <c r="E32" s="1708"/>
      <c r="F32" s="1708"/>
      <c r="G32" s="1708"/>
      <c r="H32" s="1708"/>
      <c r="I32" s="1708"/>
      <c r="J32" s="1708"/>
      <c r="K32" s="1708"/>
      <c r="L32" s="1708"/>
      <c r="M32" s="1708"/>
      <c r="N32" s="203">
        <f t="shared" ref="N32:N37" si="15">O32-SUM(C32:M32)</f>
        <v>0</v>
      </c>
      <c r="O32" s="206">
        <f>'A5-Capex'!J33</f>
        <v>0</v>
      </c>
      <c r="P32" s="204">
        <f>'A5-Capex'!K33</f>
        <v>0</v>
      </c>
      <c r="Q32" s="205">
        <f>'A5-Capex'!L33</f>
        <v>0</v>
      </c>
    </row>
    <row r="33" spans="1:20">
      <c r="A33" s="1174" t="str">
        <f>'A5-Capex'!A34</f>
        <v>Example 11 - Vote11</v>
      </c>
      <c r="B33" s="878"/>
      <c r="C33" s="1731"/>
      <c r="D33" s="1708"/>
      <c r="E33" s="1708"/>
      <c r="F33" s="1708"/>
      <c r="G33" s="1708"/>
      <c r="H33" s="1708"/>
      <c r="I33" s="1708"/>
      <c r="J33" s="1708"/>
      <c r="K33" s="1708"/>
      <c r="L33" s="1708"/>
      <c r="M33" s="1708"/>
      <c r="N33" s="203">
        <f t="shared" si="15"/>
        <v>0</v>
      </c>
      <c r="O33" s="206">
        <f>'A5-Capex'!J34</f>
        <v>0</v>
      </c>
      <c r="P33" s="204">
        <f>'A5-Capex'!K34</f>
        <v>0</v>
      </c>
      <c r="Q33" s="205">
        <f>'A5-Capex'!L34</f>
        <v>0</v>
      </c>
    </row>
    <row r="34" spans="1:20">
      <c r="A34" s="1174" t="str">
        <f>'A5-Capex'!A35</f>
        <v>Example 12 - Vote12</v>
      </c>
      <c r="B34" s="878"/>
      <c r="C34" s="1731"/>
      <c r="D34" s="1708"/>
      <c r="E34" s="1708"/>
      <c r="F34" s="1708"/>
      <c r="G34" s="1708"/>
      <c r="H34" s="1708"/>
      <c r="I34" s="1708"/>
      <c r="J34" s="1708"/>
      <c r="K34" s="1708"/>
      <c r="L34" s="1708"/>
      <c r="M34" s="1708"/>
      <c r="N34" s="203">
        <f t="shared" si="15"/>
        <v>0</v>
      </c>
      <c r="O34" s="206">
        <f>'A5-Capex'!J35</f>
        <v>0</v>
      </c>
      <c r="P34" s="204">
        <f>'A5-Capex'!K35</f>
        <v>0</v>
      </c>
      <c r="Q34" s="205">
        <f>'A5-Capex'!L35</f>
        <v>0</v>
      </c>
    </row>
    <row r="35" spans="1:20">
      <c r="A35" s="1174" t="str">
        <f>'A5-Capex'!A36</f>
        <v>Example 13 - Vote13</v>
      </c>
      <c r="B35" s="878"/>
      <c r="C35" s="1731"/>
      <c r="D35" s="1708"/>
      <c r="E35" s="1708"/>
      <c r="F35" s="1708"/>
      <c r="G35" s="1708"/>
      <c r="H35" s="1708"/>
      <c r="I35" s="1708"/>
      <c r="J35" s="1708"/>
      <c r="K35" s="1708"/>
      <c r="L35" s="1708"/>
      <c r="M35" s="1708"/>
      <c r="N35" s="203">
        <f t="shared" si="15"/>
        <v>0</v>
      </c>
      <c r="O35" s="206">
        <f>'A5-Capex'!J36</f>
        <v>0</v>
      </c>
      <c r="P35" s="204">
        <f>'A5-Capex'!K36</f>
        <v>0</v>
      </c>
      <c r="Q35" s="205">
        <f>'A5-Capex'!L36</f>
        <v>0</v>
      </c>
    </row>
    <row r="36" spans="1:20">
      <c r="A36" s="1174" t="str">
        <f>'A5-Capex'!A37</f>
        <v>Example 14 - Vote14</v>
      </c>
      <c r="B36" s="878"/>
      <c r="C36" s="1731"/>
      <c r="D36" s="1708"/>
      <c r="E36" s="1708"/>
      <c r="F36" s="1708"/>
      <c r="G36" s="1708"/>
      <c r="H36" s="1708"/>
      <c r="I36" s="1708"/>
      <c r="J36" s="1708"/>
      <c r="K36" s="1708"/>
      <c r="L36" s="1708"/>
      <c r="M36" s="1708"/>
      <c r="N36" s="203">
        <f t="shared" si="15"/>
        <v>0</v>
      </c>
      <c r="O36" s="206">
        <f>'A5-Capex'!J37</f>
        <v>0</v>
      </c>
      <c r="P36" s="204">
        <f>'A5-Capex'!K37</f>
        <v>0</v>
      </c>
      <c r="Q36" s="205">
        <f>'A5-Capex'!L37</f>
        <v>0</v>
      </c>
    </row>
    <row r="37" spans="1:20">
      <c r="A37" s="1174" t="str">
        <f>'A5-Capex'!A38</f>
        <v>Example 15 - Vote15</v>
      </c>
      <c r="B37" s="878"/>
      <c r="C37" s="1731"/>
      <c r="D37" s="1708"/>
      <c r="E37" s="1708"/>
      <c r="F37" s="1708"/>
      <c r="G37" s="1708"/>
      <c r="H37" s="1708"/>
      <c r="I37" s="1708"/>
      <c r="J37" s="1708"/>
      <c r="K37" s="1708"/>
      <c r="L37" s="1708"/>
      <c r="M37" s="1708"/>
      <c r="N37" s="203">
        <f t="shared" si="15"/>
        <v>0</v>
      </c>
      <c r="O37" s="206">
        <f>'A5-Capex'!J38</f>
        <v>0</v>
      </c>
      <c r="P37" s="204">
        <f>'A5-Capex'!K38</f>
        <v>0</v>
      </c>
      <c r="Q37" s="205">
        <f>'A5-Capex'!L38</f>
        <v>0</v>
      </c>
    </row>
    <row r="38" spans="1:20">
      <c r="A38" s="198" t="s">
        <v>1454</v>
      </c>
      <c r="B38" s="1331">
        <v>2</v>
      </c>
      <c r="C38" s="270">
        <f t="shared" ref="C38:Q38" si="16">SUM(C23:C37)</f>
        <v>0</v>
      </c>
      <c r="D38" s="268">
        <f t="shared" si="16"/>
        <v>0</v>
      </c>
      <c r="E38" s="268">
        <f t="shared" si="16"/>
        <v>0</v>
      </c>
      <c r="F38" s="268">
        <f t="shared" si="16"/>
        <v>0</v>
      </c>
      <c r="G38" s="268">
        <f t="shared" si="16"/>
        <v>0</v>
      </c>
      <c r="H38" s="268">
        <f t="shared" si="16"/>
        <v>0</v>
      </c>
      <c r="I38" s="268">
        <f t="shared" si="16"/>
        <v>0</v>
      </c>
      <c r="J38" s="268">
        <f t="shared" si="16"/>
        <v>0</v>
      </c>
      <c r="K38" s="268">
        <f t="shared" si="16"/>
        <v>0</v>
      </c>
      <c r="L38" s="268">
        <f t="shared" si="16"/>
        <v>0</v>
      </c>
      <c r="M38" s="268">
        <f t="shared" si="16"/>
        <v>0</v>
      </c>
      <c r="N38" s="267">
        <f t="shared" si="16"/>
        <v>0</v>
      </c>
      <c r="O38" s="270">
        <f t="shared" si="16"/>
        <v>0</v>
      </c>
      <c r="P38" s="268">
        <f t="shared" si="16"/>
        <v>0</v>
      </c>
      <c r="Q38" s="269">
        <f t="shared" si="16"/>
        <v>0</v>
      </c>
    </row>
    <row r="39" spans="1:20">
      <c r="A39" s="863" t="s">
        <v>634</v>
      </c>
      <c r="B39" s="895">
        <v>2</v>
      </c>
      <c r="C39" s="355">
        <f>C20+C38</f>
        <v>20565665</v>
      </c>
      <c r="D39" s="228">
        <f t="shared" ref="D39:N39" si="17">D20+D38</f>
        <v>28791931.000000004</v>
      </c>
      <c r="E39" s="228">
        <f t="shared" si="17"/>
        <v>37018197</v>
      </c>
      <c r="F39" s="228">
        <f t="shared" si="17"/>
        <v>45244463</v>
      </c>
      <c r="G39" s="228">
        <f t="shared" si="17"/>
        <v>53470729</v>
      </c>
      <c r="H39" s="228">
        <f t="shared" si="17"/>
        <v>41131330</v>
      </c>
      <c r="I39" s="228">
        <f t="shared" si="17"/>
        <v>37018197</v>
      </c>
      <c r="J39" s="228">
        <f t="shared" si="17"/>
        <v>49357596</v>
      </c>
      <c r="K39" s="228">
        <f t="shared" si="17"/>
        <v>32905064</v>
      </c>
      <c r="L39" s="228">
        <f t="shared" si="17"/>
        <v>28791931.000000004</v>
      </c>
      <c r="M39" s="228">
        <f t="shared" si="17"/>
        <v>20565665</v>
      </c>
      <c r="N39" s="227">
        <f t="shared" si="17"/>
        <v>16452532</v>
      </c>
      <c r="O39" s="355">
        <f>O20+O38</f>
        <v>411313300</v>
      </c>
      <c r="P39" s="228">
        <f>P20+P38</f>
        <v>310819300</v>
      </c>
      <c r="Q39" s="354">
        <f>Q20+Q38</f>
        <v>214215000</v>
      </c>
    </row>
    <row r="40" spans="1:20">
      <c r="A40" s="1327"/>
      <c r="B40" s="1328"/>
      <c r="C40" s="399"/>
      <c r="D40" s="399"/>
      <c r="E40" s="399"/>
      <c r="F40" s="399"/>
      <c r="G40" s="399"/>
      <c r="H40" s="399"/>
      <c r="I40" s="399"/>
      <c r="J40" s="399"/>
      <c r="K40" s="399"/>
      <c r="L40" s="399"/>
      <c r="M40" s="399"/>
      <c r="N40" s="399"/>
      <c r="O40" s="399"/>
      <c r="P40" s="399"/>
      <c r="Q40" s="399"/>
    </row>
    <row r="41" spans="1:20">
      <c r="A41" s="1327"/>
      <c r="B41" s="1328"/>
      <c r="C41" s="399"/>
      <c r="D41" s="399"/>
      <c r="E41" s="399"/>
      <c r="F41" s="399"/>
      <c r="G41" s="399"/>
      <c r="H41" s="399"/>
      <c r="I41" s="399"/>
      <c r="J41" s="399"/>
      <c r="K41" s="399"/>
      <c r="L41" s="399"/>
      <c r="M41" s="399"/>
      <c r="N41" s="399"/>
      <c r="O41" s="399"/>
      <c r="P41" s="399"/>
      <c r="Q41" s="399"/>
    </row>
    <row r="42" spans="1:20" s="722" customFormat="1">
      <c r="A42" s="1465" t="str">
        <f>head27a</f>
        <v>References</v>
      </c>
      <c r="B42" s="1113"/>
      <c r="C42" s="1067"/>
      <c r="D42" s="1067"/>
      <c r="E42" s="1067"/>
      <c r="F42" s="1067"/>
      <c r="G42" s="1067"/>
      <c r="H42" s="1067"/>
      <c r="I42" s="1067"/>
      <c r="J42" s="1067"/>
      <c r="K42" s="1067"/>
      <c r="L42" s="1067"/>
      <c r="M42" s="1067"/>
      <c r="N42" s="1067"/>
      <c r="O42" s="1067"/>
      <c r="P42" s="1067"/>
      <c r="Q42" s="1067"/>
      <c r="R42" s="150"/>
      <c r="S42" s="1114"/>
      <c r="T42" s="1114"/>
    </row>
    <row r="43" spans="1:20" s="722" customFormat="1">
      <c r="A43" s="1459" t="s">
        <v>855</v>
      </c>
      <c r="B43" s="1075"/>
      <c r="C43" s="1067"/>
      <c r="D43" s="1067"/>
      <c r="E43" s="1067"/>
      <c r="F43" s="1067"/>
      <c r="G43" s="1067"/>
      <c r="H43" s="1067"/>
      <c r="I43" s="1067"/>
      <c r="J43" s="1067"/>
      <c r="K43" s="1067"/>
      <c r="L43" s="1067"/>
      <c r="M43" s="1067"/>
      <c r="N43" s="1067"/>
      <c r="O43" s="1067"/>
      <c r="P43" s="1067"/>
      <c r="Q43" s="1067"/>
      <c r="R43" s="1114"/>
      <c r="S43" s="1114"/>
      <c r="T43" s="1114"/>
    </row>
    <row r="44" spans="1:20" s="722" customFormat="1">
      <c r="A44" s="1459" t="s">
        <v>177</v>
      </c>
      <c r="B44" s="1075"/>
    </row>
    <row r="45" spans="1:20">
      <c r="A45" s="440" t="s">
        <v>1661</v>
      </c>
      <c r="B45" s="818"/>
      <c r="O45" s="820">
        <f>O20-'A5-Capex'!J21</f>
        <v>0</v>
      </c>
      <c r="P45" s="820">
        <f>P20-'A5-Capex'!K21</f>
        <v>0</v>
      </c>
      <c r="Q45" s="820">
        <f>Q20-'A5-Capex'!L21</f>
        <v>0</v>
      </c>
    </row>
    <row r="47" spans="1:20">
      <c r="E47" s="150" t="s">
        <v>204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J28" sqref="J28"/>
    </sheetView>
  </sheetViews>
  <sheetFormatPr defaultRowHeight="12.75"/>
  <cols>
    <col min="1" max="1" width="30.7109375" style="150" customWidth="1"/>
    <col min="2" max="2" width="3" style="150" customWidth="1"/>
    <col min="3" max="14" width="8.28515625" style="150" customWidth="1"/>
    <col min="15" max="17" width="9.28515625" style="150" customWidth="1"/>
    <col min="18" max="16384" width="9.140625" style="150"/>
  </cols>
  <sheetData>
    <row r="1" spans="1:18" ht="13.5" customHeight="1">
      <c r="A1" s="148" t="str">
        <f>muni&amp;" - "&amp; TableA29</f>
        <v>KZN225 Msunduzi - Supporting Table SA29 Budgeted monthly capital expenditure (standard classification)</v>
      </c>
      <c r="B1" s="148"/>
      <c r="C1" s="148"/>
      <c r="D1" s="148"/>
      <c r="E1" s="148"/>
      <c r="F1" s="148"/>
      <c r="G1" s="148"/>
      <c r="H1" s="148"/>
      <c r="I1" s="148"/>
      <c r="J1" s="148"/>
      <c r="K1" s="148"/>
      <c r="L1" s="148"/>
      <c r="M1" s="148"/>
      <c r="N1" s="148"/>
      <c r="O1" s="148"/>
      <c r="P1" s="148"/>
      <c r="Q1" s="148"/>
    </row>
    <row r="2" spans="1:18" ht="27" customHeight="1">
      <c r="A2" s="1011" t="str">
        <f>desc</f>
        <v>Description</v>
      </c>
      <c r="B2" s="1023" t="str">
        <f>head27</f>
        <v>Ref</v>
      </c>
      <c r="C2" s="2415" t="str">
        <f>Head9</f>
        <v>Budget Year 2011/12</v>
      </c>
      <c r="D2" s="2416"/>
      <c r="E2" s="2416"/>
      <c r="F2" s="2416"/>
      <c r="G2" s="2416"/>
      <c r="H2" s="2416"/>
      <c r="I2" s="2416"/>
      <c r="J2" s="2416"/>
      <c r="K2" s="2416"/>
      <c r="L2" s="2416"/>
      <c r="M2" s="2416"/>
      <c r="N2" s="2416"/>
      <c r="O2" s="2412" t="s">
        <v>1961</v>
      </c>
      <c r="P2" s="2413"/>
      <c r="Q2" s="2414"/>
    </row>
    <row r="3" spans="1:18" ht="25.5">
      <c r="A3" s="181" t="s">
        <v>703</v>
      </c>
      <c r="B3" s="1024"/>
      <c r="C3" s="300" t="s">
        <v>765</v>
      </c>
      <c r="D3" s="942" t="s">
        <v>1543</v>
      </c>
      <c r="E3" s="942" t="s">
        <v>1544</v>
      </c>
      <c r="F3" s="942" t="s">
        <v>1545</v>
      </c>
      <c r="G3" s="942" t="s">
        <v>444</v>
      </c>
      <c r="H3" s="942" t="s">
        <v>445</v>
      </c>
      <c r="I3" s="942" t="s">
        <v>747</v>
      </c>
      <c r="J3" s="942" t="s">
        <v>446</v>
      </c>
      <c r="K3" s="942" t="s">
        <v>749</v>
      </c>
      <c r="L3" s="942" t="s">
        <v>750</v>
      </c>
      <c r="M3" s="942" t="s">
        <v>751</v>
      </c>
      <c r="N3" s="392" t="s">
        <v>752</v>
      </c>
      <c r="O3" s="300" t="str">
        <f>Head9</f>
        <v>Budget Year 2011/12</v>
      </c>
      <c r="P3" s="393" t="str">
        <f>Head10</f>
        <v>Budget Year +1 2012/13</v>
      </c>
      <c r="Q3" s="394" t="str">
        <f>Head11</f>
        <v>Budget Year +2 2013/14</v>
      </c>
    </row>
    <row r="4" spans="1:18">
      <c r="A4" s="250" t="str">
        <f>'A5-Capex'!A42</f>
        <v>Capital Expenditure - Standard</v>
      </c>
      <c r="B4" s="1020">
        <v>1</v>
      </c>
      <c r="C4" s="206"/>
      <c r="D4" s="204"/>
      <c r="E4" s="204"/>
      <c r="F4" s="204"/>
      <c r="G4" s="204"/>
      <c r="H4" s="204"/>
      <c r="I4" s="204"/>
      <c r="J4" s="204"/>
      <c r="K4" s="204"/>
      <c r="L4" s="204"/>
      <c r="M4" s="204"/>
      <c r="N4" s="203"/>
      <c r="O4" s="206"/>
      <c r="P4" s="204"/>
      <c r="Q4" s="205"/>
    </row>
    <row r="5" spans="1:18">
      <c r="A5" s="1314" t="str">
        <f>'A5-Capex'!A43</f>
        <v>Governance and administration</v>
      </c>
      <c r="B5" s="878"/>
      <c r="C5" s="1170">
        <f>SUM(C6:C8)</f>
        <v>975000</v>
      </c>
      <c r="D5" s="1168">
        <f>SUM(D6:D8)</f>
        <v>1365000</v>
      </c>
      <c r="E5" s="1168">
        <f t="shared" ref="E5:M5" si="0">SUM(E6:E8)</f>
        <v>1755000</v>
      </c>
      <c r="F5" s="1168">
        <f t="shared" si="0"/>
        <v>2145000</v>
      </c>
      <c r="G5" s="1168">
        <f t="shared" si="0"/>
        <v>2535000</v>
      </c>
      <c r="H5" s="1168">
        <f t="shared" si="0"/>
        <v>1950000</v>
      </c>
      <c r="I5" s="1168">
        <f t="shared" si="0"/>
        <v>1755000</v>
      </c>
      <c r="J5" s="1168">
        <f t="shared" si="0"/>
        <v>234000</v>
      </c>
      <c r="K5" s="1168">
        <f t="shared" si="0"/>
        <v>1560000</v>
      </c>
      <c r="L5" s="1168">
        <f t="shared" si="0"/>
        <v>1365000</v>
      </c>
      <c r="M5" s="1168">
        <f t="shared" si="0"/>
        <v>975000</v>
      </c>
      <c r="N5" s="218">
        <f>O5-SUM(C5:M5)</f>
        <v>2886000</v>
      </c>
      <c r="O5" s="221">
        <f>'A5-Capex'!J43</f>
        <v>19500000</v>
      </c>
      <c r="P5" s="219">
        <f>'A5-Capex'!K43</f>
        <v>4500000</v>
      </c>
      <c r="Q5" s="346">
        <f>'A5-Capex'!L43</f>
        <v>0</v>
      </c>
      <c r="R5" s="373"/>
    </row>
    <row r="6" spans="1:18">
      <c r="A6" s="1315" t="str">
        <f>'A5-Capex'!A44</f>
        <v>Executive and council</v>
      </c>
      <c r="B6" s="878"/>
      <c r="C6" s="1731">
        <f>O6*0.05</f>
        <v>0</v>
      </c>
      <c r="D6" s="1708">
        <f>O6*0.07</f>
        <v>0</v>
      </c>
      <c r="E6" s="1708">
        <f>O6*0.09</f>
        <v>0</v>
      </c>
      <c r="F6" s="1708">
        <f>O6*0.11</f>
        <v>0</v>
      </c>
      <c r="G6" s="1708">
        <f>O6*0.13</f>
        <v>0</v>
      </c>
      <c r="H6" s="1708">
        <f>O6*0.1</f>
        <v>0</v>
      </c>
      <c r="I6" s="1708">
        <f>O6*0.09</f>
        <v>0</v>
      </c>
      <c r="J6" s="1708">
        <f>O6*0.012</f>
        <v>0</v>
      </c>
      <c r="K6" s="1708">
        <f>O6*0.08</f>
        <v>0</v>
      </c>
      <c r="L6" s="1708">
        <f>O6*0.07</f>
        <v>0</v>
      </c>
      <c r="M6" s="1708">
        <f>O6*0.05</f>
        <v>0</v>
      </c>
      <c r="N6" s="203">
        <f t="shared" ref="N6:N24" si="1">O6-SUM(C6:M6)</f>
        <v>0</v>
      </c>
      <c r="O6" s="206">
        <f>'A5-Capex'!J44</f>
        <v>0</v>
      </c>
      <c r="P6" s="204">
        <f>'A5-Capex'!K44</f>
        <v>0</v>
      </c>
      <c r="Q6" s="265">
        <f>'A5-Capex'!L44</f>
        <v>0</v>
      </c>
      <c r="R6" s="373"/>
    </row>
    <row r="7" spans="1:18">
      <c r="A7" s="1315" t="str">
        <f>'A5-Capex'!A45</f>
        <v>Budget and treasury office</v>
      </c>
      <c r="B7" s="878"/>
      <c r="C7" s="1731">
        <f t="shared" ref="C7:C8" si="2">O7*0.05</f>
        <v>750000</v>
      </c>
      <c r="D7" s="1708">
        <f t="shared" ref="D7:D8" si="3">O7*0.07</f>
        <v>1050000</v>
      </c>
      <c r="E7" s="1708">
        <f t="shared" ref="E7:E8" si="4">O7*0.09</f>
        <v>1350000</v>
      </c>
      <c r="F7" s="1708">
        <f t="shared" ref="F7:F8" si="5">O7*0.11</f>
        <v>1650000</v>
      </c>
      <c r="G7" s="1708">
        <f t="shared" ref="G7:G8" si="6">O7*0.13</f>
        <v>1950000</v>
      </c>
      <c r="H7" s="1708">
        <f t="shared" ref="H7:H8" si="7">O7*0.1</f>
        <v>1500000</v>
      </c>
      <c r="I7" s="1708">
        <f t="shared" ref="I7:I8" si="8">O7*0.09</f>
        <v>1350000</v>
      </c>
      <c r="J7" s="1708">
        <f t="shared" ref="J7:J8" si="9">O7*0.012</f>
        <v>180000</v>
      </c>
      <c r="K7" s="1708">
        <f t="shared" ref="K7:K8" si="10">O7*0.08</f>
        <v>1200000</v>
      </c>
      <c r="L7" s="1708">
        <f t="shared" ref="L7:L8" si="11">O7*0.07</f>
        <v>1050000</v>
      </c>
      <c r="M7" s="1708">
        <f t="shared" ref="M7:M8" si="12">O7*0.05</f>
        <v>750000</v>
      </c>
      <c r="N7" s="203">
        <f t="shared" si="1"/>
        <v>2220000</v>
      </c>
      <c r="O7" s="206">
        <f>'A5-Capex'!J45</f>
        <v>15000000</v>
      </c>
      <c r="P7" s="204">
        <f>'A5-Capex'!K45</f>
        <v>0</v>
      </c>
      <c r="Q7" s="265">
        <f>'A5-Capex'!L45</f>
        <v>0</v>
      </c>
      <c r="R7" s="373"/>
    </row>
    <row r="8" spans="1:18">
      <c r="A8" s="1315" t="str">
        <f>'A5-Capex'!A46</f>
        <v>Corporate services</v>
      </c>
      <c r="B8" s="878"/>
      <c r="C8" s="1731">
        <f t="shared" si="2"/>
        <v>225000</v>
      </c>
      <c r="D8" s="1708">
        <f t="shared" si="3"/>
        <v>315000.00000000006</v>
      </c>
      <c r="E8" s="1708">
        <f t="shared" si="4"/>
        <v>405000</v>
      </c>
      <c r="F8" s="1708">
        <f t="shared" si="5"/>
        <v>495000</v>
      </c>
      <c r="G8" s="1708">
        <f t="shared" si="6"/>
        <v>585000</v>
      </c>
      <c r="H8" s="1708">
        <f t="shared" si="7"/>
        <v>450000</v>
      </c>
      <c r="I8" s="1708">
        <f t="shared" si="8"/>
        <v>405000</v>
      </c>
      <c r="J8" s="1708">
        <f t="shared" si="9"/>
        <v>54000</v>
      </c>
      <c r="K8" s="1708">
        <f t="shared" si="10"/>
        <v>360000</v>
      </c>
      <c r="L8" s="1708">
        <f t="shared" si="11"/>
        <v>315000.00000000006</v>
      </c>
      <c r="M8" s="1708">
        <f t="shared" si="12"/>
        <v>225000</v>
      </c>
      <c r="N8" s="203">
        <f t="shared" si="1"/>
        <v>666000</v>
      </c>
      <c r="O8" s="206">
        <f>'A5-Capex'!J46</f>
        <v>4500000</v>
      </c>
      <c r="P8" s="204">
        <f>'A5-Capex'!K46</f>
        <v>4500000</v>
      </c>
      <c r="Q8" s="265">
        <f>'A5-Capex'!L46</f>
        <v>0</v>
      </c>
      <c r="R8" s="373"/>
    </row>
    <row r="9" spans="1:18">
      <c r="A9" s="1314" t="str">
        <f>'A5-Capex'!A47</f>
        <v>Community and public safety</v>
      </c>
      <c r="B9" s="878"/>
      <c r="C9" s="1170">
        <f>SUM(C10:C14)</f>
        <v>3814850</v>
      </c>
      <c r="D9" s="1168">
        <f t="shared" ref="D9:M9" si="13">SUM(D10:D14)</f>
        <v>5340790</v>
      </c>
      <c r="E9" s="1168">
        <f t="shared" si="13"/>
        <v>6866730</v>
      </c>
      <c r="F9" s="1168">
        <f t="shared" si="13"/>
        <v>8392670</v>
      </c>
      <c r="G9" s="1168">
        <f t="shared" si="13"/>
        <v>9918610</v>
      </c>
      <c r="H9" s="1168">
        <f t="shared" si="13"/>
        <v>7629700</v>
      </c>
      <c r="I9" s="1168">
        <f t="shared" si="13"/>
        <v>6866730</v>
      </c>
      <c r="J9" s="1168">
        <f t="shared" si="13"/>
        <v>915564</v>
      </c>
      <c r="K9" s="1168">
        <f t="shared" si="13"/>
        <v>6103760</v>
      </c>
      <c r="L9" s="1168">
        <f t="shared" si="13"/>
        <v>5340790</v>
      </c>
      <c r="M9" s="1168">
        <f t="shared" si="13"/>
        <v>3814850</v>
      </c>
      <c r="N9" s="218">
        <f t="shared" si="1"/>
        <v>11291956</v>
      </c>
      <c r="O9" s="221">
        <f>'A5-Capex'!J47</f>
        <v>76297000</v>
      </c>
      <c r="P9" s="219">
        <f>'A5-Capex'!K47</f>
        <v>57349000</v>
      </c>
      <c r="Q9" s="346">
        <f>'A5-Capex'!L47</f>
        <v>27000000</v>
      </c>
      <c r="R9" s="373"/>
    </row>
    <row r="10" spans="1:18">
      <c r="A10" s="1315" t="str">
        <f>'A5-Capex'!A48</f>
        <v>Community and social services</v>
      </c>
      <c r="B10" s="878"/>
      <c r="C10" s="1731">
        <f t="shared" ref="C10:C14" si="14">O10*0.05</f>
        <v>3258000</v>
      </c>
      <c r="D10" s="1708">
        <f t="shared" ref="D10:D14" si="15">O10*0.07</f>
        <v>4561200</v>
      </c>
      <c r="E10" s="1708">
        <f t="shared" ref="E10:E14" si="16">O10*0.09</f>
        <v>5864400</v>
      </c>
      <c r="F10" s="1708">
        <f t="shared" ref="F10:F14" si="17">O10*0.11</f>
        <v>7167600</v>
      </c>
      <c r="G10" s="1708">
        <f t="shared" ref="G10:G14" si="18">O10*0.13</f>
        <v>8470800</v>
      </c>
      <c r="H10" s="1708">
        <f t="shared" ref="H10:H14" si="19">O10*0.1</f>
        <v>6516000</v>
      </c>
      <c r="I10" s="1708">
        <f t="shared" ref="I10:I14" si="20">O10*0.09</f>
        <v>5864400</v>
      </c>
      <c r="J10" s="1708">
        <f t="shared" ref="J10:J14" si="21">O10*0.012</f>
        <v>781920</v>
      </c>
      <c r="K10" s="1708">
        <f t="shared" ref="K10:K14" si="22">O10*0.08</f>
        <v>5212800</v>
      </c>
      <c r="L10" s="1708">
        <f t="shared" ref="L10:L14" si="23">O10*0.07</f>
        <v>4561200</v>
      </c>
      <c r="M10" s="1708">
        <f t="shared" ref="M10:M14" si="24">O10*0.05</f>
        <v>3258000</v>
      </c>
      <c r="N10" s="203">
        <f t="shared" si="1"/>
        <v>9643680</v>
      </c>
      <c r="O10" s="206">
        <f>'A5-Capex'!J48</f>
        <v>65160000</v>
      </c>
      <c r="P10" s="204">
        <f>'A5-Capex'!K48</f>
        <v>30369000</v>
      </c>
      <c r="Q10" s="265">
        <f>'A5-Capex'!L48</f>
        <v>27000000</v>
      </c>
      <c r="R10" s="373"/>
    </row>
    <row r="11" spans="1:18">
      <c r="A11" s="1315" t="str">
        <f>'A5-Capex'!A49</f>
        <v>Sport and recreation</v>
      </c>
      <c r="B11" s="878"/>
      <c r="C11" s="1731">
        <f t="shared" si="14"/>
        <v>0</v>
      </c>
      <c r="D11" s="1708">
        <f t="shared" si="15"/>
        <v>0</v>
      </c>
      <c r="E11" s="1708">
        <f t="shared" si="16"/>
        <v>0</v>
      </c>
      <c r="F11" s="1708">
        <f t="shared" si="17"/>
        <v>0</v>
      </c>
      <c r="G11" s="1708">
        <f t="shared" si="18"/>
        <v>0</v>
      </c>
      <c r="H11" s="1708">
        <f t="shared" si="19"/>
        <v>0</v>
      </c>
      <c r="I11" s="1708">
        <f t="shared" si="20"/>
        <v>0</v>
      </c>
      <c r="J11" s="1708">
        <f t="shared" si="21"/>
        <v>0</v>
      </c>
      <c r="K11" s="1708">
        <f t="shared" si="22"/>
        <v>0</v>
      </c>
      <c r="L11" s="1708">
        <f t="shared" si="23"/>
        <v>0</v>
      </c>
      <c r="M11" s="1708">
        <f t="shared" si="24"/>
        <v>0</v>
      </c>
      <c r="N11" s="203">
        <f t="shared" si="1"/>
        <v>0</v>
      </c>
      <c r="O11" s="206">
        <f>'A5-Capex'!J49</f>
        <v>0</v>
      </c>
      <c r="P11" s="204">
        <f>'A5-Capex'!K49</f>
        <v>3800000</v>
      </c>
      <c r="Q11" s="265">
        <f>'A5-Capex'!L49</f>
        <v>0</v>
      </c>
      <c r="R11" s="373"/>
    </row>
    <row r="12" spans="1:18">
      <c r="A12" s="1315" t="str">
        <f>'A5-Capex'!A50</f>
        <v>Public safety</v>
      </c>
      <c r="B12" s="878"/>
      <c r="C12" s="1731">
        <f t="shared" si="14"/>
        <v>0</v>
      </c>
      <c r="D12" s="1708">
        <f t="shared" si="15"/>
        <v>0</v>
      </c>
      <c r="E12" s="1708">
        <f t="shared" si="16"/>
        <v>0</v>
      </c>
      <c r="F12" s="1708">
        <f t="shared" si="17"/>
        <v>0</v>
      </c>
      <c r="G12" s="1708">
        <f t="shared" si="18"/>
        <v>0</v>
      </c>
      <c r="H12" s="1708">
        <f t="shared" si="19"/>
        <v>0</v>
      </c>
      <c r="I12" s="1708">
        <f t="shared" si="20"/>
        <v>0</v>
      </c>
      <c r="J12" s="1708">
        <f t="shared" si="21"/>
        <v>0</v>
      </c>
      <c r="K12" s="1708">
        <f t="shared" si="22"/>
        <v>0</v>
      </c>
      <c r="L12" s="1708">
        <f t="shared" si="23"/>
        <v>0</v>
      </c>
      <c r="M12" s="1708">
        <f t="shared" si="24"/>
        <v>0</v>
      </c>
      <c r="N12" s="203">
        <f t="shared" si="1"/>
        <v>0</v>
      </c>
      <c r="O12" s="206">
        <f>'A5-Capex'!J50</f>
        <v>0</v>
      </c>
      <c r="P12" s="204">
        <f>'A5-Capex'!K50</f>
        <v>0</v>
      </c>
      <c r="Q12" s="265">
        <f>'A5-Capex'!L50</f>
        <v>0</v>
      </c>
      <c r="R12" s="373"/>
    </row>
    <row r="13" spans="1:18">
      <c r="A13" s="1315" t="str">
        <f>'A5-Capex'!A51</f>
        <v>Housing</v>
      </c>
      <c r="B13" s="878"/>
      <c r="C13" s="1731">
        <f t="shared" si="14"/>
        <v>0</v>
      </c>
      <c r="D13" s="1708">
        <f t="shared" si="15"/>
        <v>0</v>
      </c>
      <c r="E13" s="1708">
        <f t="shared" si="16"/>
        <v>0</v>
      </c>
      <c r="F13" s="1708">
        <f t="shared" si="17"/>
        <v>0</v>
      </c>
      <c r="G13" s="1708">
        <f t="shared" si="18"/>
        <v>0</v>
      </c>
      <c r="H13" s="1708">
        <f t="shared" si="19"/>
        <v>0</v>
      </c>
      <c r="I13" s="1708">
        <f t="shared" si="20"/>
        <v>0</v>
      </c>
      <c r="J13" s="1708">
        <f t="shared" si="21"/>
        <v>0</v>
      </c>
      <c r="K13" s="1708">
        <f t="shared" si="22"/>
        <v>0</v>
      </c>
      <c r="L13" s="1708">
        <f t="shared" si="23"/>
        <v>0</v>
      </c>
      <c r="M13" s="1708">
        <f t="shared" si="24"/>
        <v>0</v>
      </c>
      <c r="N13" s="203">
        <f t="shared" si="1"/>
        <v>0</v>
      </c>
      <c r="O13" s="206">
        <f>'A5-Capex'!J51</f>
        <v>0</v>
      </c>
      <c r="P13" s="204">
        <f>'A5-Capex'!K51</f>
        <v>10000000</v>
      </c>
      <c r="Q13" s="265">
        <f>'A5-Capex'!L51</f>
        <v>0</v>
      </c>
      <c r="R13" s="373"/>
    </row>
    <row r="14" spans="1:18">
      <c r="A14" s="1315" t="str">
        <f>'A5-Capex'!A52</f>
        <v>Health</v>
      </c>
      <c r="B14" s="878"/>
      <c r="C14" s="1731">
        <f t="shared" si="14"/>
        <v>556850</v>
      </c>
      <c r="D14" s="1708">
        <f t="shared" si="15"/>
        <v>779590.00000000012</v>
      </c>
      <c r="E14" s="1708">
        <f t="shared" si="16"/>
        <v>1002330</v>
      </c>
      <c r="F14" s="1708">
        <f t="shared" si="17"/>
        <v>1225070</v>
      </c>
      <c r="G14" s="1708">
        <f t="shared" si="18"/>
        <v>1447810</v>
      </c>
      <c r="H14" s="1708">
        <f t="shared" si="19"/>
        <v>1113700</v>
      </c>
      <c r="I14" s="1708">
        <f t="shared" si="20"/>
        <v>1002330</v>
      </c>
      <c r="J14" s="1708">
        <f t="shared" si="21"/>
        <v>133644</v>
      </c>
      <c r="K14" s="1708">
        <f t="shared" si="22"/>
        <v>890960</v>
      </c>
      <c r="L14" s="1708">
        <f t="shared" si="23"/>
        <v>779590.00000000012</v>
      </c>
      <c r="M14" s="1708">
        <f t="shared" si="24"/>
        <v>556850</v>
      </c>
      <c r="N14" s="203">
        <f t="shared" si="1"/>
        <v>1648276</v>
      </c>
      <c r="O14" s="206">
        <f>'A5-Capex'!J52</f>
        <v>11137000</v>
      </c>
      <c r="P14" s="204">
        <f>'A5-Capex'!K52</f>
        <v>13180000</v>
      </c>
      <c r="Q14" s="265">
        <f>'A5-Capex'!L52</f>
        <v>0</v>
      </c>
      <c r="R14" s="373"/>
    </row>
    <row r="15" spans="1:18">
      <c r="A15" s="1314" t="str">
        <f>'A5-Capex'!A53</f>
        <v>Economic and environmental services</v>
      </c>
      <c r="B15" s="878"/>
      <c r="C15" s="1170">
        <f>SUM(C16:C18)</f>
        <v>6308750</v>
      </c>
      <c r="D15" s="1168">
        <f t="shared" ref="D15:M15" si="25">SUM(D16:D18)</f>
        <v>8832250</v>
      </c>
      <c r="E15" s="1168">
        <f t="shared" si="25"/>
        <v>11355750</v>
      </c>
      <c r="F15" s="1168">
        <f t="shared" si="25"/>
        <v>13879250</v>
      </c>
      <c r="G15" s="1168">
        <f t="shared" si="25"/>
        <v>16402750</v>
      </c>
      <c r="H15" s="1168">
        <f t="shared" si="25"/>
        <v>12617500</v>
      </c>
      <c r="I15" s="1168">
        <f t="shared" si="25"/>
        <v>11355750</v>
      </c>
      <c r="J15" s="1168">
        <f t="shared" si="25"/>
        <v>1514100</v>
      </c>
      <c r="K15" s="1168">
        <f t="shared" si="25"/>
        <v>10094000</v>
      </c>
      <c r="L15" s="1168">
        <f t="shared" si="25"/>
        <v>8832250</v>
      </c>
      <c r="M15" s="1168">
        <f t="shared" si="25"/>
        <v>6308750</v>
      </c>
      <c r="N15" s="218">
        <f t="shared" si="1"/>
        <v>18673900</v>
      </c>
      <c r="O15" s="221">
        <f>'A5-Capex'!J53</f>
        <v>126175000</v>
      </c>
      <c r="P15" s="219">
        <f>'A5-Capex'!K53</f>
        <v>206470300</v>
      </c>
      <c r="Q15" s="346">
        <f>'A5-Capex'!L53</f>
        <v>187215000</v>
      </c>
      <c r="R15" s="373"/>
    </row>
    <row r="16" spans="1:18">
      <c r="A16" s="1315" t="str">
        <f>'A5-Capex'!A54</f>
        <v>Planning and development</v>
      </c>
      <c r="B16" s="878"/>
      <c r="C16" s="1731">
        <f t="shared" ref="C16:C18" si="26">O16*0.05</f>
        <v>0</v>
      </c>
      <c r="D16" s="1708">
        <f t="shared" ref="D16:D18" si="27">O16*0.07</f>
        <v>0</v>
      </c>
      <c r="E16" s="1708">
        <f t="shared" ref="E16:E18" si="28">O16*0.09</f>
        <v>0</v>
      </c>
      <c r="F16" s="1708">
        <f t="shared" ref="F16:F18" si="29">O16*0.11</f>
        <v>0</v>
      </c>
      <c r="G16" s="1708">
        <f t="shared" ref="G16:G18" si="30">O16*0.13</f>
        <v>0</v>
      </c>
      <c r="H16" s="1708">
        <f t="shared" ref="H16:H18" si="31">O16*0.1</f>
        <v>0</v>
      </c>
      <c r="I16" s="1708">
        <f t="shared" ref="I16:I18" si="32">O16*0.09</f>
        <v>0</v>
      </c>
      <c r="J16" s="1708">
        <f t="shared" ref="J16:J18" si="33">O16*0.012</f>
        <v>0</v>
      </c>
      <c r="K16" s="1708">
        <f t="shared" ref="K16:K18" si="34">O16*0.08</f>
        <v>0</v>
      </c>
      <c r="L16" s="1708">
        <f t="shared" ref="L16:L18" si="35">O16*0.07</f>
        <v>0</v>
      </c>
      <c r="M16" s="1708">
        <f t="shared" ref="M16:M18" si="36">O16*0.05</f>
        <v>0</v>
      </c>
      <c r="N16" s="203">
        <f t="shared" si="1"/>
        <v>0</v>
      </c>
      <c r="O16" s="206">
        <f>'A5-Capex'!J54</f>
        <v>0</v>
      </c>
      <c r="P16" s="204">
        <f>'A5-Capex'!K54</f>
        <v>0</v>
      </c>
      <c r="Q16" s="265">
        <f>'A5-Capex'!L54</f>
        <v>0</v>
      </c>
      <c r="R16" s="373"/>
    </row>
    <row r="17" spans="1:20">
      <c r="A17" s="1315" t="str">
        <f>'A5-Capex'!A55</f>
        <v>Road transport</v>
      </c>
      <c r="B17" s="878"/>
      <c r="C17" s="1731">
        <f t="shared" si="26"/>
        <v>6308750</v>
      </c>
      <c r="D17" s="1708">
        <f t="shared" si="27"/>
        <v>8832250</v>
      </c>
      <c r="E17" s="1708">
        <f t="shared" si="28"/>
        <v>11355750</v>
      </c>
      <c r="F17" s="1708">
        <f t="shared" si="29"/>
        <v>13879250</v>
      </c>
      <c r="G17" s="1708">
        <f t="shared" si="30"/>
        <v>16402750</v>
      </c>
      <c r="H17" s="1708">
        <f t="shared" si="31"/>
        <v>12617500</v>
      </c>
      <c r="I17" s="1708">
        <f t="shared" si="32"/>
        <v>11355750</v>
      </c>
      <c r="J17" s="1708">
        <f t="shared" si="33"/>
        <v>1514100</v>
      </c>
      <c r="K17" s="1708">
        <f t="shared" si="34"/>
        <v>10094000</v>
      </c>
      <c r="L17" s="1708">
        <f t="shared" si="35"/>
        <v>8832250</v>
      </c>
      <c r="M17" s="1708">
        <f t="shared" si="36"/>
        <v>6308750</v>
      </c>
      <c r="N17" s="203">
        <f t="shared" si="1"/>
        <v>18673900</v>
      </c>
      <c r="O17" s="206">
        <f>'A5-Capex'!J55</f>
        <v>126175000</v>
      </c>
      <c r="P17" s="204">
        <f>'A5-Capex'!K55</f>
        <v>206470300</v>
      </c>
      <c r="Q17" s="265">
        <f>'A5-Capex'!L55</f>
        <v>187215000</v>
      </c>
      <c r="R17" s="373"/>
    </row>
    <row r="18" spans="1:20">
      <c r="A18" s="1315" t="str">
        <f>'A5-Capex'!A56</f>
        <v>Environmental protection</v>
      </c>
      <c r="B18" s="878"/>
      <c r="C18" s="1731">
        <f t="shared" si="26"/>
        <v>0</v>
      </c>
      <c r="D18" s="1708">
        <f t="shared" si="27"/>
        <v>0</v>
      </c>
      <c r="E18" s="1708">
        <f t="shared" si="28"/>
        <v>0</v>
      </c>
      <c r="F18" s="1708">
        <f t="shared" si="29"/>
        <v>0</v>
      </c>
      <c r="G18" s="1708">
        <f t="shared" si="30"/>
        <v>0</v>
      </c>
      <c r="H18" s="1708">
        <f t="shared" si="31"/>
        <v>0</v>
      </c>
      <c r="I18" s="1708">
        <f t="shared" si="32"/>
        <v>0</v>
      </c>
      <c r="J18" s="1708">
        <f t="shared" si="33"/>
        <v>0</v>
      </c>
      <c r="K18" s="1708">
        <f t="shared" si="34"/>
        <v>0</v>
      </c>
      <c r="L18" s="1708">
        <f t="shared" si="35"/>
        <v>0</v>
      </c>
      <c r="M18" s="1708">
        <f t="shared" si="36"/>
        <v>0</v>
      </c>
      <c r="N18" s="203">
        <f t="shared" si="1"/>
        <v>0</v>
      </c>
      <c r="O18" s="206">
        <f>'A5-Capex'!J56</f>
        <v>0</v>
      </c>
      <c r="P18" s="204">
        <f>'A5-Capex'!K56</f>
        <v>0</v>
      </c>
      <c r="Q18" s="265">
        <f>'A5-Capex'!L56</f>
        <v>0</v>
      </c>
      <c r="R18" s="373"/>
    </row>
    <row r="19" spans="1:20">
      <c r="A19" s="1314" t="str">
        <f>'A5-Capex'!A57</f>
        <v>Trading services</v>
      </c>
      <c r="B19" s="878"/>
      <c r="C19" s="1170">
        <f>SUM(C20:C23)</f>
        <v>8667065</v>
      </c>
      <c r="D19" s="1168">
        <f t="shared" ref="D19:M19" si="37">SUM(D20:D23)</f>
        <v>12133891</v>
      </c>
      <c r="E19" s="1168">
        <f t="shared" si="37"/>
        <v>15600717</v>
      </c>
      <c r="F19" s="1168">
        <f t="shared" si="37"/>
        <v>19067543</v>
      </c>
      <c r="G19" s="1168">
        <f t="shared" si="37"/>
        <v>22534369</v>
      </c>
      <c r="H19" s="1168">
        <f t="shared" si="37"/>
        <v>17334130</v>
      </c>
      <c r="I19" s="1168">
        <f t="shared" si="37"/>
        <v>15600717</v>
      </c>
      <c r="J19" s="1168">
        <f t="shared" si="37"/>
        <v>2080095.6</v>
      </c>
      <c r="K19" s="1168">
        <f t="shared" si="37"/>
        <v>13867304</v>
      </c>
      <c r="L19" s="1168">
        <f t="shared" si="37"/>
        <v>12133891</v>
      </c>
      <c r="M19" s="1168">
        <f t="shared" si="37"/>
        <v>8667065</v>
      </c>
      <c r="N19" s="218">
        <f t="shared" si="1"/>
        <v>25654512.400000006</v>
      </c>
      <c r="O19" s="221">
        <f>'A5-Capex'!J57</f>
        <v>173341300</v>
      </c>
      <c r="P19" s="219">
        <f>'A5-Capex'!K57</f>
        <v>42500000</v>
      </c>
      <c r="Q19" s="346">
        <f>'A5-Capex'!L57</f>
        <v>0</v>
      </c>
      <c r="R19" s="373"/>
    </row>
    <row r="20" spans="1:20">
      <c r="A20" s="1315" t="str">
        <f>'A5-Capex'!A58</f>
        <v>Electricity</v>
      </c>
      <c r="B20" s="878"/>
      <c r="C20" s="1731">
        <f t="shared" ref="C20:C24" si="38">O20*0.05</f>
        <v>3018065</v>
      </c>
      <c r="D20" s="1708">
        <f t="shared" ref="D20:D24" si="39">O20*0.07</f>
        <v>4225291</v>
      </c>
      <c r="E20" s="1708">
        <f t="shared" ref="E20:E24" si="40">O20*0.09</f>
        <v>5432517</v>
      </c>
      <c r="F20" s="1708">
        <f t="shared" ref="F20:F24" si="41">O20*0.11</f>
        <v>6639743</v>
      </c>
      <c r="G20" s="1708">
        <f t="shared" ref="G20:G24" si="42">O20*0.13</f>
        <v>7846969</v>
      </c>
      <c r="H20" s="1708">
        <f t="shared" ref="H20:H24" si="43">O20*0.1</f>
        <v>6036130</v>
      </c>
      <c r="I20" s="1708">
        <f t="shared" ref="I20:I24" si="44">O20*0.09</f>
        <v>5432517</v>
      </c>
      <c r="J20" s="1708">
        <f t="shared" ref="J20:J24" si="45">O20*0.012</f>
        <v>724335.6</v>
      </c>
      <c r="K20" s="1708">
        <f t="shared" ref="K20:K24" si="46">O20*0.08</f>
        <v>4828904</v>
      </c>
      <c r="L20" s="1708">
        <f t="shared" ref="L20:L24" si="47">O20*0.07</f>
        <v>4225291</v>
      </c>
      <c r="M20" s="1708">
        <f t="shared" ref="M20:M24" si="48">O20*0.05</f>
        <v>3018065</v>
      </c>
      <c r="N20" s="203">
        <f t="shared" si="1"/>
        <v>8933472.3999999985</v>
      </c>
      <c r="O20" s="206">
        <f>'A5-Capex'!J58</f>
        <v>60361300</v>
      </c>
      <c r="P20" s="204">
        <f>'A5-Capex'!K58</f>
        <v>0</v>
      </c>
      <c r="Q20" s="265">
        <f>'A5-Capex'!L58</f>
        <v>0</v>
      </c>
      <c r="R20" s="373"/>
    </row>
    <row r="21" spans="1:20">
      <c r="A21" s="1315" t="str">
        <f>'A5-Capex'!A59</f>
        <v>Water</v>
      </c>
      <c r="B21" s="878"/>
      <c r="C21" s="1731">
        <f t="shared" si="38"/>
        <v>5325150</v>
      </c>
      <c r="D21" s="1708">
        <f t="shared" si="39"/>
        <v>7455210.0000000009</v>
      </c>
      <c r="E21" s="1708">
        <f t="shared" si="40"/>
        <v>9585270</v>
      </c>
      <c r="F21" s="1708">
        <f t="shared" si="41"/>
        <v>11715330</v>
      </c>
      <c r="G21" s="1708">
        <f t="shared" si="42"/>
        <v>13845390</v>
      </c>
      <c r="H21" s="1708">
        <f t="shared" si="43"/>
        <v>10650300</v>
      </c>
      <c r="I21" s="1708">
        <f t="shared" si="44"/>
        <v>9585270</v>
      </c>
      <c r="J21" s="1708">
        <f t="shared" si="45"/>
        <v>1278036</v>
      </c>
      <c r="K21" s="1708">
        <f t="shared" si="46"/>
        <v>8520240</v>
      </c>
      <c r="L21" s="1708">
        <f t="shared" si="47"/>
        <v>7455210.0000000009</v>
      </c>
      <c r="M21" s="1708">
        <f t="shared" si="48"/>
        <v>5325150</v>
      </c>
      <c r="N21" s="203">
        <f t="shared" si="1"/>
        <v>15762444</v>
      </c>
      <c r="O21" s="206">
        <f>'A5-Capex'!J59</f>
        <v>106503000</v>
      </c>
      <c r="P21" s="204">
        <f>'A5-Capex'!K59</f>
        <v>42500000</v>
      </c>
      <c r="Q21" s="265">
        <f>'A5-Capex'!L59</f>
        <v>0</v>
      </c>
      <c r="R21" s="373"/>
    </row>
    <row r="22" spans="1:20">
      <c r="A22" s="1315" t="str">
        <f>'A5-Capex'!A60</f>
        <v>Waste water management</v>
      </c>
      <c r="B22" s="878"/>
      <c r="C22" s="1731">
        <f t="shared" si="38"/>
        <v>0</v>
      </c>
      <c r="D22" s="1708">
        <f t="shared" si="39"/>
        <v>0</v>
      </c>
      <c r="E22" s="1708">
        <f t="shared" si="40"/>
        <v>0</v>
      </c>
      <c r="F22" s="1708">
        <f t="shared" si="41"/>
        <v>0</v>
      </c>
      <c r="G22" s="1708">
        <f t="shared" si="42"/>
        <v>0</v>
      </c>
      <c r="H22" s="1708">
        <f t="shared" si="43"/>
        <v>0</v>
      </c>
      <c r="I22" s="1708">
        <f t="shared" si="44"/>
        <v>0</v>
      </c>
      <c r="J22" s="1708">
        <f t="shared" si="45"/>
        <v>0</v>
      </c>
      <c r="K22" s="1708">
        <f t="shared" si="46"/>
        <v>0</v>
      </c>
      <c r="L22" s="1708">
        <f t="shared" si="47"/>
        <v>0</v>
      </c>
      <c r="M22" s="1708">
        <f t="shared" si="48"/>
        <v>0</v>
      </c>
      <c r="N22" s="203">
        <f t="shared" si="1"/>
        <v>0</v>
      </c>
      <c r="O22" s="206">
        <f>'A5-Capex'!J60</f>
        <v>0</v>
      </c>
      <c r="P22" s="204">
        <f>'A5-Capex'!K60</f>
        <v>0</v>
      </c>
      <c r="Q22" s="265">
        <f>'A5-Capex'!L60</f>
        <v>0</v>
      </c>
      <c r="R22" s="373"/>
    </row>
    <row r="23" spans="1:20">
      <c r="A23" s="1315" t="str">
        <f>'A5-Capex'!A61</f>
        <v>Waste management</v>
      </c>
      <c r="B23" s="878"/>
      <c r="C23" s="1731">
        <f t="shared" si="38"/>
        <v>323850</v>
      </c>
      <c r="D23" s="1708">
        <f t="shared" si="39"/>
        <v>453390.00000000006</v>
      </c>
      <c r="E23" s="1708">
        <f t="shared" si="40"/>
        <v>582930</v>
      </c>
      <c r="F23" s="1708">
        <f t="shared" si="41"/>
        <v>712470</v>
      </c>
      <c r="G23" s="1708">
        <f t="shared" si="42"/>
        <v>842010</v>
      </c>
      <c r="H23" s="1708">
        <f t="shared" si="43"/>
        <v>647700</v>
      </c>
      <c r="I23" s="1708">
        <f t="shared" si="44"/>
        <v>582930</v>
      </c>
      <c r="J23" s="1708">
        <f t="shared" si="45"/>
        <v>77724</v>
      </c>
      <c r="K23" s="1708">
        <f t="shared" si="46"/>
        <v>518160</v>
      </c>
      <c r="L23" s="1708">
        <f t="shared" si="47"/>
        <v>453390.00000000006</v>
      </c>
      <c r="M23" s="1708">
        <f t="shared" si="48"/>
        <v>323850</v>
      </c>
      <c r="N23" s="203">
        <f t="shared" si="1"/>
        <v>958596</v>
      </c>
      <c r="O23" s="206">
        <f>'A5-Capex'!J61</f>
        <v>6477000</v>
      </c>
      <c r="P23" s="204">
        <f>'A5-Capex'!K61</f>
        <v>0</v>
      </c>
      <c r="Q23" s="265">
        <f>'A5-Capex'!L61</f>
        <v>0</v>
      </c>
      <c r="R23" s="373"/>
    </row>
    <row r="24" spans="1:20">
      <c r="A24" s="1314" t="str">
        <f>'A5-Capex'!A62</f>
        <v>Other</v>
      </c>
      <c r="B24" s="878"/>
      <c r="C24" s="1745">
        <f t="shared" si="38"/>
        <v>800000</v>
      </c>
      <c r="D24" s="1743">
        <f t="shared" si="39"/>
        <v>1120000</v>
      </c>
      <c r="E24" s="1743">
        <f t="shared" si="40"/>
        <v>1440000</v>
      </c>
      <c r="F24" s="1743">
        <f t="shared" si="41"/>
        <v>1760000</v>
      </c>
      <c r="G24" s="1743">
        <f t="shared" si="42"/>
        <v>2080000</v>
      </c>
      <c r="H24" s="1743">
        <f t="shared" si="43"/>
        <v>1600000</v>
      </c>
      <c r="I24" s="1743">
        <f t="shared" si="44"/>
        <v>1440000</v>
      </c>
      <c r="J24" s="1743">
        <f t="shared" si="45"/>
        <v>192000</v>
      </c>
      <c r="K24" s="1743">
        <f t="shared" si="46"/>
        <v>1280000</v>
      </c>
      <c r="L24" s="1743">
        <f t="shared" si="47"/>
        <v>1120000</v>
      </c>
      <c r="M24" s="1743">
        <f t="shared" si="48"/>
        <v>800000</v>
      </c>
      <c r="N24" s="218">
        <f t="shared" si="1"/>
        <v>2368000</v>
      </c>
      <c r="O24" s="221">
        <f>'A5-Capex'!J62</f>
        <v>16000000</v>
      </c>
      <c r="P24" s="219">
        <f>'A5-Capex'!K62</f>
        <v>0</v>
      </c>
      <c r="Q24" s="346">
        <f>'A5-Capex'!L62</f>
        <v>0</v>
      </c>
      <c r="R24" s="373"/>
    </row>
    <row r="25" spans="1:20">
      <c r="A25" s="863" t="str">
        <f>'A5-Capex'!A63</f>
        <v>Total Capital Expenditure - Standard</v>
      </c>
      <c r="B25" s="895">
        <v>2</v>
      </c>
      <c r="C25" s="355">
        <f>C5+C9+C15+C19+C24</f>
        <v>20565665</v>
      </c>
      <c r="D25" s="228">
        <f t="shared" ref="D25:Q25" si="49">D5+D9+D15+D19+D24</f>
        <v>28791931</v>
      </c>
      <c r="E25" s="228">
        <f t="shared" si="49"/>
        <v>37018197</v>
      </c>
      <c r="F25" s="228">
        <f t="shared" si="49"/>
        <v>45244463</v>
      </c>
      <c r="G25" s="228">
        <f t="shared" si="49"/>
        <v>53470729</v>
      </c>
      <c r="H25" s="228">
        <f t="shared" si="49"/>
        <v>41131330</v>
      </c>
      <c r="I25" s="228">
        <f t="shared" si="49"/>
        <v>37018197</v>
      </c>
      <c r="J25" s="228">
        <f t="shared" si="49"/>
        <v>4935759.5999999996</v>
      </c>
      <c r="K25" s="228">
        <f t="shared" si="49"/>
        <v>32905064</v>
      </c>
      <c r="L25" s="228">
        <f t="shared" si="49"/>
        <v>28791931</v>
      </c>
      <c r="M25" s="228">
        <f t="shared" si="49"/>
        <v>20565665</v>
      </c>
      <c r="N25" s="227">
        <f t="shared" si="49"/>
        <v>60874368.400000006</v>
      </c>
      <c r="O25" s="355">
        <f t="shared" si="49"/>
        <v>411313300</v>
      </c>
      <c r="P25" s="228">
        <f t="shared" si="49"/>
        <v>310819300</v>
      </c>
      <c r="Q25" s="354">
        <f t="shared" si="49"/>
        <v>214215000</v>
      </c>
      <c r="R25" s="373"/>
    </row>
    <row r="26" spans="1:20" s="722" customFormat="1">
      <c r="A26" s="1466" t="str">
        <f>head27a</f>
        <v>References</v>
      </c>
      <c r="B26" s="1115"/>
      <c r="C26" s="1067"/>
      <c r="D26" s="1067"/>
      <c r="E26" s="1067"/>
      <c r="F26" s="1067"/>
      <c r="G26" s="1067"/>
      <c r="H26" s="1067"/>
      <c r="I26" s="1067"/>
      <c r="J26" s="1067"/>
      <c r="K26" s="1067"/>
      <c r="L26" s="1067"/>
      <c r="M26" s="1067"/>
      <c r="N26" s="1067"/>
      <c r="O26" s="1067"/>
      <c r="P26" s="1067"/>
      <c r="Q26" s="1067"/>
      <c r="R26" s="1114"/>
      <c r="S26" s="1114"/>
      <c r="T26" s="1114"/>
    </row>
    <row r="27" spans="1:20" s="722" customFormat="1">
      <c r="A27" s="1462" t="s">
        <v>855</v>
      </c>
      <c r="C27" s="1067"/>
      <c r="D27" s="1067"/>
      <c r="E27" s="1067"/>
      <c r="F27" s="1067"/>
      <c r="G27" s="1067"/>
      <c r="H27" s="1067"/>
      <c r="I27" s="1067"/>
      <c r="J27" s="1067"/>
      <c r="K27" s="1067"/>
      <c r="L27" s="1067"/>
      <c r="M27" s="1067"/>
      <c r="N27" s="1067"/>
      <c r="O27" s="1067"/>
      <c r="P27" s="1067"/>
      <c r="Q27" s="1067"/>
      <c r="R27" s="1114"/>
      <c r="S27" s="1114"/>
      <c r="T27" s="1114"/>
    </row>
    <row r="28" spans="1:20" s="722" customFormat="1">
      <c r="A28" s="1462" t="str">
        <f>'SA28'!A44</f>
        <v>2. Total Capital Expenditure must reconcile to Budgeted Capital Expenditure</v>
      </c>
    </row>
    <row r="29" spans="1:20">
      <c r="A29" s="440" t="s">
        <v>1661</v>
      </c>
      <c r="B29" s="440"/>
      <c r="O29" s="820">
        <f>O25-'A5-Capex'!J40</f>
        <v>0</v>
      </c>
      <c r="P29" s="820">
        <f>P25-'A5-Capex'!K40</f>
        <v>0</v>
      </c>
      <c r="Q29" s="820">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2"/>
  <sheetViews>
    <sheetView showGridLines="0" workbookViewId="0">
      <pane xSplit="1" ySplit="3" topLeftCell="B43" activePane="bottomRight" state="frozen"/>
      <selection activeCell="O37" sqref="A1:IV65536"/>
      <selection pane="topRight" activeCell="O37" sqref="A1:IV65536"/>
      <selection pane="bottomLeft" activeCell="O37" sqref="A1:IV65536"/>
      <selection pane="bottomRight" activeCell="B36" sqref="B36:L46"/>
    </sheetView>
  </sheetViews>
  <sheetFormatPr defaultRowHeight="12.75"/>
  <cols>
    <col min="1" max="1" width="30.7109375" style="150" customWidth="1"/>
    <col min="2" max="13" width="8.28515625" style="150" customWidth="1"/>
    <col min="14" max="16" width="9.28515625" style="150" customWidth="1"/>
    <col min="17" max="17" width="9.85546875" style="150" hidden="1" customWidth="1"/>
    <col min="18" max="18" width="9.5703125" style="150" hidden="1" customWidth="1"/>
    <col min="19" max="19" width="9.85546875" style="150" hidden="1" customWidth="1"/>
    <col min="20" max="20" width="11.28515625" style="150" customWidth="1"/>
    <col min="21" max="21" width="9.5703125" style="150" bestFit="1" customWidth="1"/>
    <col min="22" max="25" width="9.85546875" style="150" bestFit="1" customWidth="1"/>
    <col min="26" max="27" width="9.5703125" style="150" bestFit="1" customWidth="1"/>
    <col min="28" max="28" width="9.85546875" style="150" bestFit="1" customWidth="1"/>
    <col min="29" max="16384" width="9.140625" style="150"/>
  </cols>
  <sheetData>
    <row r="1" spans="1:22" ht="13.5" customHeight="1">
      <c r="A1" s="148" t="str">
        <f>muni&amp;" - "&amp; TableA30</f>
        <v>KZN225 Msunduzi - Supporting Table SA30 Budgeted monthly cash flow</v>
      </c>
      <c r="B1" s="148"/>
      <c r="C1" s="148"/>
      <c r="D1" s="148"/>
      <c r="E1" s="148"/>
      <c r="F1" s="148"/>
      <c r="G1" s="148"/>
      <c r="H1" s="148"/>
      <c r="I1" s="148"/>
      <c r="J1" s="148"/>
      <c r="K1" s="148"/>
      <c r="L1" s="148"/>
      <c r="M1" s="148"/>
      <c r="N1" s="148"/>
      <c r="O1" s="148"/>
      <c r="P1" s="148"/>
      <c r="Q1" s="148"/>
    </row>
    <row r="2" spans="1:22" ht="28.5" customHeight="1">
      <c r="A2" s="1028" t="s">
        <v>441</v>
      </c>
      <c r="B2" s="2415" t="str">
        <f>Head9</f>
        <v>Budget Year 2011/12</v>
      </c>
      <c r="C2" s="2416"/>
      <c r="D2" s="2416"/>
      <c r="E2" s="2416"/>
      <c r="F2" s="2416"/>
      <c r="G2" s="2416"/>
      <c r="H2" s="2416"/>
      <c r="I2" s="2416"/>
      <c r="J2" s="2416"/>
      <c r="K2" s="2416"/>
      <c r="L2" s="2416"/>
      <c r="M2" s="2416"/>
      <c r="N2" s="2412" t="s">
        <v>1961</v>
      </c>
      <c r="O2" s="2413"/>
      <c r="P2" s="2414"/>
    </row>
    <row r="3" spans="1:22" ht="25.5">
      <c r="A3" s="181" t="s">
        <v>703</v>
      </c>
      <c r="B3" s="300" t="s">
        <v>765</v>
      </c>
      <c r="C3" s="942" t="s">
        <v>1543</v>
      </c>
      <c r="D3" s="942" t="s">
        <v>1544</v>
      </c>
      <c r="E3" s="942" t="s">
        <v>1545</v>
      </c>
      <c r="F3" s="942" t="s">
        <v>745</v>
      </c>
      <c r="G3" s="942" t="s">
        <v>746</v>
      </c>
      <c r="H3" s="942" t="s">
        <v>747</v>
      </c>
      <c r="I3" s="942" t="s">
        <v>748</v>
      </c>
      <c r="J3" s="942" t="s">
        <v>749</v>
      </c>
      <c r="K3" s="942" t="s">
        <v>750</v>
      </c>
      <c r="L3" s="942" t="s">
        <v>751</v>
      </c>
      <c r="M3" s="394" t="s">
        <v>752</v>
      </c>
      <c r="N3" s="300" t="str">
        <f>Head9</f>
        <v>Budget Year 2011/12</v>
      </c>
      <c r="O3" s="393" t="str">
        <f>Head10</f>
        <v>Budget Year +1 2012/13</v>
      </c>
      <c r="P3" s="394" t="str">
        <f>Head11</f>
        <v>Budget Year +2 2013/14</v>
      </c>
    </row>
    <row r="4" spans="1:22">
      <c r="A4" s="250" t="s">
        <v>984</v>
      </c>
      <c r="B4" s="314"/>
      <c r="C4" s="312"/>
      <c r="D4" s="312"/>
      <c r="E4" s="312"/>
      <c r="F4" s="312"/>
      <c r="G4" s="312"/>
      <c r="H4" s="312"/>
      <c r="I4" s="312"/>
      <c r="J4" s="312"/>
      <c r="K4" s="312"/>
      <c r="L4" s="312"/>
      <c r="M4" s="315"/>
      <c r="N4" s="1480"/>
      <c r="O4" s="312"/>
      <c r="P4" s="315"/>
      <c r="T4" s="373"/>
    </row>
    <row r="5" spans="1:22">
      <c r="A5" s="251" t="str">
        <f>'A4-FinPerf RE'!A5</f>
        <v>Property rates</v>
      </c>
      <c r="B5" s="1731">
        <f>N5*0.05</f>
        <v>24417880</v>
      </c>
      <c r="C5" s="1731">
        <f>N5*0.07</f>
        <v>34185032</v>
      </c>
      <c r="D5" s="1731">
        <f>N5*0.09</f>
        <v>43952184</v>
      </c>
      <c r="E5" s="1731">
        <f>N5*0.11</f>
        <v>53719336</v>
      </c>
      <c r="F5" s="1731">
        <f>N5*0.13</f>
        <v>63486488</v>
      </c>
      <c r="G5" s="1731">
        <f>N5*0.1</f>
        <v>48835760</v>
      </c>
      <c r="H5" s="1731">
        <f>N5*0.09</f>
        <v>43952184</v>
      </c>
      <c r="I5" s="1731">
        <f>N5*0.12</f>
        <v>58602912</v>
      </c>
      <c r="J5" s="1731">
        <f>N5*0.08</f>
        <v>39068608</v>
      </c>
      <c r="K5" s="1731">
        <f>N5*0.07</f>
        <v>34185032</v>
      </c>
      <c r="L5" s="1731">
        <f>N5*0.05</f>
        <v>24417880</v>
      </c>
      <c r="M5" s="205">
        <f>N5-SUM(B5:L5)</f>
        <v>19534304</v>
      </c>
      <c r="N5" s="1731">
        <v>488357600</v>
      </c>
      <c r="O5" s="1708">
        <v>514240552.80000001</v>
      </c>
      <c r="P5" s="1730">
        <v>542523783.204</v>
      </c>
      <c r="T5" s="373"/>
      <c r="U5" s="373"/>
      <c r="V5" s="373"/>
    </row>
    <row r="6" spans="1:22">
      <c r="A6" s="251" t="str">
        <f>'A4-FinPerf RE'!A6</f>
        <v>Property rates - penalties &amp; collection charges</v>
      </c>
      <c r="B6" s="1731">
        <f t="shared" ref="B6:B20" si="0">N6*0.05</f>
        <v>1422733.3</v>
      </c>
      <c r="C6" s="1731">
        <f t="shared" ref="C6:C20" si="1">N6*0.07</f>
        <v>1991826.62</v>
      </c>
      <c r="D6" s="1731">
        <f t="shared" ref="D6:D20" si="2">N6*0.09</f>
        <v>2560919.94</v>
      </c>
      <c r="E6" s="1731">
        <f t="shared" ref="E6:E20" si="3">N6*0.11</f>
        <v>3130013.2600000002</v>
      </c>
      <c r="F6" s="1731">
        <f t="shared" ref="F6:F20" si="4">N6*0.13</f>
        <v>3699106.58</v>
      </c>
      <c r="G6" s="1731">
        <f t="shared" ref="G6:G20" si="5">N6*0.1</f>
        <v>2845466.6</v>
      </c>
      <c r="H6" s="1731">
        <f t="shared" ref="H6:H20" si="6">N6*0.09</f>
        <v>2560919.94</v>
      </c>
      <c r="I6" s="1731">
        <f t="shared" ref="I6:I20" si="7">N6*0.12</f>
        <v>3414559.92</v>
      </c>
      <c r="J6" s="1731">
        <f t="shared" ref="J6:J20" si="8">N6*0.08</f>
        <v>2276373.2800000003</v>
      </c>
      <c r="K6" s="1731">
        <f t="shared" ref="K6:K20" si="9">N6*0.07</f>
        <v>1991826.62</v>
      </c>
      <c r="L6" s="1731">
        <f t="shared" ref="L6:L20" si="10">N6*0.05</f>
        <v>1422733.3</v>
      </c>
      <c r="M6" s="205">
        <f t="shared" ref="M6:M20" si="11">N6-SUM(B6:L6)</f>
        <v>1138186.6400000006</v>
      </c>
      <c r="N6" s="1731">
        <v>28454666</v>
      </c>
      <c r="O6" s="1708">
        <v>29962763.298</v>
      </c>
      <c r="P6" s="1730">
        <v>31610715.27939</v>
      </c>
      <c r="T6" s="373"/>
      <c r="U6" s="373"/>
      <c r="V6" s="373"/>
    </row>
    <row r="7" spans="1:22">
      <c r="A7" s="251" t="str">
        <f>'A4-FinPerf RE'!A7</f>
        <v>Service charges - electricity revenue</v>
      </c>
      <c r="B7" s="1731">
        <f t="shared" si="0"/>
        <v>59275838.700000003</v>
      </c>
      <c r="C7" s="1731">
        <f t="shared" si="1"/>
        <v>82986174.180000007</v>
      </c>
      <c r="D7" s="1731">
        <f t="shared" si="2"/>
        <v>106696509.66</v>
      </c>
      <c r="E7" s="1731">
        <f t="shared" si="3"/>
        <v>130406845.14</v>
      </c>
      <c r="F7" s="1731">
        <f t="shared" si="4"/>
        <v>154117180.62</v>
      </c>
      <c r="G7" s="1731">
        <f t="shared" si="5"/>
        <v>118551677.40000001</v>
      </c>
      <c r="H7" s="1731">
        <f t="shared" si="6"/>
        <v>106696509.66</v>
      </c>
      <c r="I7" s="1731">
        <f t="shared" si="7"/>
        <v>142262012.88</v>
      </c>
      <c r="J7" s="1731">
        <f t="shared" si="8"/>
        <v>94841341.920000002</v>
      </c>
      <c r="K7" s="1731">
        <f t="shared" si="9"/>
        <v>82986174.180000007</v>
      </c>
      <c r="L7" s="1731">
        <f t="shared" si="10"/>
        <v>59275838.700000003</v>
      </c>
      <c r="M7" s="205">
        <f t="shared" si="11"/>
        <v>47420670.960000038</v>
      </c>
      <c r="N7" s="1731">
        <v>1185516774</v>
      </c>
      <c r="O7" s="1708">
        <v>1251438825</v>
      </c>
      <c r="P7" s="1730">
        <v>1324643385</v>
      </c>
      <c r="T7" s="373"/>
      <c r="U7" s="373"/>
      <c r="V7" s="373"/>
    </row>
    <row r="8" spans="1:22">
      <c r="A8" s="251" t="str">
        <f>'A4-FinPerf RE'!A8</f>
        <v>Service charges - water revenue</v>
      </c>
      <c r="B8" s="1731">
        <f t="shared" si="0"/>
        <v>15095317.75</v>
      </c>
      <c r="C8" s="1731">
        <f t="shared" si="1"/>
        <v>21133444.850000001</v>
      </c>
      <c r="D8" s="1731">
        <f t="shared" si="2"/>
        <v>27171571.949999999</v>
      </c>
      <c r="E8" s="1731">
        <f t="shared" si="3"/>
        <v>33209699.050000001</v>
      </c>
      <c r="F8" s="1731">
        <f t="shared" si="4"/>
        <v>39247826.149999999</v>
      </c>
      <c r="G8" s="1731">
        <f t="shared" si="5"/>
        <v>30190635.5</v>
      </c>
      <c r="H8" s="1731">
        <f t="shared" si="6"/>
        <v>27171571.949999999</v>
      </c>
      <c r="I8" s="1731">
        <f t="shared" si="7"/>
        <v>36228762.600000001</v>
      </c>
      <c r="J8" s="1731">
        <f t="shared" si="8"/>
        <v>24152508.400000002</v>
      </c>
      <c r="K8" s="1731">
        <f t="shared" si="9"/>
        <v>21133444.850000001</v>
      </c>
      <c r="L8" s="1731">
        <f t="shared" si="10"/>
        <v>15095317.75</v>
      </c>
      <c r="M8" s="205">
        <f t="shared" si="11"/>
        <v>12076254.199999988</v>
      </c>
      <c r="N8" s="1731">
        <v>301906355</v>
      </c>
      <c r="O8" s="1708">
        <v>317907392</v>
      </c>
      <c r="P8" s="1730">
        <v>335392298</v>
      </c>
      <c r="T8" s="373"/>
      <c r="U8" s="373"/>
      <c r="V8" s="373"/>
    </row>
    <row r="9" spans="1:22">
      <c r="A9" s="251" t="str">
        <f>'A4-FinPerf RE'!A9</f>
        <v>Service charges - sanitation revenue</v>
      </c>
      <c r="B9" s="1731">
        <f t="shared" si="0"/>
        <v>5687985.75</v>
      </c>
      <c r="C9" s="1731">
        <f t="shared" si="1"/>
        <v>7963180.0500000007</v>
      </c>
      <c r="D9" s="1731">
        <f t="shared" si="2"/>
        <v>10238374.35</v>
      </c>
      <c r="E9" s="1731">
        <f t="shared" si="3"/>
        <v>12513568.65</v>
      </c>
      <c r="F9" s="1731">
        <f t="shared" si="4"/>
        <v>14788762.950000001</v>
      </c>
      <c r="G9" s="1731">
        <f t="shared" si="5"/>
        <v>11375971.5</v>
      </c>
      <c r="H9" s="1731">
        <f t="shared" si="6"/>
        <v>10238374.35</v>
      </c>
      <c r="I9" s="1731">
        <f t="shared" si="7"/>
        <v>13651165.799999999</v>
      </c>
      <c r="J9" s="1731">
        <f t="shared" si="8"/>
        <v>9100777.2000000011</v>
      </c>
      <c r="K9" s="1731">
        <f t="shared" si="9"/>
        <v>7963180.0500000007</v>
      </c>
      <c r="L9" s="1731">
        <f t="shared" si="10"/>
        <v>5687985.75</v>
      </c>
      <c r="M9" s="205">
        <f t="shared" si="11"/>
        <v>4550388.6000000089</v>
      </c>
      <c r="N9" s="1731">
        <v>113759715</v>
      </c>
      <c r="O9" s="1708">
        <v>119788980</v>
      </c>
      <c r="P9" s="1730">
        <v>126377374</v>
      </c>
      <c r="T9" s="373"/>
      <c r="U9" s="373"/>
      <c r="V9" s="373"/>
    </row>
    <row r="10" spans="1:22">
      <c r="A10" s="251" t="str">
        <f>'A4-FinPerf RE'!A10</f>
        <v>Service charges - refuse revenue</v>
      </c>
      <c r="B10" s="1731">
        <f t="shared" si="0"/>
        <v>3430166.95</v>
      </c>
      <c r="C10" s="1731">
        <f t="shared" si="1"/>
        <v>4802233.7300000004</v>
      </c>
      <c r="D10" s="1731">
        <f t="shared" si="2"/>
        <v>6174300.5099999998</v>
      </c>
      <c r="E10" s="1731">
        <f t="shared" si="3"/>
        <v>7546367.29</v>
      </c>
      <c r="F10" s="1731">
        <f t="shared" si="4"/>
        <v>8918434.0700000003</v>
      </c>
      <c r="G10" s="1731">
        <f t="shared" si="5"/>
        <v>6860333.9000000004</v>
      </c>
      <c r="H10" s="1731">
        <f t="shared" si="6"/>
        <v>6174300.5099999998</v>
      </c>
      <c r="I10" s="1731">
        <f t="shared" si="7"/>
        <v>8232400.6799999997</v>
      </c>
      <c r="J10" s="1731">
        <f t="shared" si="8"/>
        <v>5488267.1200000001</v>
      </c>
      <c r="K10" s="1731">
        <f t="shared" si="9"/>
        <v>4802233.7300000004</v>
      </c>
      <c r="L10" s="1731">
        <f t="shared" si="10"/>
        <v>3430166.95</v>
      </c>
      <c r="M10" s="205">
        <f t="shared" si="11"/>
        <v>2744133.5600000024</v>
      </c>
      <c r="N10" s="1731">
        <v>68603339</v>
      </c>
      <c r="O10" s="1708">
        <v>72239316</v>
      </c>
      <c r="P10" s="1730">
        <v>75212478</v>
      </c>
      <c r="T10" s="373"/>
      <c r="U10" s="373"/>
      <c r="V10" s="373"/>
    </row>
    <row r="11" spans="1:22">
      <c r="A11" s="251" t="str">
        <f>'A4-FinPerf RE'!A11</f>
        <v>Service charges - other</v>
      </c>
      <c r="B11" s="1731">
        <f t="shared" si="0"/>
        <v>0</v>
      </c>
      <c r="C11" s="1731">
        <f t="shared" si="1"/>
        <v>0</v>
      </c>
      <c r="D11" s="1731">
        <f t="shared" si="2"/>
        <v>0</v>
      </c>
      <c r="E11" s="1731">
        <f t="shared" si="3"/>
        <v>0</v>
      </c>
      <c r="F11" s="1731">
        <f t="shared" si="4"/>
        <v>0</v>
      </c>
      <c r="G11" s="1731">
        <f t="shared" si="5"/>
        <v>0</v>
      </c>
      <c r="H11" s="1731">
        <f t="shared" si="6"/>
        <v>0</v>
      </c>
      <c r="I11" s="1731">
        <f t="shared" si="7"/>
        <v>0</v>
      </c>
      <c r="J11" s="1731">
        <f t="shared" si="8"/>
        <v>0</v>
      </c>
      <c r="K11" s="1731">
        <f t="shared" si="9"/>
        <v>0</v>
      </c>
      <c r="L11" s="1731">
        <f t="shared" si="10"/>
        <v>0</v>
      </c>
      <c r="M11" s="205">
        <f t="shared" si="11"/>
        <v>0</v>
      </c>
      <c r="N11" s="1731"/>
      <c r="O11" s="1708"/>
      <c r="P11" s="1730"/>
      <c r="T11" s="373"/>
      <c r="U11" s="373"/>
      <c r="V11" s="373"/>
    </row>
    <row r="12" spans="1:22">
      <c r="A12" s="251" t="str">
        <f>'A4-FinPerf RE'!A12</f>
        <v>Rental of facilities and equipment</v>
      </c>
      <c r="B12" s="1731">
        <f t="shared" si="0"/>
        <v>913054.85000000009</v>
      </c>
      <c r="C12" s="1731">
        <f t="shared" si="1"/>
        <v>1278276.79</v>
      </c>
      <c r="D12" s="1731">
        <f t="shared" si="2"/>
        <v>1643498.73</v>
      </c>
      <c r="E12" s="1731">
        <f t="shared" si="3"/>
        <v>2008720.67</v>
      </c>
      <c r="F12" s="1731">
        <f t="shared" si="4"/>
        <v>2373942.61</v>
      </c>
      <c r="G12" s="1731">
        <f t="shared" si="5"/>
        <v>1826109.7000000002</v>
      </c>
      <c r="H12" s="1731">
        <f t="shared" si="6"/>
        <v>1643498.73</v>
      </c>
      <c r="I12" s="1731">
        <f t="shared" si="7"/>
        <v>2191331.64</v>
      </c>
      <c r="J12" s="1731">
        <f t="shared" si="8"/>
        <v>1460887.76</v>
      </c>
      <c r="K12" s="1731">
        <f t="shared" si="9"/>
        <v>1278276.79</v>
      </c>
      <c r="L12" s="1731">
        <f t="shared" si="10"/>
        <v>913054.85000000009</v>
      </c>
      <c r="M12" s="205">
        <f t="shared" si="11"/>
        <v>730443.87999999523</v>
      </c>
      <c r="N12" s="1731">
        <v>18261097</v>
      </c>
      <c r="O12" s="1708">
        <v>19203488</v>
      </c>
      <c r="P12" s="1730">
        <v>20259680</v>
      </c>
      <c r="T12" s="373"/>
      <c r="U12" s="373"/>
      <c r="V12" s="373"/>
    </row>
    <row r="13" spans="1:22">
      <c r="A13" s="251" t="str">
        <f>'A4-FinPerf RE'!A13</f>
        <v>Interest earned - external investments</v>
      </c>
      <c r="B13" s="1731">
        <f t="shared" si="0"/>
        <v>790000</v>
      </c>
      <c r="C13" s="1731">
        <f t="shared" si="1"/>
        <v>1106000</v>
      </c>
      <c r="D13" s="1731">
        <f t="shared" si="2"/>
        <v>1422000</v>
      </c>
      <c r="E13" s="1731">
        <f t="shared" si="3"/>
        <v>1738000</v>
      </c>
      <c r="F13" s="1731">
        <f t="shared" si="4"/>
        <v>2054000</v>
      </c>
      <c r="G13" s="1731">
        <f t="shared" si="5"/>
        <v>1580000</v>
      </c>
      <c r="H13" s="1731">
        <f t="shared" si="6"/>
        <v>1422000</v>
      </c>
      <c r="I13" s="1731">
        <f t="shared" si="7"/>
        <v>1896000</v>
      </c>
      <c r="J13" s="1731">
        <f t="shared" si="8"/>
        <v>1264000</v>
      </c>
      <c r="K13" s="1731">
        <f t="shared" si="9"/>
        <v>1106000</v>
      </c>
      <c r="L13" s="1731">
        <f t="shared" si="10"/>
        <v>790000</v>
      </c>
      <c r="M13" s="205">
        <f t="shared" si="11"/>
        <v>632000</v>
      </c>
      <c r="N13" s="1731">
        <v>15800000</v>
      </c>
      <c r="O13" s="1708">
        <v>16637400</v>
      </c>
      <c r="P13" s="1730">
        <v>17552457</v>
      </c>
      <c r="T13" s="373"/>
      <c r="U13" s="373"/>
      <c r="V13" s="373"/>
    </row>
    <row r="14" spans="1:22">
      <c r="A14" s="251" t="str">
        <f>'A4-FinPerf RE'!A14</f>
        <v>Interest earned - outstanding debtors</v>
      </c>
      <c r="B14" s="1731">
        <f t="shared" si="0"/>
        <v>50926.350000000006</v>
      </c>
      <c r="C14" s="1731">
        <f t="shared" si="1"/>
        <v>71296.890000000014</v>
      </c>
      <c r="D14" s="1731">
        <f t="shared" si="2"/>
        <v>91667.43</v>
      </c>
      <c r="E14" s="1731">
        <f t="shared" si="3"/>
        <v>112037.97</v>
      </c>
      <c r="F14" s="1731">
        <f t="shared" si="4"/>
        <v>132408.51</v>
      </c>
      <c r="G14" s="1731">
        <f t="shared" si="5"/>
        <v>101852.70000000001</v>
      </c>
      <c r="H14" s="1731">
        <f t="shared" si="6"/>
        <v>91667.43</v>
      </c>
      <c r="I14" s="1731">
        <f t="shared" si="7"/>
        <v>122223.23999999999</v>
      </c>
      <c r="J14" s="1731">
        <f t="shared" si="8"/>
        <v>81482.16</v>
      </c>
      <c r="K14" s="1731">
        <f t="shared" si="9"/>
        <v>71296.890000000014</v>
      </c>
      <c r="L14" s="1731">
        <f t="shared" si="10"/>
        <v>50926.350000000006</v>
      </c>
      <c r="M14" s="205">
        <f t="shared" si="11"/>
        <v>40741.079999999958</v>
      </c>
      <c r="N14" s="1731">
        <v>1018527</v>
      </c>
      <c r="O14" s="1708">
        <v>1072508.9310000001</v>
      </c>
      <c r="P14" s="1730">
        <v>1131496.922205</v>
      </c>
      <c r="T14" s="373"/>
      <c r="U14" s="373"/>
      <c r="V14" s="373"/>
    </row>
    <row r="15" spans="1:22">
      <c r="A15" s="251" t="str">
        <f>'A4-FinPerf RE'!A15</f>
        <v>Dividends received</v>
      </c>
      <c r="B15" s="1731">
        <f t="shared" si="0"/>
        <v>0</v>
      </c>
      <c r="C15" s="1731">
        <f t="shared" si="1"/>
        <v>0</v>
      </c>
      <c r="D15" s="1731">
        <f t="shared" si="2"/>
        <v>0</v>
      </c>
      <c r="E15" s="1731">
        <f t="shared" si="3"/>
        <v>0</v>
      </c>
      <c r="F15" s="1731">
        <f t="shared" si="4"/>
        <v>0</v>
      </c>
      <c r="G15" s="1731">
        <f t="shared" si="5"/>
        <v>0</v>
      </c>
      <c r="H15" s="1731">
        <f t="shared" si="6"/>
        <v>0</v>
      </c>
      <c r="I15" s="1731">
        <f t="shared" si="7"/>
        <v>0</v>
      </c>
      <c r="J15" s="1731">
        <f t="shared" si="8"/>
        <v>0</v>
      </c>
      <c r="K15" s="1731">
        <f t="shared" si="9"/>
        <v>0</v>
      </c>
      <c r="L15" s="1731">
        <f t="shared" si="10"/>
        <v>0</v>
      </c>
      <c r="M15" s="205">
        <f t="shared" si="11"/>
        <v>0</v>
      </c>
      <c r="N15" s="1731"/>
      <c r="O15" s="1708"/>
      <c r="P15" s="1730"/>
      <c r="T15" s="373"/>
      <c r="U15" s="373"/>
      <c r="V15" s="373"/>
    </row>
    <row r="16" spans="1:22">
      <c r="A16" s="251" t="str">
        <f>'A4-FinPerf RE'!A16</f>
        <v>Fines</v>
      </c>
      <c r="B16" s="1731">
        <f t="shared" si="0"/>
        <v>303639.15000000002</v>
      </c>
      <c r="C16" s="1731">
        <f t="shared" si="1"/>
        <v>425094.81000000006</v>
      </c>
      <c r="D16" s="1731">
        <f t="shared" si="2"/>
        <v>546550.47</v>
      </c>
      <c r="E16" s="1731">
        <f t="shared" si="3"/>
        <v>668006.13</v>
      </c>
      <c r="F16" s="1731">
        <f t="shared" si="4"/>
        <v>789461.79</v>
      </c>
      <c r="G16" s="1731">
        <f t="shared" si="5"/>
        <v>607278.30000000005</v>
      </c>
      <c r="H16" s="1731">
        <f t="shared" si="6"/>
        <v>546550.47</v>
      </c>
      <c r="I16" s="1731">
        <f t="shared" si="7"/>
        <v>728733.96</v>
      </c>
      <c r="J16" s="1731">
        <f t="shared" si="8"/>
        <v>485822.64</v>
      </c>
      <c r="K16" s="1731">
        <f t="shared" si="9"/>
        <v>425094.81000000006</v>
      </c>
      <c r="L16" s="1731">
        <f t="shared" si="10"/>
        <v>303639.15000000002</v>
      </c>
      <c r="M16" s="205">
        <f t="shared" si="11"/>
        <v>242911.3200000003</v>
      </c>
      <c r="N16" s="1731">
        <v>6072783</v>
      </c>
      <c r="O16" s="1708">
        <v>6394640</v>
      </c>
      <c r="P16" s="1730">
        <v>6746346</v>
      </c>
      <c r="T16" s="373"/>
      <c r="U16" s="373"/>
      <c r="V16" s="373"/>
    </row>
    <row r="17" spans="1:23">
      <c r="A17" s="251" t="str">
        <f>'A4-FinPerf RE'!A17</f>
        <v>Licences and permits</v>
      </c>
      <c r="B17" s="1731">
        <f t="shared" si="0"/>
        <v>4478.75</v>
      </c>
      <c r="C17" s="1731">
        <f t="shared" si="1"/>
        <v>6270.2500000000009</v>
      </c>
      <c r="D17" s="1731">
        <f t="shared" si="2"/>
        <v>8061.75</v>
      </c>
      <c r="E17" s="1731">
        <f t="shared" si="3"/>
        <v>9853.25</v>
      </c>
      <c r="F17" s="1731">
        <f t="shared" si="4"/>
        <v>11644.75</v>
      </c>
      <c r="G17" s="1731">
        <f t="shared" si="5"/>
        <v>8957.5</v>
      </c>
      <c r="H17" s="1731">
        <f t="shared" si="6"/>
        <v>8061.75</v>
      </c>
      <c r="I17" s="1731">
        <f t="shared" si="7"/>
        <v>10749</v>
      </c>
      <c r="J17" s="1731">
        <f t="shared" si="8"/>
        <v>7166</v>
      </c>
      <c r="K17" s="1731">
        <f t="shared" si="9"/>
        <v>6270.2500000000009</v>
      </c>
      <c r="L17" s="1731">
        <f t="shared" si="10"/>
        <v>4478.75</v>
      </c>
      <c r="M17" s="205">
        <f t="shared" si="11"/>
        <v>3583</v>
      </c>
      <c r="N17" s="1731">
        <v>89575</v>
      </c>
      <c r="O17" s="1708">
        <v>94322</v>
      </c>
      <c r="P17" s="1730">
        <v>99510</v>
      </c>
      <c r="T17" s="373"/>
      <c r="U17" s="373"/>
      <c r="V17" s="373"/>
    </row>
    <row r="18" spans="1:23">
      <c r="A18" s="251" t="str">
        <f>'A4-FinPerf RE'!A18</f>
        <v>Agency services</v>
      </c>
      <c r="B18" s="1731">
        <f t="shared" si="0"/>
        <v>16740</v>
      </c>
      <c r="C18" s="1731">
        <f t="shared" si="1"/>
        <v>23436.000000000004</v>
      </c>
      <c r="D18" s="1731">
        <f t="shared" si="2"/>
        <v>30132</v>
      </c>
      <c r="E18" s="1731">
        <f t="shared" si="3"/>
        <v>36828</v>
      </c>
      <c r="F18" s="1731">
        <f t="shared" si="4"/>
        <v>43524</v>
      </c>
      <c r="G18" s="1731">
        <f t="shared" si="5"/>
        <v>33480</v>
      </c>
      <c r="H18" s="1731">
        <f t="shared" si="6"/>
        <v>30132</v>
      </c>
      <c r="I18" s="1731">
        <f t="shared" si="7"/>
        <v>40176</v>
      </c>
      <c r="J18" s="1731">
        <f t="shared" si="8"/>
        <v>26784</v>
      </c>
      <c r="K18" s="1731">
        <f t="shared" si="9"/>
        <v>23436.000000000004</v>
      </c>
      <c r="L18" s="1731">
        <f t="shared" si="10"/>
        <v>16740</v>
      </c>
      <c r="M18" s="205">
        <f t="shared" si="11"/>
        <v>13392</v>
      </c>
      <c r="N18" s="1731">
        <v>334800</v>
      </c>
      <c r="O18" s="1708">
        <v>352544.4</v>
      </c>
      <c r="P18" s="1730">
        <v>371934.342</v>
      </c>
      <c r="T18" s="373"/>
      <c r="U18" s="373"/>
      <c r="V18" s="373"/>
    </row>
    <row r="19" spans="1:23">
      <c r="A19" s="191" t="s">
        <v>600</v>
      </c>
      <c r="B19" s="1731">
        <f t="shared" si="0"/>
        <v>16153645.100000001</v>
      </c>
      <c r="C19" s="1731">
        <f t="shared" si="1"/>
        <v>22615103.140000001</v>
      </c>
      <c r="D19" s="1731">
        <f t="shared" si="2"/>
        <v>29076561.18</v>
      </c>
      <c r="E19" s="1731">
        <f t="shared" si="3"/>
        <v>35538019.219999999</v>
      </c>
      <c r="F19" s="1731">
        <f t="shared" si="4"/>
        <v>41999477.259999998</v>
      </c>
      <c r="G19" s="1731">
        <f t="shared" si="5"/>
        <v>32307290.200000003</v>
      </c>
      <c r="H19" s="1731">
        <f t="shared" si="6"/>
        <v>29076561.18</v>
      </c>
      <c r="I19" s="1731">
        <f t="shared" si="7"/>
        <v>38768748.240000002</v>
      </c>
      <c r="J19" s="1731">
        <f t="shared" si="8"/>
        <v>25845832.16</v>
      </c>
      <c r="K19" s="1731">
        <f t="shared" si="9"/>
        <v>22615103.140000001</v>
      </c>
      <c r="L19" s="1731">
        <f t="shared" si="10"/>
        <v>16153645.100000001</v>
      </c>
      <c r="M19" s="205">
        <f t="shared" si="11"/>
        <v>12922916.079999924</v>
      </c>
      <c r="N19" s="1731">
        <v>323072902</v>
      </c>
      <c r="O19" s="1708">
        <v>346899312</v>
      </c>
      <c r="P19" s="1730">
        <v>375465965</v>
      </c>
      <c r="T19" s="373"/>
      <c r="U19" s="373"/>
      <c r="V19" s="373"/>
    </row>
    <row r="20" spans="1:23">
      <c r="A20" s="251" t="str">
        <f>'A4-FinPerf RE'!A20</f>
        <v>Other revenue</v>
      </c>
      <c r="B20" s="1731">
        <f t="shared" si="0"/>
        <v>39244512</v>
      </c>
      <c r="C20" s="1731">
        <f t="shared" si="1"/>
        <v>54942316.800000004</v>
      </c>
      <c r="D20" s="1731">
        <f t="shared" si="2"/>
        <v>70640121.599999994</v>
      </c>
      <c r="E20" s="1731">
        <f t="shared" si="3"/>
        <v>86337926.400000006</v>
      </c>
      <c r="F20" s="1731">
        <f t="shared" si="4"/>
        <v>102035731.2</v>
      </c>
      <c r="G20" s="1731">
        <f t="shared" si="5"/>
        <v>78489024</v>
      </c>
      <c r="H20" s="1731">
        <f t="shared" si="6"/>
        <v>70640121.599999994</v>
      </c>
      <c r="I20" s="1731">
        <f t="shared" si="7"/>
        <v>94186828.799999997</v>
      </c>
      <c r="J20" s="1731">
        <f t="shared" si="8"/>
        <v>62791219.200000003</v>
      </c>
      <c r="K20" s="1731">
        <f t="shared" si="9"/>
        <v>54942316.800000004</v>
      </c>
      <c r="L20" s="1731">
        <f t="shared" si="10"/>
        <v>39244512</v>
      </c>
      <c r="M20" s="205">
        <f t="shared" si="11"/>
        <v>31395609.600000024</v>
      </c>
      <c r="N20" s="1731">
        <v>784890240</v>
      </c>
      <c r="O20" s="1708">
        <v>854176116</v>
      </c>
      <c r="P20" s="1730">
        <f>852403606+1000000</f>
        <v>853403606</v>
      </c>
      <c r="T20" s="373"/>
      <c r="U20" s="373"/>
      <c r="V20" s="373"/>
    </row>
    <row r="21" spans="1:23">
      <c r="A21" s="663" t="s">
        <v>1763</v>
      </c>
      <c r="B21" s="270">
        <f t="shared" ref="B21:P21" si="12">SUM(B5:B20)</f>
        <v>166806918.65000001</v>
      </c>
      <c r="C21" s="268">
        <f t="shared" si="12"/>
        <v>233529686.11000001</v>
      </c>
      <c r="D21" s="268">
        <f t="shared" si="12"/>
        <v>300252453.56999993</v>
      </c>
      <c r="E21" s="268">
        <f t="shared" si="12"/>
        <v>366975221.02999997</v>
      </c>
      <c r="F21" s="268">
        <f t="shared" si="12"/>
        <v>433697988.49000001</v>
      </c>
      <c r="G21" s="268">
        <f t="shared" si="12"/>
        <v>333613837.30000001</v>
      </c>
      <c r="H21" s="268">
        <f t="shared" si="12"/>
        <v>300252453.56999993</v>
      </c>
      <c r="I21" s="268">
        <f t="shared" si="12"/>
        <v>400336604.76000005</v>
      </c>
      <c r="J21" s="268">
        <f t="shared" si="12"/>
        <v>266891069.83999997</v>
      </c>
      <c r="K21" s="268">
        <f t="shared" si="12"/>
        <v>233529686.11000001</v>
      </c>
      <c r="L21" s="268">
        <f t="shared" si="12"/>
        <v>166806918.65000001</v>
      </c>
      <c r="M21" s="269">
        <f t="shared" si="12"/>
        <v>133445534.91999999</v>
      </c>
      <c r="N21" s="270">
        <f t="shared" si="12"/>
        <v>3336138373</v>
      </c>
      <c r="O21" s="268">
        <f t="shared" si="12"/>
        <v>3550408160.4290004</v>
      </c>
      <c r="P21" s="269">
        <f t="shared" si="12"/>
        <v>3710791028.7475948</v>
      </c>
      <c r="Q21" s="373"/>
      <c r="R21" s="373"/>
      <c r="S21" s="373"/>
      <c r="T21" s="373"/>
      <c r="U21" s="373"/>
      <c r="V21" s="373"/>
      <c r="W21" s="373"/>
    </row>
    <row r="22" spans="1:23" ht="5.0999999999999996" customHeight="1">
      <c r="A22" s="831"/>
      <c r="B22" s="252"/>
      <c r="C22" s="208"/>
      <c r="D22" s="208"/>
      <c r="E22" s="208"/>
      <c r="F22" s="208"/>
      <c r="G22" s="208"/>
      <c r="H22" s="208"/>
      <c r="I22" s="208"/>
      <c r="J22" s="208"/>
      <c r="K22" s="208"/>
      <c r="L22" s="208"/>
      <c r="M22" s="265"/>
      <c r="N22" s="252"/>
      <c r="O22" s="208"/>
      <c r="P22" s="265"/>
      <c r="Q22" s="373"/>
      <c r="R22" s="373"/>
      <c r="S22" s="373"/>
      <c r="T22" s="373"/>
      <c r="U22" s="373"/>
      <c r="V22" s="373"/>
      <c r="W22" s="373"/>
    </row>
    <row r="23" spans="1:23" ht="11.25" customHeight="1">
      <c r="A23" s="375" t="s">
        <v>1003</v>
      </c>
      <c r="B23" s="252"/>
      <c r="C23" s="208"/>
      <c r="D23" s="208"/>
      <c r="E23" s="208"/>
      <c r="F23" s="208"/>
      <c r="G23" s="208"/>
      <c r="H23" s="208"/>
      <c r="I23" s="208"/>
      <c r="J23" s="208"/>
      <c r="K23" s="208"/>
      <c r="L23" s="208"/>
      <c r="M23" s="265"/>
      <c r="N23" s="252"/>
      <c r="O23" s="208"/>
      <c r="P23" s="265"/>
      <c r="Q23" s="373"/>
      <c r="R23" s="373"/>
      <c r="S23" s="373"/>
      <c r="T23" s="373"/>
      <c r="U23" s="373"/>
      <c r="V23" s="373"/>
      <c r="W23" s="373"/>
    </row>
    <row r="24" spans="1:23" ht="11.25" customHeight="1">
      <c r="A24" s="326" t="s">
        <v>599</v>
      </c>
      <c r="B24" s="1731"/>
      <c r="C24" s="1708"/>
      <c r="D24" s="1708"/>
      <c r="E24" s="1708"/>
      <c r="F24" s="1708"/>
      <c r="G24" s="1708"/>
      <c r="H24" s="1708"/>
      <c r="I24" s="1708"/>
      <c r="J24" s="1708"/>
      <c r="K24" s="1708"/>
      <c r="L24" s="1708"/>
      <c r="M24" s="265">
        <f t="shared" ref="M24:M32" si="13">N24-SUM(B24:L24)</f>
        <v>0</v>
      </c>
      <c r="N24" s="1731"/>
      <c r="O24" s="1708"/>
      <c r="P24" s="1730"/>
      <c r="Q24" s="373"/>
      <c r="R24" s="373"/>
      <c r="S24" s="373"/>
      <c r="T24" s="373"/>
      <c r="U24" s="373"/>
      <c r="V24" s="373"/>
      <c r="W24" s="373"/>
    </row>
    <row r="25" spans="1:23" ht="11.25" customHeight="1">
      <c r="A25" s="255" t="str">
        <f>'A4-FinPerf RE'!A40&amp;" &amp; "&amp;'A4-FinPerf RE'!A41</f>
        <v>Contributions recognised - capital &amp; Contributed assets</v>
      </c>
      <c r="B25" s="1731"/>
      <c r="C25" s="1708"/>
      <c r="D25" s="1708"/>
      <c r="E25" s="1708"/>
      <c r="F25" s="1708"/>
      <c r="G25" s="1708"/>
      <c r="H25" s="1708"/>
      <c r="I25" s="1708"/>
      <c r="J25" s="1708"/>
      <c r="K25" s="1708"/>
      <c r="L25" s="1708"/>
      <c r="M25" s="265">
        <f t="shared" si="13"/>
        <v>0</v>
      </c>
      <c r="N25" s="1731"/>
      <c r="O25" s="1708"/>
      <c r="P25" s="1730"/>
      <c r="Q25" s="373"/>
      <c r="R25" s="373"/>
      <c r="S25" s="373"/>
      <c r="T25" s="373"/>
      <c r="U25" s="373"/>
      <c r="V25" s="373"/>
      <c r="W25" s="373"/>
    </row>
    <row r="26" spans="1:23" ht="11.25" customHeight="1">
      <c r="A26" s="255" t="str">
        <f>'A7-CFlow'!A19</f>
        <v>Proceeds on disposal of PPE</v>
      </c>
      <c r="B26" s="1731"/>
      <c r="C26" s="1708"/>
      <c r="D26" s="1708"/>
      <c r="E26" s="1708"/>
      <c r="F26" s="1708"/>
      <c r="G26" s="1708"/>
      <c r="H26" s="1708"/>
      <c r="I26" s="1708"/>
      <c r="J26" s="1708"/>
      <c r="K26" s="1708"/>
      <c r="L26" s="1708"/>
      <c r="M26" s="265">
        <f t="shared" si="13"/>
        <v>0</v>
      </c>
      <c r="N26" s="1731"/>
      <c r="O26" s="1708"/>
      <c r="P26" s="1730"/>
      <c r="Q26" s="373"/>
      <c r="R26" s="373"/>
      <c r="S26" s="373"/>
      <c r="T26" s="373"/>
      <c r="U26" s="373"/>
      <c r="V26" s="373"/>
      <c r="W26" s="373"/>
    </row>
    <row r="27" spans="1:23" ht="11.25" customHeight="1">
      <c r="A27" s="255" t="str">
        <f>'A7-CFlow'!A29</f>
        <v>Short term loans</v>
      </c>
      <c r="B27" s="1731"/>
      <c r="C27" s="1708"/>
      <c r="D27" s="1708"/>
      <c r="E27" s="1708"/>
      <c r="F27" s="1708"/>
      <c r="G27" s="1708"/>
      <c r="H27" s="1708"/>
      <c r="I27" s="1708"/>
      <c r="J27" s="1708"/>
      <c r="K27" s="1708"/>
      <c r="L27" s="1708"/>
      <c r="M27" s="265">
        <f t="shared" si="13"/>
        <v>0</v>
      </c>
      <c r="N27" s="1731"/>
      <c r="O27" s="1708"/>
      <c r="P27" s="1730"/>
      <c r="Q27" s="373"/>
      <c r="R27" s="373"/>
      <c r="S27" s="373"/>
      <c r="T27" s="373"/>
      <c r="U27" s="373"/>
      <c r="V27" s="373"/>
      <c r="W27" s="373"/>
    </row>
    <row r="28" spans="1:23" ht="11.25" customHeight="1">
      <c r="A28" s="255" t="str">
        <f>'A7-CFlow'!A30</f>
        <v>Borrowing long term/refinancing</v>
      </c>
      <c r="B28" s="1731"/>
      <c r="C28" s="1708"/>
      <c r="D28" s="1708"/>
      <c r="E28" s="1708"/>
      <c r="F28" s="1708"/>
      <c r="G28" s="1708"/>
      <c r="H28" s="1708"/>
      <c r="I28" s="1708"/>
      <c r="J28" s="1708"/>
      <c r="K28" s="1708"/>
      <c r="L28" s="1708"/>
      <c r="M28" s="265">
        <f t="shared" si="13"/>
        <v>0</v>
      </c>
      <c r="N28" s="1731"/>
      <c r="O28" s="1708"/>
      <c r="P28" s="1730"/>
      <c r="Q28" s="373"/>
      <c r="R28" s="373"/>
      <c r="S28" s="373"/>
      <c r="T28" s="373"/>
      <c r="U28" s="373"/>
      <c r="V28" s="373"/>
      <c r="W28" s="373"/>
    </row>
    <row r="29" spans="1:23" ht="11.25" customHeight="1">
      <c r="A29" s="255" t="str">
        <f>'A7-CFlow'!A31</f>
        <v>Increase (decrease) in consumer deposits</v>
      </c>
      <c r="B29" s="1731"/>
      <c r="C29" s="1708"/>
      <c r="D29" s="1708"/>
      <c r="E29" s="1708"/>
      <c r="F29" s="1708"/>
      <c r="G29" s="1708"/>
      <c r="H29" s="1708"/>
      <c r="I29" s="1708"/>
      <c r="J29" s="1708"/>
      <c r="K29" s="1708"/>
      <c r="L29" s="1708"/>
      <c r="M29" s="265">
        <f t="shared" si="13"/>
        <v>0</v>
      </c>
      <c r="N29" s="1731"/>
      <c r="O29" s="1708"/>
      <c r="P29" s="1730"/>
      <c r="Q29" s="373"/>
      <c r="R29" s="373"/>
      <c r="S29" s="373"/>
      <c r="T29" s="373"/>
      <c r="U29" s="373"/>
      <c r="V29" s="373"/>
      <c r="W29" s="373"/>
    </row>
    <row r="30" spans="1:23" ht="11.25" customHeight="1">
      <c r="A30" s="255" t="str">
        <f>'A7-CFlow'!A20</f>
        <v>Decrease (Increase) in non-current debtors</v>
      </c>
      <c r="B30" s="1731"/>
      <c r="C30" s="1708"/>
      <c r="D30" s="1708"/>
      <c r="E30" s="1708"/>
      <c r="F30" s="1708"/>
      <c r="G30" s="1708"/>
      <c r="H30" s="1708"/>
      <c r="I30" s="1708"/>
      <c r="J30" s="1708"/>
      <c r="K30" s="1708"/>
      <c r="L30" s="1708"/>
      <c r="M30" s="265">
        <f t="shared" si="13"/>
        <v>0</v>
      </c>
      <c r="N30" s="1731"/>
      <c r="O30" s="1708"/>
      <c r="P30" s="1730"/>
      <c r="Q30" s="373"/>
      <c r="R30" s="373"/>
      <c r="S30" s="373"/>
      <c r="T30" s="373"/>
      <c r="U30" s="373"/>
      <c r="V30" s="373"/>
      <c r="W30" s="373"/>
    </row>
    <row r="31" spans="1:23" ht="11.25" customHeight="1">
      <c r="A31" s="255" t="str">
        <f>'A7-CFlow'!A21</f>
        <v>Decrease (increase) other non-current receivables</v>
      </c>
      <c r="B31" s="1731"/>
      <c r="C31" s="1708"/>
      <c r="D31" s="1708"/>
      <c r="E31" s="1708"/>
      <c r="F31" s="1708"/>
      <c r="G31" s="1708"/>
      <c r="H31" s="1708"/>
      <c r="I31" s="1708"/>
      <c r="J31" s="1708"/>
      <c r="K31" s="1708"/>
      <c r="L31" s="1708"/>
      <c r="M31" s="265">
        <f t="shared" si="13"/>
        <v>0</v>
      </c>
      <c r="N31" s="1731"/>
      <c r="O31" s="1708"/>
      <c r="P31" s="1730"/>
      <c r="Q31" s="373"/>
      <c r="R31" s="373"/>
      <c r="S31" s="373"/>
      <c r="T31" s="373"/>
      <c r="U31" s="373"/>
      <c r="V31" s="373"/>
      <c r="W31" s="373"/>
    </row>
    <row r="32" spans="1:23" ht="11.25" customHeight="1">
      <c r="A32" s="255" t="str">
        <f>'A7-CFlow'!A22</f>
        <v>Decrease (increase) in non-current investments</v>
      </c>
      <c r="B32" s="1731"/>
      <c r="C32" s="1708"/>
      <c r="D32" s="1708"/>
      <c r="E32" s="1708"/>
      <c r="F32" s="1708"/>
      <c r="G32" s="1708"/>
      <c r="H32" s="1708"/>
      <c r="I32" s="1708"/>
      <c r="J32" s="1708"/>
      <c r="K32" s="1708"/>
      <c r="L32" s="1708"/>
      <c r="M32" s="265">
        <f t="shared" si="13"/>
        <v>0</v>
      </c>
      <c r="N32" s="1731"/>
      <c r="O32" s="1708"/>
      <c r="P32" s="1730"/>
      <c r="Q32" s="373"/>
      <c r="R32" s="373"/>
      <c r="S32" s="373"/>
      <c r="T32" s="373"/>
      <c r="U32" s="373"/>
      <c r="V32" s="373"/>
      <c r="W32" s="373"/>
    </row>
    <row r="33" spans="1:23" ht="11.25" customHeight="1">
      <c r="A33" s="824" t="s">
        <v>754</v>
      </c>
      <c r="B33" s="828">
        <f t="shared" ref="B33:P33" si="14">SUM(B21:B32)</f>
        <v>166806918.65000001</v>
      </c>
      <c r="C33" s="826">
        <f t="shared" si="14"/>
        <v>233529686.11000001</v>
      </c>
      <c r="D33" s="826">
        <f t="shared" si="14"/>
        <v>300252453.56999993</v>
      </c>
      <c r="E33" s="826">
        <f t="shared" si="14"/>
        <v>366975221.02999997</v>
      </c>
      <c r="F33" s="826">
        <f t="shared" si="14"/>
        <v>433697988.49000001</v>
      </c>
      <c r="G33" s="826">
        <f t="shared" si="14"/>
        <v>333613837.30000001</v>
      </c>
      <c r="H33" s="826">
        <f t="shared" si="14"/>
        <v>300252453.56999993</v>
      </c>
      <c r="I33" s="826">
        <f t="shared" si="14"/>
        <v>400336604.76000005</v>
      </c>
      <c r="J33" s="826">
        <f t="shared" si="14"/>
        <v>266891069.83999997</v>
      </c>
      <c r="K33" s="826">
        <f t="shared" si="14"/>
        <v>233529686.11000001</v>
      </c>
      <c r="L33" s="826">
        <f t="shared" si="14"/>
        <v>166806918.65000001</v>
      </c>
      <c r="M33" s="827">
        <f t="shared" si="14"/>
        <v>133445534.91999999</v>
      </c>
      <c r="N33" s="828">
        <f t="shared" si="14"/>
        <v>3336138373</v>
      </c>
      <c r="O33" s="826">
        <f t="shared" si="14"/>
        <v>3550408160.4290004</v>
      </c>
      <c r="P33" s="827">
        <f t="shared" si="14"/>
        <v>3710791028.7475948</v>
      </c>
      <c r="Q33" s="373"/>
      <c r="R33" s="373"/>
      <c r="S33" s="373"/>
      <c r="T33" s="373"/>
      <c r="U33" s="373"/>
      <c r="V33" s="373"/>
      <c r="W33" s="373"/>
    </row>
    <row r="34" spans="1:23" ht="5.0999999999999996" customHeight="1">
      <c r="A34" s="896"/>
      <c r="B34" s="252"/>
      <c r="C34" s="208"/>
      <c r="D34" s="208"/>
      <c r="E34" s="208"/>
      <c r="F34" s="208"/>
      <c r="G34" s="208"/>
      <c r="H34" s="208"/>
      <c r="I34" s="208"/>
      <c r="J34" s="208"/>
      <c r="K34" s="208"/>
      <c r="L34" s="208"/>
      <c r="M34" s="265"/>
      <c r="N34" s="252"/>
      <c r="O34" s="208"/>
      <c r="P34" s="265"/>
      <c r="Q34" s="373"/>
      <c r="R34" s="373"/>
      <c r="S34" s="373"/>
      <c r="T34" s="373"/>
      <c r="U34" s="373"/>
      <c r="V34" s="373"/>
      <c r="W34" s="373"/>
    </row>
    <row r="35" spans="1:23">
      <c r="A35" s="823" t="s">
        <v>1764</v>
      </c>
      <c r="B35" s="252"/>
      <c r="C35" s="208"/>
      <c r="D35" s="208"/>
      <c r="E35" s="208"/>
      <c r="F35" s="208"/>
      <c r="G35" s="208"/>
      <c r="H35" s="208"/>
      <c r="I35" s="208"/>
      <c r="J35" s="208"/>
      <c r="K35" s="208"/>
      <c r="L35" s="208"/>
      <c r="M35" s="265"/>
      <c r="N35" s="259"/>
      <c r="O35" s="208"/>
      <c r="P35" s="265"/>
      <c r="Q35" s="373"/>
      <c r="R35" s="373"/>
      <c r="S35" s="373"/>
      <c r="T35" s="373"/>
      <c r="U35" s="373"/>
      <c r="V35" s="373"/>
      <c r="W35" s="373"/>
    </row>
    <row r="36" spans="1:23">
      <c r="A36" s="255" t="s">
        <v>503</v>
      </c>
      <c r="B36" s="1731">
        <f t="shared" ref="B36:B46" si="15">N36*0.05</f>
        <v>32854799</v>
      </c>
      <c r="C36" s="1731">
        <f t="shared" ref="C36:C46" si="16">N36*0.07</f>
        <v>45996718.600000001</v>
      </c>
      <c r="D36" s="1731">
        <f t="shared" ref="D36:D46" si="17">N36*0.09</f>
        <v>59138638.199999996</v>
      </c>
      <c r="E36" s="1708">
        <f t="shared" ref="E36:E46" si="18">N36*0.11</f>
        <v>72280557.799999997</v>
      </c>
      <c r="F36" s="1731">
        <f t="shared" ref="F36:F46" si="19">N36*0.13</f>
        <v>85422477.400000006</v>
      </c>
      <c r="G36" s="1731">
        <f t="shared" ref="G36:G46" si="20">N36*0.1</f>
        <v>65709598</v>
      </c>
      <c r="H36" s="1731">
        <f t="shared" ref="H36:H46" si="21">N36*0.09</f>
        <v>59138638.199999996</v>
      </c>
      <c r="I36" s="1731">
        <f t="shared" ref="I36:I46" si="22">N36*0.12</f>
        <v>78851517.599999994</v>
      </c>
      <c r="J36" s="1731">
        <f t="shared" ref="J36:J46" si="23">N36*0.08</f>
        <v>52567678.399999999</v>
      </c>
      <c r="K36" s="1731">
        <f t="shared" ref="K36:K46" si="24">N36*0.07</f>
        <v>45996718.600000001</v>
      </c>
      <c r="L36" s="1731">
        <f t="shared" ref="L36:L46" si="25">N36*0.05</f>
        <v>32854799</v>
      </c>
      <c r="M36" s="265">
        <f t="shared" ref="M36:M46" si="26">N36-SUM(B36:L36)</f>
        <v>26283839.200000048</v>
      </c>
      <c r="N36" s="1731">
        <v>657095980</v>
      </c>
      <c r="O36" s="1708">
        <v>739205438</v>
      </c>
      <c r="P36" s="1730">
        <v>790949818</v>
      </c>
      <c r="Q36" s="373"/>
      <c r="R36" s="373"/>
      <c r="S36" s="373"/>
      <c r="T36" s="373"/>
      <c r="U36" s="373"/>
      <c r="V36" s="373"/>
      <c r="W36" s="373"/>
    </row>
    <row r="37" spans="1:23">
      <c r="A37" s="255" t="s">
        <v>561</v>
      </c>
      <c r="B37" s="1731">
        <f t="shared" si="15"/>
        <v>1047712.3</v>
      </c>
      <c r="C37" s="1731">
        <f t="shared" si="16"/>
        <v>1466797.2200000002</v>
      </c>
      <c r="D37" s="1731">
        <f t="shared" si="17"/>
        <v>1885882.14</v>
      </c>
      <c r="E37" s="1731">
        <f t="shared" si="18"/>
        <v>2304967.06</v>
      </c>
      <c r="F37" s="1731">
        <f t="shared" si="19"/>
        <v>2724051.98</v>
      </c>
      <c r="G37" s="1731">
        <f t="shared" si="20"/>
        <v>2095424.6</v>
      </c>
      <c r="H37" s="1708">
        <f t="shared" si="21"/>
        <v>1885882.14</v>
      </c>
      <c r="I37" s="1731">
        <f t="shared" si="22"/>
        <v>2514509.52</v>
      </c>
      <c r="J37" s="1731">
        <f t="shared" si="23"/>
        <v>1676339.68</v>
      </c>
      <c r="K37" s="1731">
        <f t="shared" si="24"/>
        <v>1466797.2200000002</v>
      </c>
      <c r="L37" s="1731">
        <f t="shared" si="25"/>
        <v>1047712.3</v>
      </c>
      <c r="M37" s="265">
        <f t="shared" si="26"/>
        <v>838169.83999999985</v>
      </c>
      <c r="N37" s="1731">
        <v>20954246</v>
      </c>
      <c r="O37" s="1708">
        <v>22064821</v>
      </c>
      <c r="P37" s="1730">
        <v>23278386</v>
      </c>
      <c r="Q37" s="373"/>
      <c r="R37" s="373"/>
      <c r="S37" s="373"/>
      <c r="T37" s="373"/>
      <c r="U37" s="373"/>
      <c r="V37" s="373"/>
      <c r="W37" s="373"/>
    </row>
    <row r="38" spans="1:23">
      <c r="A38" s="255" t="s">
        <v>504</v>
      </c>
      <c r="B38" s="1731">
        <f t="shared" si="15"/>
        <v>200346.2</v>
      </c>
      <c r="C38" s="1731">
        <f t="shared" si="16"/>
        <v>280484.68000000005</v>
      </c>
      <c r="D38" s="1731">
        <f t="shared" si="17"/>
        <v>360623.16</v>
      </c>
      <c r="E38" s="1731">
        <f t="shared" si="18"/>
        <v>440761.64</v>
      </c>
      <c r="F38" s="1731">
        <f t="shared" si="19"/>
        <v>520900.12</v>
      </c>
      <c r="G38" s="1731">
        <f t="shared" si="20"/>
        <v>400692.4</v>
      </c>
      <c r="H38" s="1731">
        <f t="shared" si="21"/>
        <v>360623.16</v>
      </c>
      <c r="I38" s="1731">
        <f t="shared" si="22"/>
        <v>480830.88</v>
      </c>
      <c r="J38" s="1731">
        <f t="shared" si="23"/>
        <v>320553.92</v>
      </c>
      <c r="K38" s="1731">
        <f t="shared" si="24"/>
        <v>280484.68000000005</v>
      </c>
      <c r="L38" s="1731">
        <f t="shared" si="25"/>
        <v>200346.2</v>
      </c>
      <c r="M38" s="265">
        <f t="shared" si="26"/>
        <v>160276.9599999995</v>
      </c>
      <c r="N38" s="1731">
        <v>4006924</v>
      </c>
      <c r="O38" s="1708">
        <v>4199534</v>
      </c>
      <c r="P38" s="1730">
        <v>4401520</v>
      </c>
      <c r="Q38" s="373"/>
      <c r="R38" s="373"/>
      <c r="S38" s="373"/>
      <c r="T38" s="373"/>
      <c r="U38" s="373"/>
      <c r="V38" s="373"/>
      <c r="W38" s="373"/>
    </row>
    <row r="39" spans="1:23">
      <c r="A39" s="255" t="s">
        <v>505</v>
      </c>
      <c r="B39" s="1731">
        <f t="shared" si="15"/>
        <v>2887356.95</v>
      </c>
      <c r="C39" s="1731">
        <f t="shared" si="16"/>
        <v>4042299.7300000004</v>
      </c>
      <c r="D39" s="1731">
        <f t="shared" si="17"/>
        <v>5197242.51</v>
      </c>
      <c r="E39" s="1731">
        <f t="shared" si="18"/>
        <v>6352185.29</v>
      </c>
      <c r="F39" s="1731">
        <f t="shared" si="19"/>
        <v>7507128.0700000003</v>
      </c>
      <c r="G39" s="1731">
        <f t="shared" si="20"/>
        <v>5774713.9000000004</v>
      </c>
      <c r="H39" s="1731">
        <f t="shared" si="21"/>
        <v>5197242.51</v>
      </c>
      <c r="I39" s="1731">
        <f t="shared" si="22"/>
        <v>6929656.6799999997</v>
      </c>
      <c r="J39" s="1731">
        <f t="shared" si="23"/>
        <v>4619771.12</v>
      </c>
      <c r="K39" s="1731">
        <f t="shared" si="24"/>
        <v>4042299.7300000004</v>
      </c>
      <c r="L39" s="1731">
        <f t="shared" si="25"/>
        <v>2887356.95</v>
      </c>
      <c r="M39" s="265">
        <f t="shared" si="26"/>
        <v>2309885.5600000024</v>
      </c>
      <c r="N39" s="1081">
        <v>57747139</v>
      </c>
      <c r="O39" s="1708">
        <v>60807737</v>
      </c>
      <c r="P39" s="1730">
        <v>64152163</v>
      </c>
      <c r="Q39" s="373"/>
      <c r="R39" s="373"/>
      <c r="S39" s="373"/>
      <c r="T39" s="373"/>
      <c r="U39" s="373"/>
      <c r="V39" s="373"/>
      <c r="W39" s="373"/>
    </row>
    <row r="40" spans="1:23">
      <c r="A40" s="255" t="s">
        <v>753</v>
      </c>
      <c r="B40" s="1731">
        <f t="shared" si="15"/>
        <v>47298718.100000001</v>
      </c>
      <c r="C40" s="1708">
        <f t="shared" si="16"/>
        <v>66218205.340000004</v>
      </c>
      <c r="D40" s="1708">
        <f t="shared" si="17"/>
        <v>85137692.579999998</v>
      </c>
      <c r="E40" s="1708">
        <f t="shared" si="18"/>
        <v>104057179.82000001</v>
      </c>
      <c r="F40" s="1708">
        <f t="shared" si="19"/>
        <v>122976667.06</v>
      </c>
      <c r="G40" s="1708">
        <f t="shared" si="20"/>
        <v>94597436.200000003</v>
      </c>
      <c r="H40" s="1708">
        <f t="shared" si="21"/>
        <v>85137692.579999998</v>
      </c>
      <c r="I40" s="1708">
        <f t="shared" si="22"/>
        <v>113516923.44</v>
      </c>
      <c r="J40" s="1708">
        <f t="shared" si="23"/>
        <v>75677948.960000008</v>
      </c>
      <c r="K40" s="1708">
        <f t="shared" si="24"/>
        <v>66218205.340000004</v>
      </c>
      <c r="L40" s="1708">
        <f t="shared" si="25"/>
        <v>47298718.100000001</v>
      </c>
      <c r="M40" s="265">
        <f t="shared" si="26"/>
        <v>37838974.480000019</v>
      </c>
      <c r="N40" s="1731">
        <v>945974362</v>
      </c>
      <c r="O40" s="1708">
        <v>996111003.18599999</v>
      </c>
      <c r="P40" s="1730">
        <v>1050897108.3612299</v>
      </c>
      <c r="Q40" s="373"/>
      <c r="R40" s="373"/>
      <c r="S40" s="373"/>
      <c r="T40" s="373"/>
      <c r="U40" s="373"/>
      <c r="V40" s="373"/>
      <c r="W40" s="373"/>
    </row>
    <row r="41" spans="1:23">
      <c r="A41" s="255" t="s">
        <v>756</v>
      </c>
      <c r="B41" s="1731">
        <f t="shared" si="15"/>
        <v>14876276.75</v>
      </c>
      <c r="C41" s="1731">
        <f t="shared" si="16"/>
        <v>20826787.450000003</v>
      </c>
      <c r="D41" s="1731">
        <f t="shared" si="17"/>
        <v>26777298.149999999</v>
      </c>
      <c r="E41" s="1731">
        <f t="shared" si="18"/>
        <v>32727808.850000001</v>
      </c>
      <c r="F41" s="1731">
        <f t="shared" si="19"/>
        <v>38678319.550000004</v>
      </c>
      <c r="G41" s="1731">
        <f t="shared" si="20"/>
        <v>29752553.5</v>
      </c>
      <c r="H41" s="1731">
        <f t="shared" si="21"/>
        <v>26777298.149999999</v>
      </c>
      <c r="I41" s="1731">
        <f t="shared" si="22"/>
        <v>35703064.199999996</v>
      </c>
      <c r="J41" s="1731">
        <f t="shared" si="23"/>
        <v>23802042.800000001</v>
      </c>
      <c r="K41" s="1731">
        <f t="shared" si="24"/>
        <v>20826787.450000003</v>
      </c>
      <c r="L41" s="1731">
        <f t="shared" si="25"/>
        <v>14876276.75</v>
      </c>
      <c r="M41" s="265">
        <f t="shared" si="26"/>
        <v>11901021.399999976</v>
      </c>
      <c r="N41" s="1731">
        <v>297525535</v>
      </c>
      <c r="O41" s="1708">
        <v>313294389</v>
      </c>
      <c r="P41" s="1730">
        <v>330525580</v>
      </c>
      <c r="Q41" s="848"/>
      <c r="R41" s="373"/>
      <c r="S41" s="373"/>
      <c r="T41" s="373"/>
      <c r="U41" s="373"/>
      <c r="V41" s="373"/>
      <c r="W41" s="373"/>
    </row>
    <row r="42" spans="1:23">
      <c r="A42" s="255" t="s">
        <v>1666</v>
      </c>
      <c r="B42" s="1731">
        <f t="shared" si="15"/>
        <v>0</v>
      </c>
      <c r="C42" s="1708">
        <f t="shared" si="16"/>
        <v>0</v>
      </c>
      <c r="D42" s="1708">
        <f t="shared" si="17"/>
        <v>0</v>
      </c>
      <c r="E42" s="1708">
        <f t="shared" si="18"/>
        <v>0</v>
      </c>
      <c r="F42" s="1708">
        <f t="shared" si="19"/>
        <v>0</v>
      </c>
      <c r="G42" s="1708">
        <f t="shared" si="20"/>
        <v>0</v>
      </c>
      <c r="H42" s="1708">
        <f t="shared" si="21"/>
        <v>0</v>
      </c>
      <c r="I42" s="1708">
        <f t="shared" si="22"/>
        <v>0</v>
      </c>
      <c r="J42" s="1708">
        <f t="shared" si="23"/>
        <v>0</v>
      </c>
      <c r="K42" s="1708">
        <f t="shared" si="24"/>
        <v>0</v>
      </c>
      <c r="L42" s="1708">
        <f t="shared" si="25"/>
        <v>0</v>
      </c>
      <c r="M42" s="265">
        <f t="shared" si="26"/>
        <v>0</v>
      </c>
      <c r="N42" s="1731"/>
      <c r="O42" s="1708"/>
      <c r="P42" s="1730"/>
      <c r="Q42" s="848"/>
      <c r="R42" s="373"/>
      <c r="S42" s="373"/>
      <c r="T42" s="373"/>
      <c r="U42" s="373"/>
      <c r="V42" s="373"/>
      <c r="W42" s="373"/>
    </row>
    <row r="43" spans="1:23">
      <c r="A43" s="255" t="s">
        <v>507</v>
      </c>
      <c r="B43" s="1731">
        <f t="shared" si="15"/>
        <v>802500</v>
      </c>
      <c r="C43" s="1708">
        <f t="shared" si="16"/>
        <v>1123500</v>
      </c>
      <c r="D43" s="1708">
        <f t="shared" si="17"/>
        <v>1444500</v>
      </c>
      <c r="E43" s="1708">
        <f t="shared" si="18"/>
        <v>1765500</v>
      </c>
      <c r="F43" s="1708">
        <f t="shared" si="19"/>
        <v>2086500</v>
      </c>
      <c r="G43" s="1708">
        <f t="shared" si="20"/>
        <v>1605000</v>
      </c>
      <c r="H43" s="1708">
        <f t="shared" si="21"/>
        <v>1444500</v>
      </c>
      <c r="I43" s="1708">
        <f t="shared" si="22"/>
        <v>1926000</v>
      </c>
      <c r="J43" s="1708">
        <f t="shared" si="23"/>
        <v>1284000</v>
      </c>
      <c r="K43" s="1708">
        <f t="shared" si="24"/>
        <v>1123500</v>
      </c>
      <c r="L43" s="1708">
        <f t="shared" si="25"/>
        <v>802500</v>
      </c>
      <c r="M43" s="265">
        <f t="shared" si="26"/>
        <v>642000</v>
      </c>
      <c r="N43" s="1081">
        <v>16050000</v>
      </c>
      <c r="O43" s="1708">
        <v>5377119</v>
      </c>
      <c r="P43" s="1730">
        <v>5635221</v>
      </c>
      <c r="Q43" s="373"/>
      <c r="R43" s="373"/>
      <c r="S43" s="373"/>
      <c r="T43" s="373"/>
      <c r="U43" s="373"/>
      <c r="V43" s="373"/>
      <c r="W43" s="373"/>
    </row>
    <row r="44" spans="1:23">
      <c r="A44" s="255" t="s">
        <v>1674</v>
      </c>
      <c r="B44" s="1731">
        <f t="shared" si="15"/>
        <v>0</v>
      </c>
      <c r="C44" s="1708">
        <f t="shared" si="16"/>
        <v>0</v>
      </c>
      <c r="D44" s="1708">
        <f t="shared" si="17"/>
        <v>0</v>
      </c>
      <c r="E44" s="1708">
        <f t="shared" si="18"/>
        <v>0</v>
      </c>
      <c r="F44" s="1708">
        <f t="shared" si="19"/>
        <v>0</v>
      </c>
      <c r="G44" s="1708">
        <f t="shared" si="20"/>
        <v>0</v>
      </c>
      <c r="H44" s="1708">
        <f t="shared" si="21"/>
        <v>0</v>
      </c>
      <c r="I44" s="1708">
        <f t="shared" si="22"/>
        <v>0</v>
      </c>
      <c r="J44" s="1708">
        <f t="shared" si="23"/>
        <v>0</v>
      </c>
      <c r="K44" s="1708">
        <f t="shared" si="24"/>
        <v>0</v>
      </c>
      <c r="L44" s="1708">
        <f t="shared" si="25"/>
        <v>0</v>
      </c>
      <c r="M44" s="265">
        <f t="shared" si="26"/>
        <v>0</v>
      </c>
      <c r="N44" s="1731"/>
      <c r="O44" s="1708"/>
      <c r="P44" s="1730"/>
      <c r="Q44" s="373"/>
      <c r="R44" s="373"/>
      <c r="S44" s="373"/>
      <c r="T44" s="373"/>
      <c r="U44" s="373"/>
      <c r="V44" s="373"/>
      <c r="W44" s="373"/>
    </row>
    <row r="45" spans="1:23">
      <c r="A45" s="255" t="s">
        <v>1675</v>
      </c>
      <c r="B45" s="1731">
        <f t="shared" si="15"/>
        <v>225000</v>
      </c>
      <c r="C45" s="1708">
        <f t="shared" si="16"/>
        <v>315000.00000000006</v>
      </c>
      <c r="D45" s="1708">
        <f t="shared" si="17"/>
        <v>405000</v>
      </c>
      <c r="E45" s="1708">
        <f t="shared" si="18"/>
        <v>495000</v>
      </c>
      <c r="F45" s="1708">
        <f t="shared" si="19"/>
        <v>585000</v>
      </c>
      <c r="G45" s="1708">
        <f t="shared" si="20"/>
        <v>450000</v>
      </c>
      <c r="H45" s="1708">
        <f t="shared" si="21"/>
        <v>405000</v>
      </c>
      <c r="I45" s="1708">
        <f t="shared" si="22"/>
        <v>540000</v>
      </c>
      <c r="J45" s="1708">
        <f t="shared" si="23"/>
        <v>360000</v>
      </c>
      <c r="K45" s="1708">
        <f t="shared" si="24"/>
        <v>315000.00000000006</v>
      </c>
      <c r="L45" s="1708">
        <f t="shared" si="25"/>
        <v>225000</v>
      </c>
      <c r="M45" s="265">
        <f t="shared" si="26"/>
        <v>180000</v>
      </c>
      <c r="N45" s="1081">
        <v>4500000</v>
      </c>
      <c r="O45" s="1708">
        <v>4716000</v>
      </c>
      <c r="P45" s="1730">
        <v>4942368</v>
      </c>
      <c r="Q45" s="373"/>
      <c r="R45" s="373"/>
      <c r="S45" s="373"/>
      <c r="T45" s="373"/>
      <c r="U45" s="373"/>
      <c r="V45" s="373"/>
      <c r="W45" s="373"/>
    </row>
    <row r="46" spans="1:23">
      <c r="A46" s="255" t="s">
        <v>508</v>
      </c>
      <c r="B46" s="1731">
        <f t="shared" si="15"/>
        <v>66609712.850000001</v>
      </c>
      <c r="C46" s="1708">
        <f t="shared" si="16"/>
        <v>93253597.99000001</v>
      </c>
      <c r="D46" s="1708">
        <f t="shared" si="17"/>
        <v>119897483.13</v>
      </c>
      <c r="E46" s="1708">
        <f t="shared" si="18"/>
        <v>146541368.27000001</v>
      </c>
      <c r="F46" s="1708">
        <f t="shared" si="19"/>
        <v>173185253.41</v>
      </c>
      <c r="G46" s="1708">
        <f t="shared" si="20"/>
        <v>133219425.7</v>
      </c>
      <c r="H46" s="1708">
        <f t="shared" si="21"/>
        <v>119897483.13</v>
      </c>
      <c r="I46" s="1708">
        <f t="shared" si="22"/>
        <v>159863310.84</v>
      </c>
      <c r="J46" s="1708">
        <f t="shared" si="23"/>
        <v>106575540.56</v>
      </c>
      <c r="K46" s="1708">
        <f t="shared" si="24"/>
        <v>93253597.99000001</v>
      </c>
      <c r="L46" s="1708">
        <f t="shared" si="25"/>
        <v>66609712.850000001</v>
      </c>
      <c r="M46" s="265">
        <f t="shared" si="26"/>
        <v>53287770.279999971</v>
      </c>
      <c r="N46" s="1731">
        <f>763073257+569121000</f>
        <v>1332194257</v>
      </c>
      <c r="O46" s="1708">
        <f>837130797+567401000</f>
        <v>1404531797</v>
      </c>
      <c r="P46" s="1730">
        <f>836999015+598900000</f>
        <v>1435899015</v>
      </c>
      <c r="Q46" s="373"/>
      <c r="R46" s="373"/>
      <c r="S46" s="373"/>
      <c r="T46" s="373"/>
      <c r="U46" s="373"/>
      <c r="V46" s="373"/>
      <c r="W46" s="373"/>
    </row>
    <row r="47" spans="1:23">
      <c r="A47" s="663" t="s">
        <v>1764</v>
      </c>
      <c r="B47" s="270">
        <f>SUM(B36:B46)</f>
        <v>166802422.15000001</v>
      </c>
      <c r="C47" s="268">
        <f t="shared" ref="C47:P47" si="27">SUM(C36:C46)</f>
        <v>233523391.01000002</v>
      </c>
      <c r="D47" s="268">
        <f t="shared" si="27"/>
        <v>300244359.87</v>
      </c>
      <c r="E47" s="268">
        <f t="shared" si="27"/>
        <v>366965328.73000002</v>
      </c>
      <c r="F47" s="268">
        <f t="shared" si="27"/>
        <v>433686297.59000003</v>
      </c>
      <c r="G47" s="268">
        <f t="shared" si="27"/>
        <v>333604844.30000001</v>
      </c>
      <c r="H47" s="268">
        <f t="shared" si="27"/>
        <v>300244359.87</v>
      </c>
      <c r="I47" s="268">
        <f t="shared" si="27"/>
        <v>400325813.15999997</v>
      </c>
      <c r="J47" s="268">
        <f t="shared" si="27"/>
        <v>266883875.44000003</v>
      </c>
      <c r="K47" s="268">
        <f t="shared" si="27"/>
        <v>233523391.01000002</v>
      </c>
      <c r="L47" s="268">
        <f t="shared" si="27"/>
        <v>166802422.15000001</v>
      </c>
      <c r="M47" s="269">
        <f t="shared" si="27"/>
        <v>133441937.72000001</v>
      </c>
      <c r="N47" s="270">
        <f t="shared" si="27"/>
        <v>3336048443</v>
      </c>
      <c r="O47" s="268">
        <f t="shared" si="27"/>
        <v>3550307838.1859999</v>
      </c>
      <c r="P47" s="269">
        <f t="shared" si="27"/>
        <v>3710681179.3612299</v>
      </c>
      <c r="Q47" s="373"/>
      <c r="R47" s="373"/>
      <c r="S47" s="373"/>
      <c r="T47" s="373"/>
      <c r="U47" s="373"/>
      <c r="V47" s="373"/>
      <c r="W47" s="373"/>
    </row>
    <row r="48" spans="1:23" ht="5.0999999999999996" customHeight="1">
      <c r="A48" s="831"/>
      <c r="B48" s="252"/>
      <c r="C48" s="208"/>
      <c r="D48" s="208"/>
      <c r="E48" s="208"/>
      <c r="F48" s="208"/>
      <c r="G48" s="208"/>
      <c r="H48" s="208"/>
      <c r="I48" s="208"/>
      <c r="J48" s="208"/>
      <c r="K48" s="208"/>
      <c r="L48" s="208"/>
      <c r="M48" s="265"/>
      <c r="N48" s="252"/>
      <c r="O48" s="208"/>
      <c r="P48" s="265"/>
      <c r="Q48" s="373"/>
      <c r="R48" s="373"/>
      <c r="S48" s="373"/>
      <c r="T48" s="373"/>
      <c r="U48" s="373"/>
      <c r="V48" s="373"/>
      <c r="W48" s="373"/>
    </row>
    <row r="49" spans="1:23">
      <c r="A49" s="663" t="s">
        <v>314</v>
      </c>
      <c r="B49" s="252"/>
      <c r="C49" s="208"/>
      <c r="D49" s="208"/>
      <c r="E49" s="208"/>
      <c r="F49" s="208"/>
      <c r="G49" s="208"/>
      <c r="H49" s="208"/>
      <c r="I49" s="208"/>
      <c r="J49" s="208"/>
      <c r="K49" s="208"/>
      <c r="L49" s="208"/>
      <c r="M49" s="265"/>
      <c r="N49" s="252"/>
      <c r="O49" s="208"/>
      <c r="P49" s="265"/>
      <c r="Q49" s="373"/>
      <c r="R49" s="373"/>
      <c r="S49" s="373"/>
      <c r="T49" s="373"/>
      <c r="U49" s="373"/>
      <c r="V49" s="373"/>
      <c r="W49" s="373"/>
    </row>
    <row r="50" spans="1:23">
      <c r="A50" s="255" t="str">
        <f>'A7-CFlow'!A24</f>
        <v>Capital assets</v>
      </c>
      <c r="B50" s="1731"/>
      <c r="C50" s="1708"/>
      <c r="D50" s="1708"/>
      <c r="E50" s="1708"/>
      <c r="F50" s="1708"/>
      <c r="G50" s="1708"/>
      <c r="H50" s="1708"/>
      <c r="I50" s="1708"/>
      <c r="J50" s="1708"/>
      <c r="K50" s="1708"/>
      <c r="L50" s="1708"/>
      <c r="M50" s="265">
        <f>N50-SUM(B50:L50)</f>
        <v>0</v>
      </c>
      <c r="N50" s="1731"/>
      <c r="O50" s="1708"/>
      <c r="P50" s="1730"/>
      <c r="Q50" s="373"/>
      <c r="R50" s="373"/>
      <c r="S50" s="373"/>
      <c r="T50" s="373"/>
      <c r="U50" s="373"/>
      <c r="V50" s="373"/>
      <c r="W50" s="373"/>
    </row>
    <row r="51" spans="1:23">
      <c r="A51" s="255" t="str">
        <f>'A7-CFlow'!A33</f>
        <v>Repayment of borrowing</v>
      </c>
      <c r="B51" s="1731"/>
      <c r="C51" s="1708"/>
      <c r="D51" s="1708"/>
      <c r="E51" s="1708"/>
      <c r="F51" s="1708"/>
      <c r="G51" s="1708"/>
      <c r="H51" s="1708"/>
      <c r="I51" s="1708"/>
      <c r="J51" s="1708"/>
      <c r="K51" s="1708"/>
      <c r="L51" s="1708"/>
      <c r="M51" s="265">
        <f>N51-SUM(B51:L51)</f>
        <v>0</v>
      </c>
      <c r="N51" s="1731"/>
      <c r="O51" s="1708"/>
      <c r="P51" s="1730"/>
      <c r="Q51" s="373"/>
      <c r="R51" s="373"/>
      <c r="S51" s="373"/>
      <c r="T51" s="373"/>
      <c r="U51" s="373"/>
      <c r="V51" s="373"/>
      <c r="W51" s="373"/>
    </row>
    <row r="52" spans="1:23">
      <c r="A52" s="255" t="str">
        <f>LEFT(A49,25)</f>
        <v>Other Cash Flows/Payments</v>
      </c>
      <c r="B52" s="1731"/>
      <c r="C52" s="1708"/>
      <c r="D52" s="1708"/>
      <c r="E52" s="1708"/>
      <c r="F52" s="1708"/>
      <c r="G52" s="1708"/>
      <c r="H52" s="1708"/>
      <c r="I52" s="1708"/>
      <c r="J52" s="1708"/>
      <c r="K52" s="1708"/>
      <c r="L52" s="1708"/>
      <c r="M52" s="265">
        <f>N52-SUM(B52:L52)</f>
        <v>0</v>
      </c>
      <c r="N52" s="1731"/>
      <c r="O52" s="1708"/>
      <c r="P52" s="1730"/>
      <c r="Q52" s="373"/>
      <c r="R52" s="373"/>
      <c r="S52" s="373"/>
      <c r="T52" s="373"/>
      <c r="U52" s="373"/>
      <c r="V52" s="373"/>
      <c r="W52" s="373"/>
    </row>
    <row r="53" spans="1:23">
      <c r="A53" s="824" t="s">
        <v>755</v>
      </c>
      <c r="B53" s="828">
        <f>SUM(B47:B52)</f>
        <v>166802422.15000001</v>
      </c>
      <c r="C53" s="826">
        <f t="shared" ref="C53:P53" si="28">SUM(C47:C52)</f>
        <v>233523391.01000002</v>
      </c>
      <c r="D53" s="826">
        <f t="shared" si="28"/>
        <v>300244359.87</v>
      </c>
      <c r="E53" s="826">
        <f t="shared" si="28"/>
        <v>366965328.73000002</v>
      </c>
      <c r="F53" s="826">
        <f t="shared" si="28"/>
        <v>433686297.59000003</v>
      </c>
      <c r="G53" s="826">
        <f t="shared" si="28"/>
        <v>333604844.30000001</v>
      </c>
      <c r="H53" s="826">
        <f t="shared" si="28"/>
        <v>300244359.87</v>
      </c>
      <c r="I53" s="826">
        <f t="shared" si="28"/>
        <v>400325813.15999997</v>
      </c>
      <c r="J53" s="826">
        <f t="shared" si="28"/>
        <v>266883875.44000003</v>
      </c>
      <c r="K53" s="826">
        <f t="shared" si="28"/>
        <v>233523391.01000002</v>
      </c>
      <c r="L53" s="826">
        <f t="shared" si="28"/>
        <v>166802422.15000001</v>
      </c>
      <c r="M53" s="827">
        <f t="shared" si="28"/>
        <v>133441937.72000001</v>
      </c>
      <c r="N53" s="828">
        <f t="shared" si="28"/>
        <v>3336048443</v>
      </c>
      <c r="O53" s="826">
        <f t="shared" si="28"/>
        <v>3550307838.1859999</v>
      </c>
      <c r="P53" s="827">
        <f t="shared" si="28"/>
        <v>3710681179.3612299</v>
      </c>
      <c r="Q53" s="373"/>
      <c r="R53" s="897" t="s">
        <v>579</v>
      </c>
      <c r="S53" s="373"/>
      <c r="T53" s="373"/>
      <c r="U53" s="373"/>
      <c r="V53" s="373"/>
      <c r="W53" s="373"/>
    </row>
    <row r="54" spans="1:23" ht="5.0999999999999996" customHeight="1">
      <c r="A54" s="831"/>
      <c r="B54" s="252"/>
      <c r="C54" s="208"/>
      <c r="D54" s="208"/>
      <c r="E54" s="208"/>
      <c r="F54" s="208"/>
      <c r="G54" s="208"/>
      <c r="H54" s="208"/>
      <c r="I54" s="208"/>
      <c r="J54" s="208"/>
      <c r="K54" s="208"/>
      <c r="L54" s="208"/>
      <c r="M54" s="265"/>
      <c r="N54" s="252"/>
      <c r="O54" s="208"/>
      <c r="P54" s="265"/>
      <c r="Q54" s="373"/>
      <c r="R54" s="373"/>
      <c r="S54" s="373"/>
      <c r="T54" s="373"/>
      <c r="U54" s="373"/>
      <c r="V54" s="373"/>
      <c r="W54" s="373"/>
    </row>
    <row r="55" spans="1:23" s="782" customFormat="1" ht="13.5" thickBot="1">
      <c r="A55" s="898" t="s">
        <v>420</v>
      </c>
      <c r="B55" s="899">
        <f>B33-B53</f>
        <v>4496.5</v>
      </c>
      <c r="C55" s="900">
        <f t="shared" ref="C55:P55" si="29">C33-C53</f>
        <v>6295.0999999940395</v>
      </c>
      <c r="D55" s="900">
        <f t="shared" si="29"/>
        <v>8093.6999999284744</v>
      </c>
      <c r="E55" s="900">
        <f t="shared" si="29"/>
        <v>9892.2999999523163</v>
      </c>
      <c r="F55" s="900">
        <f t="shared" si="29"/>
        <v>11690.899999976158</v>
      </c>
      <c r="G55" s="900">
        <f t="shared" si="29"/>
        <v>8993</v>
      </c>
      <c r="H55" s="900">
        <f t="shared" si="29"/>
        <v>8093.6999999284744</v>
      </c>
      <c r="I55" s="900">
        <f t="shared" si="29"/>
        <v>10791.600000083447</v>
      </c>
      <c r="J55" s="900">
        <f t="shared" si="29"/>
        <v>7194.3999999463558</v>
      </c>
      <c r="K55" s="900">
        <f t="shared" si="29"/>
        <v>6295.0999999940395</v>
      </c>
      <c r="L55" s="900">
        <f t="shared" si="29"/>
        <v>4496.5</v>
      </c>
      <c r="M55" s="901">
        <f t="shared" si="29"/>
        <v>3597.1999999731779</v>
      </c>
      <c r="N55" s="899">
        <f t="shared" si="29"/>
        <v>89930</v>
      </c>
      <c r="O55" s="900">
        <f t="shared" si="29"/>
        <v>100322.24300050735</v>
      </c>
      <c r="P55" s="901">
        <f t="shared" si="29"/>
        <v>109849.38636493683</v>
      </c>
      <c r="Q55" s="902" t="e">
        <f>#REF!</f>
        <v>#REF!</v>
      </c>
      <c r="R55" s="903" t="e">
        <f>#REF!</f>
        <v>#REF!</v>
      </c>
      <c r="S55" s="904" t="e">
        <f>#REF!</f>
        <v>#REF!</v>
      </c>
      <c r="T55" s="905"/>
      <c r="U55" s="905"/>
      <c r="V55" s="905"/>
      <c r="W55" s="905"/>
    </row>
    <row r="56" spans="1:23" ht="10.5" customHeight="1">
      <c r="A56" s="831" t="s">
        <v>1045</v>
      </c>
      <c r="B56" s="2030"/>
      <c r="C56" s="368">
        <f>B57</f>
        <v>4496.5</v>
      </c>
      <c r="D56" s="368">
        <f t="shared" ref="D56:M56" si="30">C57</f>
        <v>10791.59999999404</v>
      </c>
      <c r="E56" s="368">
        <f t="shared" si="30"/>
        <v>18885.299999922514</v>
      </c>
      <c r="F56" s="368">
        <f t="shared" si="30"/>
        <v>28777.59999987483</v>
      </c>
      <c r="G56" s="368">
        <f t="shared" si="30"/>
        <v>40468.499999850988</v>
      </c>
      <c r="H56" s="368">
        <f t="shared" si="30"/>
        <v>49461.499999850988</v>
      </c>
      <c r="I56" s="368">
        <f t="shared" si="30"/>
        <v>57555.199999779463</v>
      </c>
      <c r="J56" s="368">
        <f t="shared" si="30"/>
        <v>68346.799999862909</v>
      </c>
      <c r="K56" s="368">
        <f t="shared" si="30"/>
        <v>75541.199999809265</v>
      </c>
      <c r="L56" s="368">
        <f t="shared" si="30"/>
        <v>81836.299999803305</v>
      </c>
      <c r="M56" s="369">
        <f t="shared" si="30"/>
        <v>86332.799999803305</v>
      </c>
      <c r="N56" s="370">
        <f>B56</f>
        <v>0</v>
      </c>
      <c r="O56" s="368">
        <f>N57</f>
        <v>89930</v>
      </c>
      <c r="P56" s="369">
        <f>O57</f>
        <v>190252.24300050735</v>
      </c>
      <c r="Q56" s="373"/>
      <c r="R56" s="373"/>
      <c r="S56" s="373"/>
      <c r="T56" s="373"/>
      <c r="U56" s="373"/>
      <c r="V56" s="373"/>
      <c r="W56" s="373"/>
    </row>
    <row r="57" spans="1:23" ht="10.5" customHeight="1">
      <c r="A57" s="906" t="s">
        <v>1044</v>
      </c>
      <c r="B57" s="907">
        <f>B56+B55</f>
        <v>4496.5</v>
      </c>
      <c r="C57" s="908">
        <f>C56+C55</f>
        <v>10791.59999999404</v>
      </c>
      <c r="D57" s="908">
        <f t="shared" ref="D57:P57" si="31">D56+D55</f>
        <v>18885.299999922514</v>
      </c>
      <c r="E57" s="908">
        <f t="shared" si="31"/>
        <v>28777.59999987483</v>
      </c>
      <c r="F57" s="908">
        <f t="shared" si="31"/>
        <v>40468.499999850988</v>
      </c>
      <c r="G57" s="908">
        <f t="shared" si="31"/>
        <v>49461.499999850988</v>
      </c>
      <c r="H57" s="908">
        <f t="shared" si="31"/>
        <v>57555.199999779463</v>
      </c>
      <c r="I57" s="908">
        <f t="shared" si="31"/>
        <v>68346.799999862909</v>
      </c>
      <c r="J57" s="908">
        <f t="shared" si="31"/>
        <v>75541.199999809265</v>
      </c>
      <c r="K57" s="908">
        <f t="shared" si="31"/>
        <v>81836.299999803305</v>
      </c>
      <c r="L57" s="908">
        <f t="shared" si="31"/>
        <v>86332.799999803305</v>
      </c>
      <c r="M57" s="909">
        <f t="shared" si="31"/>
        <v>89929.999999776483</v>
      </c>
      <c r="N57" s="907">
        <f t="shared" si="31"/>
        <v>89930</v>
      </c>
      <c r="O57" s="908">
        <f t="shared" si="31"/>
        <v>190252.24300050735</v>
      </c>
      <c r="P57" s="909">
        <f t="shared" si="31"/>
        <v>300101.62936544418</v>
      </c>
      <c r="Q57" s="373"/>
      <c r="R57" s="373"/>
      <c r="S57" s="373"/>
      <c r="T57" s="373"/>
      <c r="U57" s="373"/>
      <c r="V57" s="373"/>
      <c r="W57" s="373"/>
    </row>
    <row r="58" spans="1:23" ht="10.5" customHeight="1">
      <c r="A58" s="1236" t="str">
        <f>head27a</f>
        <v>References</v>
      </c>
      <c r="B58" s="373"/>
      <c r="C58" s="373"/>
      <c r="D58" s="373"/>
      <c r="E58" s="373"/>
      <c r="F58" s="373"/>
      <c r="G58" s="373"/>
      <c r="H58" s="373"/>
      <c r="I58" s="373"/>
      <c r="J58" s="373"/>
      <c r="K58" s="373"/>
      <c r="L58" s="373"/>
      <c r="M58" s="373"/>
      <c r="N58" s="373"/>
      <c r="O58" s="373"/>
      <c r="P58" s="373"/>
      <c r="Q58" s="373"/>
      <c r="R58" s="373"/>
      <c r="S58" s="373"/>
      <c r="T58" s="373"/>
      <c r="U58" s="373"/>
      <c r="V58" s="373"/>
      <c r="W58" s="373"/>
    </row>
    <row r="59" spans="1:23" ht="10.5" customHeight="1">
      <c r="A59" s="1238" t="s">
        <v>884</v>
      </c>
      <c r="B59" s="373"/>
      <c r="C59" s="373"/>
      <c r="D59" s="373"/>
      <c r="E59" s="373"/>
      <c r="F59" s="373"/>
      <c r="G59" s="373"/>
      <c r="H59" s="373"/>
      <c r="I59" s="373"/>
      <c r="J59" s="373"/>
      <c r="K59" s="373"/>
      <c r="L59" s="373"/>
      <c r="M59" s="373"/>
      <c r="N59" s="373"/>
      <c r="O59" s="373"/>
      <c r="P59" s="373"/>
      <c r="Q59" s="373"/>
      <c r="R59" s="373"/>
      <c r="S59" s="373"/>
      <c r="T59" s="373"/>
      <c r="U59" s="373"/>
      <c r="V59" s="373"/>
      <c r="W59" s="373"/>
    </row>
    <row r="60" spans="1:23" ht="10.5" customHeight="1">
      <c r="A60" s="373"/>
      <c r="B60" s="373"/>
      <c r="C60" s="373"/>
      <c r="D60" s="373"/>
      <c r="E60" s="373"/>
      <c r="F60" s="373"/>
      <c r="G60" s="373"/>
      <c r="H60" s="373"/>
      <c r="I60" s="373"/>
      <c r="J60" s="373"/>
      <c r="K60" s="373"/>
      <c r="L60" s="373"/>
      <c r="M60" s="373"/>
      <c r="N60" s="373"/>
      <c r="O60" s="373"/>
      <c r="P60" s="373"/>
      <c r="Q60" s="373"/>
      <c r="R60" s="373"/>
      <c r="S60" s="373"/>
      <c r="T60" s="373"/>
      <c r="U60" s="373"/>
      <c r="V60" s="373"/>
      <c r="W60" s="373"/>
    </row>
    <row r="61" spans="1:23" ht="10.5" customHeight="1">
      <c r="A61" s="373"/>
      <c r="B61" s="373"/>
      <c r="C61" s="373"/>
      <c r="D61" s="373"/>
      <c r="E61" s="373"/>
      <c r="F61" s="373"/>
      <c r="G61" s="373"/>
      <c r="H61" s="373"/>
      <c r="I61" s="373"/>
      <c r="J61" s="373"/>
      <c r="K61" s="373"/>
      <c r="L61" s="373"/>
      <c r="M61" s="373"/>
      <c r="N61" s="373"/>
      <c r="O61" s="373"/>
      <c r="P61" s="373"/>
      <c r="Q61" s="373"/>
      <c r="R61" s="373"/>
      <c r="S61" s="373"/>
      <c r="T61" s="373"/>
      <c r="U61" s="373"/>
      <c r="V61" s="373"/>
      <c r="W61" s="373"/>
    </row>
    <row r="62" spans="1:23">
      <c r="A62" s="373"/>
      <c r="B62" s="373"/>
      <c r="C62" s="373"/>
      <c r="D62" s="373"/>
      <c r="E62" s="373"/>
      <c r="F62" s="373"/>
      <c r="G62" s="373"/>
      <c r="H62" s="373"/>
      <c r="I62" s="373"/>
      <c r="J62" s="373"/>
      <c r="K62" s="373"/>
      <c r="L62" s="373"/>
      <c r="M62" s="373"/>
      <c r="N62" s="373"/>
      <c r="O62" s="373"/>
      <c r="P62" s="373"/>
      <c r="Q62" s="373"/>
      <c r="R62" s="373"/>
      <c r="S62" s="373"/>
      <c r="T62" s="373"/>
      <c r="U62" s="373"/>
      <c r="V62" s="373"/>
      <c r="W62" s="373"/>
    </row>
    <row r="63" spans="1:23">
      <c r="A63" s="373"/>
      <c r="B63" s="373"/>
      <c r="C63" s="373"/>
      <c r="D63" s="373"/>
      <c r="E63" s="366"/>
      <c r="F63" s="366"/>
      <c r="G63" s="366"/>
      <c r="H63" s="366"/>
      <c r="I63" s="366"/>
      <c r="J63" s="366"/>
      <c r="K63" s="366"/>
      <c r="L63" s="366"/>
      <c r="M63" s="366"/>
      <c r="N63" s="373"/>
      <c r="O63" s="373"/>
      <c r="P63" s="373"/>
      <c r="Q63" s="373"/>
      <c r="R63" s="373"/>
      <c r="S63" s="373"/>
      <c r="T63" s="373"/>
      <c r="U63" s="373"/>
      <c r="V63" s="373"/>
      <c r="W63" s="373"/>
    </row>
    <row r="64" spans="1:23">
      <c r="A64" s="373"/>
      <c r="B64" s="373"/>
      <c r="C64" s="373"/>
      <c r="D64" s="373"/>
      <c r="E64" s="848">
        <f t="shared" ref="E64:P64" si="32">E47+E63</f>
        <v>366965328.73000002</v>
      </c>
      <c r="F64" s="848">
        <f t="shared" si="32"/>
        <v>433686297.59000003</v>
      </c>
      <c r="G64" s="848">
        <f t="shared" si="32"/>
        <v>333604844.30000001</v>
      </c>
      <c r="H64" s="848">
        <f t="shared" si="32"/>
        <v>300244359.87</v>
      </c>
      <c r="I64" s="848">
        <f t="shared" si="32"/>
        <v>400325813.15999997</v>
      </c>
      <c r="J64" s="848">
        <f t="shared" si="32"/>
        <v>266883875.44000003</v>
      </c>
      <c r="K64" s="848">
        <f t="shared" si="32"/>
        <v>233523391.01000002</v>
      </c>
      <c r="L64" s="848">
        <f t="shared" si="32"/>
        <v>166802422.15000001</v>
      </c>
      <c r="M64" s="848">
        <f t="shared" si="32"/>
        <v>133441937.72000001</v>
      </c>
      <c r="N64" s="848">
        <f t="shared" si="32"/>
        <v>3336048443</v>
      </c>
      <c r="O64" s="848">
        <f t="shared" si="32"/>
        <v>3550307838.1859999</v>
      </c>
      <c r="P64" s="848">
        <f t="shared" si="32"/>
        <v>3710681179.3612299</v>
      </c>
      <c r="Q64" s="373"/>
      <c r="R64" s="373"/>
      <c r="S64" s="373"/>
      <c r="T64" s="373"/>
      <c r="U64" s="373"/>
      <c r="V64" s="373"/>
      <c r="W64" s="373"/>
    </row>
    <row r="65" spans="1:23">
      <c r="A65" s="373"/>
      <c r="B65" s="373"/>
      <c r="C65" s="373"/>
      <c r="D65" s="373"/>
      <c r="E65" s="848">
        <f t="shared" ref="E65:P65" si="33">E55-E63</f>
        <v>9892.2999999523163</v>
      </c>
      <c r="F65" s="848">
        <f t="shared" si="33"/>
        <v>11690.899999976158</v>
      </c>
      <c r="G65" s="848">
        <f t="shared" si="33"/>
        <v>8993</v>
      </c>
      <c r="H65" s="848">
        <f t="shared" si="33"/>
        <v>8093.6999999284744</v>
      </c>
      <c r="I65" s="848">
        <f t="shared" si="33"/>
        <v>10791.600000083447</v>
      </c>
      <c r="J65" s="848">
        <f t="shared" si="33"/>
        <v>7194.3999999463558</v>
      </c>
      <c r="K65" s="848">
        <f t="shared" si="33"/>
        <v>6295.0999999940395</v>
      </c>
      <c r="L65" s="848">
        <f t="shared" si="33"/>
        <v>4496.5</v>
      </c>
      <c r="M65" s="848">
        <f t="shared" si="33"/>
        <v>3597.1999999731779</v>
      </c>
      <c r="N65" s="848">
        <f t="shared" si="33"/>
        <v>89930</v>
      </c>
      <c r="O65" s="848">
        <f t="shared" si="33"/>
        <v>100322.24300050735</v>
      </c>
      <c r="P65" s="848">
        <f t="shared" si="33"/>
        <v>109849.38636493683</v>
      </c>
      <c r="Q65" s="373"/>
      <c r="R65" s="373"/>
      <c r="S65" s="373"/>
      <c r="T65" s="373"/>
      <c r="U65" s="373"/>
      <c r="V65" s="373"/>
      <c r="W65" s="373"/>
    </row>
    <row r="66" spans="1:23">
      <c r="A66" s="373"/>
      <c r="B66" s="373"/>
      <c r="C66" s="373"/>
      <c r="D66" s="373"/>
      <c r="E66" s="373"/>
      <c r="F66" s="373"/>
      <c r="G66" s="373"/>
      <c r="H66" s="373"/>
      <c r="I66" s="373"/>
      <c r="J66" s="373"/>
      <c r="K66" s="373"/>
      <c r="L66" s="373"/>
      <c r="M66" s="373"/>
      <c r="N66" s="373"/>
      <c r="O66" s="373"/>
      <c r="P66" s="373"/>
      <c r="Q66" s="373"/>
      <c r="R66" s="373"/>
      <c r="S66" s="373"/>
      <c r="T66" s="373"/>
      <c r="U66" s="373"/>
      <c r="V66" s="373"/>
      <c r="W66" s="373"/>
    </row>
    <row r="67" spans="1:23">
      <c r="A67" s="373"/>
      <c r="B67" s="373"/>
      <c r="C67" s="373"/>
      <c r="D67" s="373"/>
      <c r="E67" s="373"/>
      <c r="F67" s="373"/>
      <c r="G67" s="373"/>
      <c r="H67" s="373"/>
      <c r="I67" s="373"/>
      <c r="J67" s="373"/>
      <c r="K67" s="373"/>
      <c r="L67" s="373"/>
      <c r="M67" s="373"/>
      <c r="N67" s="373"/>
      <c r="O67" s="373"/>
      <c r="P67" s="373"/>
      <c r="Q67" s="373"/>
      <c r="R67" s="373"/>
      <c r="S67" s="373"/>
      <c r="T67" s="373"/>
      <c r="U67" s="373"/>
      <c r="V67" s="373"/>
      <c r="W67" s="373"/>
    </row>
    <row r="68" spans="1:23">
      <c r="A68" s="373"/>
      <c r="B68" s="373"/>
      <c r="C68" s="373"/>
      <c r="D68" s="373"/>
      <c r="E68" s="373"/>
      <c r="F68" s="373"/>
      <c r="G68" s="373"/>
      <c r="H68" s="373"/>
      <c r="I68" s="373"/>
      <c r="J68" s="373"/>
      <c r="K68" s="373"/>
      <c r="L68" s="373"/>
      <c r="M68" s="373"/>
      <c r="N68" s="373"/>
      <c r="O68" s="373"/>
      <c r="P68" s="373"/>
      <c r="Q68" s="373"/>
      <c r="R68" s="373"/>
      <c r="S68" s="373"/>
      <c r="T68" s="373"/>
      <c r="U68" s="373"/>
      <c r="V68" s="373"/>
      <c r="W68" s="373"/>
    </row>
    <row r="69" spans="1:23">
      <c r="A69" s="373"/>
      <c r="B69" s="373"/>
      <c r="C69" s="373"/>
      <c r="D69" s="373"/>
      <c r="E69" s="373"/>
      <c r="F69" s="373"/>
      <c r="G69" s="373"/>
      <c r="H69" s="373"/>
      <c r="I69" s="373"/>
      <c r="J69" s="373"/>
      <c r="K69" s="373"/>
      <c r="L69" s="373"/>
      <c r="M69" s="373"/>
      <c r="N69" s="373"/>
      <c r="O69" s="373"/>
      <c r="P69" s="373"/>
      <c r="Q69" s="373"/>
      <c r="R69" s="373"/>
      <c r="S69" s="373"/>
      <c r="T69" s="373"/>
      <c r="U69" s="373"/>
      <c r="V69" s="373"/>
      <c r="W69" s="373"/>
    </row>
    <row r="70" spans="1:23">
      <c r="A70" s="373"/>
      <c r="B70" s="373"/>
      <c r="C70" s="373"/>
      <c r="D70" s="373"/>
      <c r="E70" s="373"/>
      <c r="F70" s="373"/>
      <c r="G70" s="373"/>
      <c r="H70" s="373"/>
      <c r="I70" s="373"/>
      <c r="J70" s="373"/>
      <c r="K70" s="373"/>
      <c r="L70" s="373"/>
      <c r="M70" s="373"/>
      <c r="N70" s="373"/>
      <c r="O70" s="373"/>
      <c r="P70" s="373"/>
      <c r="Q70" s="373"/>
      <c r="R70" s="373"/>
      <c r="S70" s="373"/>
      <c r="T70" s="373"/>
      <c r="U70" s="373"/>
      <c r="V70" s="373"/>
      <c r="W70" s="373"/>
    </row>
    <row r="190" spans="2:44">
      <c r="B190" s="246"/>
      <c r="C190" s="246"/>
      <c r="D190" s="246"/>
      <c r="E190" s="246"/>
      <c r="F190" s="246"/>
      <c r="G190" s="246"/>
      <c r="H190" s="246"/>
      <c r="I190" s="246"/>
      <c r="J190" s="246"/>
      <c r="K190" s="246"/>
      <c r="L190" s="246"/>
      <c r="N190" s="311"/>
      <c r="O190" s="311"/>
      <c r="P190" s="311"/>
      <c r="Q190" s="311"/>
      <c r="R190" s="311"/>
      <c r="S190" s="311"/>
      <c r="AH190" s="311"/>
      <c r="AI190" s="311"/>
      <c r="AJ190" s="311"/>
      <c r="AK190" s="311"/>
      <c r="AL190" s="311"/>
      <c r="AM190" s="311"/>
      <c r="AN190" s="311"/>
      <c r="AO190" s="311"/>
      <c r="AP190" s="311"/>
      <c r="AQ190" s="311"/>
      <c r="AR190" s="311"/>
    </row>
    <row r="191" spans="2:44">
      <c r="N191" s="311"/>
      <c r="O191" s="311"/>
      <c r="P191" s="311"/>
      <c r="Q191" s="311"/>
      <c r="R191" s="311"/>
      <c r="S191" s="311"/>
      <c r="AH191" s="311"/>
      <c r="AI191" s="311"/>
      <c r="AJ191" s="311"/>
      <c r="AK191" s="311"/>
      <c r="AL191" s="311"/>
      <c r="AM191" s="311"/>
      <c r="AN191" s="311"/>
      <c r="AO191" s="311"/>
      <c r="AP191" s="311"/>
      <c r="AQ191" s="311"/>
      <c r="AR191" s="311"/>
    </row>
    <row r="192" spans="2:44">
      <c r="N192" s="311"/>
      <c r="O192" s="311"/>
      <c r="P192" s="311"/>
      <c r="Q192" s="311"/>
      <c r="R192" s="311"/>
      <c r="S192" s="311"/>
      <c r="AH192" s="311"/>
      <c r="AI192" s="311"/>
      <c r="AJ192" s="311"/>
      <c r="AK192" s="311"/>
      <c r="AL192" s="311"/>
      <c r="AM192" s="311"/>
      <c r="AN192" s="311"/>
      <c r="AO192" s="311"/>
      <c r="AP192" s="311"/>
      <c r="AQ192" s="311"/>
      <c r="AR192" s="311"/>
    </row>
  </sheetData>
  <mergeCells count="2">
    <mergeCell ref="N2:P2"/>
    <mergeCell ref="B2:M2"/>
  </mergeCells>
  <phoneticPr fontId="2" type="noConversion"/>
  <dataValidations count="2">
    <dataValidation type="whole" allowBlank="1" showInputMessage="1" showErrorMessage="1" sqref="N39:P39 N45:P45">
      <formula1>-99999999999</formula1>
      <formula2>99999999999</formula2>
    </dataValidation>
    <dataValidation type="whole" allowBlank="1" showInputMessage="1" showErrorMessage="1" sqref="N43:P43">
      <formula1>-99999999999999900000</formula1>
      <formula2>9.99999999999999E+21</formula2>
    </dataValidation>
  </dataValidations>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B4" activePane="bottomRight" state="frozen"/>
      <selection activeCell="O37" sqref="A1:IV65536"/>
      <selection pane="topRight" activeCell="O37" sqref="A1:IV65536"/>
      <selection pane="bottomLeft" activeCell="O37" sqref="A1:IV65536"/>
      <selection pane="bottomRight" activeCell="K12" sqref="K12"/>
    </sheetView>
  </sheetViews>
  <sheetFormatPr defaultRowHeight="12.75"/>
  <cols>
    <col min="1" max="1" width="30.7109375" style="150" customWidth="1"/>
    <col min="2" max="2" width="4.42578125" style="150" customWidth="1"/>
    <col min="3" max="11" width="9.28515625" style="150" customWidth="1"/>
    <col min="12" max="12" width="8.7109375" style="150" customWidth="1"/>
    <col min="13" max="15" width="7.7109375" style="150" customWidth="1"/>
    <col min="16" max="16384" width="9.140625" style="150"/>
  </cols>
  <sheetData>
    <row r="1" spans="1:11" ht="13.5" customHeight="1">
      <c r="A1" s="148" t="str">
        <f>muni&amp;" - "&amp; TableA31</f>
        <v>KZN225 Msunduzi - NOT REQUIRED - municipality does not have entities</v>
      </c>
      <c r="B1" s="148"/>
      <c r="C1" s="148"/>
      <c r="D1" s="148"/>
      <c r="E1" s="148"/>
      <c r="F1" s="148"/>
      <c r="G1" s="148"/>
      <c r="H1" s="148"/>
      <c r="I1" s="148"/>
      <c r="J1" s="148"/>
      <c r="K1" s="148"/>
    </row>
    <row r="2" spans="1:11" ht="28.5" customHeight="1">
      <c r="A2" s="1029" t="str">
        <f>desc</f>
        <v>Description</v>
      </c>
      <c r="B2" s="2464" t="str">
        <f>head27</f>
        <v>Ref</v>
      </c>
      <c r="C2" s="910" t="str">
        <f>head1b</f>
        <v>2007/8</v>
      </c>
      <c r="D2" s="769" t="str">
        <f>head1A</f>
        <v>2008/9</v>
      </c>
      <c r="E2" s="147" t="str">
        <f>Head1</f>
        <v>2009/10</v>
      </c>
      <c r="F2" s="2415" t="str">
        <f>Head2</f>
        <v>Current Year 2010/11</v>
      </c>
      <c r="G2" s="2416"/>
      <c r="H2" s="2420"/>
      <c r="I2" s="2412" t="str">
        <f>Head3</f>
        <v>2011/12 Medium Term Revenue &amp; Expenditure Framework</v>
      </c>
      <c r="J2" s="2413"/>
      <c r="K2" s="2414"/>
    </row>
    <row r="3" spans="1:11" ht="25.5">
      <c r="A3" s="181" t="s">
        <v>702</v>
      </c>
      <c r="B3" s="2465"/>
      <c r="C3" s="1014" t="str">
        <f>Head5</f>
        <v>Audited Outcome</v>
      </c>
      <c r="D3" s="1025"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1" ht="12.75" customHeight="1">
      <c r="A4" s="933" t="s">
        <v>1500</v>
      </c>
      <c r="B4" s="250"/>
      <c r="C4" s="912"/>
      <c r="D4" s="164"/>
      <c r="E4" s="165"/>
      <c r="F4" s="163"/>
      <c r="G4" s="164"/>
      <c r="H4" s="624"/>
      <c r="I4" s="912"/>
      <c r="J4" s="164"/>
      <c r="K4" s="165"/>
    </row>
    <row r="5" spans="1:11">
      <c r="A5" s="914" t="str">
        <f>'A1-Sum'!A5</f>
        <v>Property rates</v>
      </c>
      <c r="B5" s="251"/>
      <c r="C5" s="2031"/>
      <c r="D5" s="1935"/>
      <c r="E5" s="1936"/>
      <c r="F5" s="1937"/>
      <c r="G5" s="1935"/>
      <c r="H5" s="1939"/>
      <c r="I5" s="2031"/>
      <c r="J5" s="1935"/>
      <c r="K5" s="1936"/>
    </row>
    <row r="6" spans="1:11">
      <c r="A6" s="914" t="str">
        <f>'A1-Sum'!A6</f>
        <v>Service charges</v>
      </c>
      <c r="B6" s="251"/>
      <c r="C6" s="2031"/>
      <c r="D6" s="1935"/>
      <c r="E6" s="1936"/>
      <c r="F6" s="1937"/>
      <c r="G6" s="1935"/>
      <c r="H6" s="1939"/>
      <c r="I6" s="2031"/>
      <c r="J6" s="1935"/>
      <c r="K6" s="1936"/>
    </row>
    <row r="7" spans="1:11">
      <c r="A7" s="914" t="str">
        <f>'A1-Sum'!A7</f>
        <v>Investment revenue</v>
      </c>
      <c r="B7" s="251"/>
      <c r="C7" s="2031"/>
      <c r="D7" s="1935"/>
      <c r="E7" s="1936"/>
      <c r="F7" s="1937"/>
      <c r="G7" s="1935"/>
      <c r="H7" s="1939"/>
      <c r="I7" s="2031"/>
      <c r="J7" s="1935"/>
      <c r="K7" s="1936"/>
    </row>
    <row r="8" spans="1:11">
      <c r="A8" s="914" t="str">
        <f>'A1-Sum'!A8</f>
        <v>Transfers recognised - operational</v>
      </c>
      <c r="B8" s="251"/>
      <c r="C8" s="2031"/>
      <c r="D8" s="1935"/>
      <c r="E8" s="1936"/>
      <c r="F8" s="1937"/>
      <c r="G8" s="1935"/>
      <c r="H8" s="1939"/>
      <c r="I8" s="2031"/>
      <c r="J8" s="1935"/>
      <c r="K8" s="1936"/>
    </row>
    <row r="9" spans="1:11">
      <c r="A9" s="914" t="str">
        <f>'A1-Sum'!A9</f>
        <v>Other own revenue</v>
      </c>
      <c r="B9" s="251"/>
      <c r="C9" s="2031"/>
      <c r="D9" s="1935"/>
      <c r="E9" s="1936"/>
      <c r="F9" s="1937"/>
      <c r="G9" s="1935"/>
      <c r="H9" s="1939"/>
      <c r="I9" s="2031"/>
      <c r="J9" s="1935"/>
      <c r="K9" s="1936"/>
    </row>
    <row r="10" spans="1:11">
      <c r="A10" s="914" t="str">
        <f>'A1-Sum'!A21</f>
        <v>Contributions recognised - capital &amp; contributed assets</v>
      </c>
      <c r="B10" s="251"/>
      <c r="C10" s="2031"/>
      <c r="D10" s="1935"/>
      <c r="E10" s="1936"/>
      <c r="F10" s="1937"/>
      <c r="G10" s="1935"/>
      <c r="H10" s="1939"/>
      <c r="I10" s="2031"/>
      <c r="J10" s="1935"/>
      <c r="K10" s="1936"/>
    </row>
    <row r="11" spans="1:11">
      <c r="A11" s="915" t="str">
        <f>'A4-FinPerf RE'!A22</f>
        <v>Total Revenue (excluding capital transfers and contributions)</v>
      </c>
      <c r="B11" s="266"/>
      <c r="C11" s="916">
        <f>SUM(C5:C10)</f>
        <v>0</v>
      </c>
      <c r="D11" s="622">
        <f>SUM(D5:D10)</f>
        <v>0</v>
      </c>
      <c r="E11" s="623">
        <f t="shared" ref="E11:J11" si="0">SUM(E5:E10)</f>
        <v>0</v>
      </c>
      <c r="F11" s="917">
        <f t="shared" si="0"/>
        <v>0</v>
      </c>
      <c r="G11" s="622">
        <f t="shared" si="0"/>
        <v>0</v>
      </c>
      <c r="H11" s="918">
        <f t="shared" si="0"/>
        <v>0</v>
      </c>
      <c r="I11" s="916">
        <f t="shared" si="0"/>
        <v>0</v>
      </c>
      <c r="J11" s="622">
        <f t="shared" si="0"/>
        <v>0</v>
      </c>
      <c r="K11" s="623">
        <f>SUM(K5:K10)</f>
        <v>0</v>
      </c>
    </row>
    <row r="12" spans="1:11">
      <c r="A12" s="914" t="str">
        <f>'A1-Sum'!A11</f>
        <v>Employee costs</v>
      </c>
      <c r="B12" s="251"/>
      <c r="C12" s="2031"/>
      <c r="D12" s="1935"/>
      <c r="E12" s="1936"/>
      <c r="F12" s="1937"/>
      <c r="G12" s="1935"/>
      <c r="H12" s="1939"/>
      <c r="I12" s="2031"/>
      <c r="J12" s="1935"/>
      <c r="K12" s="1936"/>
    </row>
    <row r="13" spans="1:11">
      <c r="A13" s="914" t="s">
        <v>1036</v>
      </c>
      <c r="B13" s="251"/>
      <c r="C13" s="2031"/>
      <c r="D13" s="1935"/>
      <c r="E13" s="1936"/>
      <c r="F13" s="1937"/>
      <c r="G13" s="1935"/>
      <c r="H13" s="1939"/>
      <c r="I13" s="2031"/>
      <c r="J13" s="1935"/>
      <c r="K13" s="1936"/>
    </row>
    <row r="14" spans="1:11">
      <c r="A14" s="914" t="str">
        <f>'A1-Sum'!A13</f>
        <v>Depreciation &amp; asset impairment</v>
      </c>
      <c r="B14" s="251"/>
      <c r="C14" s="2031"/>
      <c r="D14" s="1935"/>
      <c r="E14" s="1936"/>
      <c r="F14" s="1937"/>
      <c r="G14" s="1935"/>
      <c r="H14" s="1939"/>
      <c r="I14" s="2031"/>
      <c r="J14" s="1935"/>
      <c r="K14" s="1936"/>
    </row>
    <row r="15" spans="1:11">
      <c r="A15" s="914" t="str">
        <f>'A1-Sum'!A14</f>
        <v>Finance charges</v>
      </c>
      <c r="B15" s="251"/>
      <c r="C15" s="2031"/>
      <c r="D15" s="1935"/>
      <c r="E15" s="1936"/>
      <c r="F15" s="1937"/>
      <c r="G15" s="1935"/>
      <c r="H15" s="1939"/>
      <c r="I15" s="2031"/>
      <c r="J15" s="1935"/>
      <c r="K15" s="1936"/>
    </row>
    <row r="16" spans="1:11">
      <c r="A16" s="914" t="str">
        <f>'A1-Sum'!A15</f>
        <v>Materials and bulk purchases</v>
      </c>
      <c r="B16" s="251"/>
      <c r="C16" s="2031"/>
      <c r="D16" s="1935"/>
      <c r="E16" s="1936"/>
      <c r="F16" s="1937"/>
      <c r="G16" s="1935"/>
      <c r="H16" s="1939"/>
      <c r="I16" s="2031"/>
      <c r="J16" s="1935"/>
      <c r="K16" s="1936"/>
    </row>
    <row r="17" spans="1:12">
      <c r="A17" s="914" t="str">
        <f>'A1-Sum'!A16</f>
        <v>Transfers and grants</v>
      </c>
      <c r="B17" s="251"/>
      <c r="C17" s="2031"/>
      <c r="D17" s="1935"/>
      <c r="E17" s="1936"/>
      <c r="F17" s="1937"/>
      <c r="G17" s="1935"/>
      <c r="H17" s="1939"/>
      <c r="I17" s="2031"/>
      <c r="J17" s="1935"/>
      <c r="K17" s="1936"/>
    </row>
    <row r="18" spans="1:12">
      <c r="A18" s="914" t="str">
        <f>'A1-Sum'!A17</f>
        <v>Other expenditure</v>
      </c>
      <c r="B18" s="251"/>
      <c r="C18" s="2031"/>
      <c r="D18" s="1935"/>
      <c r="E18" s="1936"/>
      <c r="F18" s="1937"/>
      <c r="G18" s="1935"/>
      <c r="H18" s="1939"/>
      <c r="I18" s="2031"/>
      <c r="J18" s="1935"/>
      <c r="K18" s="1936"/>
    </row>
    <row r="19" spans="1:12">
      <c r="A19" s="915" t="str">
        <f>'A4-FinPerf RE'!A36</f>
        <v>Total Expenditure</v>
      </c>
      <c r="B19" s="266"/>
      <c r="C19" s="919">
        <f>SUM(C12:C18)</f>
        <v>0</v>
      </c>
      <c r="D19" s="920">
        <f t="shared" ref="D19:K19" si="1">SUM(D12:D18)</f>
        <v>0</v>
      </c>
      <c r="E19" s="921">
        <f t="shared" si="1"/>
        <v>0</v>
      </c>
      <c r="F19" s="922">
        <f t="shared" si="1"/>
        <v>0</v>
      </c>
      <c r="G19" s="920">
        <f t="shared" si="1"/>
        <v>0</v>
      </c>
      <c r="H19" s="923">
        <f t="shared" si="1"/>
        <v>0</v>
      </c>
      <c r="I19" s="919">
        <f t="shared" si="1"/>
        <v>0</v>
      </c>
      <c r="J19" s="920">
        <f t="shared" si="1"/>
        <v>0</v>
      </c>
      <c r="K19" s="921">
        <f t="shared" si="1"/>
        <v>0</v>
      </c>
    </row>
    <row r="20" spans="1:12">
      <c r="A20" s="915" t="str">
        <f>'A4-FinPerf RE'!A38</f>
        <v>Surplus/(Deficit)</v>
      </c>
      <c r="B20" s="266"/>
      <c r="C20" s="924">
        <f>C11-C19</f>
        <v>0</v>
      </c>
      <c r="D20" s="625">
        <f t="shared" ref="D20:K20" si="2">D11-D19</f>
        <v>0</v>
      </c>
      <c r="E20" s="626">
        <f t="shared" si="2"/>
        <v>0</v>
      </c>
      <c r="F20" s="925">
        <f t="shared" si="2"/>
        <v>0</v>
      </c>
      <c r="G20" s="625">
        <f t="shared" si="2"/>
        <v>0</v>
      </c>
      <c r="H20" s="926">
        <f t="shared" si="2"/>
        <v>0</v>
      </c>
      <c r="I20" s="924">
        <f t="shared" si="2"/>
        <v>0</v>
      </c>
      <c r="J20" s="625">
        <f t="shared" si="2"/>
        <v>0</v>
      </c>
      <c r="K20" s="626">
        <f t="shared" si="2"/>
        <v>0</v>
      </c>
    </row>
    <row r="21" spans="1:12" ht="6" customHeight="1">
      <c r="A21" s="927"/>
      <c r="B21" s="384"/>
      <c r="C21" s="928"/>
      <c r="D21" s="929"/>
      <c r="E21" s="930"/>
      <c r="F21" s="931"/>
      <c r="G21" s="929"/>
      <c r="H21" s="932"/>
      <c r="I21" s="928"/>
      <c r="J21" s="929"/>
      <c r="K21" s="930"/>
    </row>
    <row r="22" spans="1:12" ht="12.75" customHeight="1">
      <c r="A22" s="933" t="s">
        <v>1153</v>
      </c>
      <c r="B22" s="250"/>
      <c r="C22" s="912"/>
      <c r="D22" s="164"/>
      <c r="E22" s="165"/>
      <c r="F22" s="163"/>
      <c r="G22" s="164"/>
      <c r="H22" s="624"/>
      <c r="I22" s="912"/>
      <c r="J22" s="164"/>
      <c r="K22" s="165"/>
    </row>
    <row r="23" spans="1:12">
      <c r="A23" s="934" t="s">
        <v>1649</v>
      </c>
      <c r="B23" s="377"/>
      <c r="C23" s="2032"/>
      <c r="D23" s="2033"/>
      <c r="E23" s="2034"/>
      <c r="F23" s="2035"/>
      <c r="G23" s="2033"/>
      <c r="H23" s="2036"/>
      <c r="I23" s="2032"/>
      <c r="J23" s="2033"/>
      <c r="K23" s="2034"/>
      <c r="L23" s="247"/>
    </row>
    <row r="24" spans="1:12">
      <c r="A24" s="914" t="str">
        <f>A8</f>
        <v>Transfers recognised - operational</v>
      </c>
      <c r="B24" s="251"/>
      <c r="C24" s="2031"/>
      <c r="D24" s="1935"/>
      <c r="E24" s="1936"/>
      <c r="F24" s="1937"/>
      <c r="G24" s="1935"/>
      <c r="H24" s="1939"/>
      <c r="I24" s="2031"/>
      <c r="J24" s="1935"/>
      <c r="K24" s="1936"/>
      <c r="L24" s="935"/>
    </row>
    <row r="25" spans="1:12">
      <c r="A25" s="914" t="str">
        <f>'A5-Capex'!A71</f>
        <v>Public contributions &amp; donations</v>
      </c>
      <c r="B25" s="251"/>
      <c r="C25" s="2031"/>
      <c r="D25" s="1935"/>
      <c r="E25" s="1936"/>
      <c r="F25" s="1937"/>
      <c r="G25" s="1935"/>
      <c r="H25" s="1939"/>
      <c r="I25" s="2031"/>
      <c r="J25" s="1935"/>
      <c r="K25" s="1936"/>
      <c r="L25" s="935"/>
    </row>
    <row r="26" spans="1:12">
      <c r="A26" s="914" t="str">
        <f>'A5-Capex'!A72</f>
        <v>Borrowing</v>
      </c>
      <c r="B26" s="251"/>
      <c r="C26" s="2031"/>
      <c r="D26" s="1935"/>
      <c r="E26" s="1936"/>
      <c r="F26" s="1937"/>
      <c r="G26" s="1935"/>
      <c r="H26" s="1939"/>
      <c r="I26" s="2031"/>
      <c r="J26" s="1935"/>
      <c r="K26" s="1936"/>
      <c r="L26" s="935"/>
    </row>
    <row r="27" spans="1:12">
      <c r="A27" s="914" t="str">
        <f>'A5-Capex'!A73</f>
        <v>Internally generated funds</v>
      </c>
      <c r="B27" s="251"/>
      <c r="C27" s="2031"/>
      <c r="D27" s="1935"/>
      <c r="E27" s="1936"/>
      <c r="F27" s="1937"/>
      <c r="G27" s="1935"/>
      <c r="H27" s="1939"/>
      <c r="I27" s="2031"/>
      <c r="J27" s="1935"/>
      <c r="K27" s="1936"/>
      <c r="L27" s="935"/>
    </row>
    <row r="28" spans="1:12">
      <c r="A28" s="174" t="s">
        <v>1004</v>
      </c>
      <c r="B28" s="882"/>
      <c r="C28" s="916">
        <f t="shared" ref="C28:K28" si="3">SUM(C24:C27)</f>
        <v>0</v>
      </c>
      <c r="D28" s="622">
        <f t="shared" si="3"/>
        <v>0</v>
      </c>
      <c r="E28" s="623">
        <f t="shared" si="3"/>
        <v>0</v>
      </c>
      <c r="F28" s="917">
        <f t="shared" si="3"/>
        <v>0</v>
      </c>
      <c r="G28" s="622">
        <f t="shared" si="3"/>
        <v>0</v>
      </c>
      <c r="H28" s="918">
        <f t="shared" si="3"/>
        <v>0</v>
      </c>
      <c r="I28" s="916">
        <f t="shared" si="3"/>
        <v>0</v>
      </c>
      <c r="J28" s="622">
        <f t="shared" si="3"/>
        <v>0</v>
      </c>
      <c r="K28" s="623">
        <f t="shared" si="3"/>
        <v>0</v>
      </c>
    </row>
    <row r="29" spans="1:12" ht="6" customHeight="1">
      <c r="A29" s="915"/>
      <c r="B29" s="266"/>
      <c r="C29" s="924"/>
      <c r="D29" s="625"/>
      <c r="E29" s="626"/>
      <c r="F29" s="925"/>
      <c r="G29" s="625"/>
      <c r="H29" s="926"/>
      <c r="I29" s="924"/>
      <c r="J29" s="625"/>
      <c r="K29" s="626"/>
    </row>
    <row r="30" spans="1:12" ht="12.75" customHeight="1">
      <c r="A30" s="911" t="s">
        <v>209</v>
      </c>
      <c r="B30" s="875"/>
      <c r="C30" s="913"/>
      <c r="D30" s="936"/>
      <c r="E30" s="937"/>
      <c r="F30" s="938"/>
      <c r="G30" s="936"/>
      <c r="H30" s="939"/>
      <c r="I30" s="913"/>
      <c r="J30" s="936"/>
      <c r="K30" s="937"/>
    </row>
    <row r="31" spans="1:12">
      <c r="A31" s="914" t="str">
        <f>'A6-FinPos'!A12</f>
        <v>Total current assets</v>
      </c>
      <c r="B31" s="251"/>
      <c r="C31" s="2031"/>
      <c r="D31" s="1935"/>
      <c r="E31" s="1936"/>
      <c r="F31" s="1937"/>
      <c r="G31" s="1935"/>
      <c r="H31" s="1939"/>
      <c r="I31" s="2031"/>
      <c r="J31" s="1935"/>
      <c r="K31" s="1936"/>
    </row>
    <row r="32" spans="1:12">
      <c r="A32" s="914" t="str">
        <f>'A6-FinPos'!A24</f>
        <v>Total non current assets</v>
      </c>
      <c r="B32" s="251"/>
      <c r="C32" s="2031"/>
      <c r="D32" s="1935"/>
      <c r="E32" s="1936"/>
      <c r="F32" s="1937"/>
      <c r="G32" s="1935"/>
      <c r="H32" s="1939"/>
      <c r="I32" s="2031"/>
      <c r="J32" s="1935"/>
      <c r="K32" s="1936"/>
    </row>
    <row r="33" spans="1:15">
      <c r="A33" s="914" t="str">
        <f>'A6-FinPos'!A34</f>
        <v>Total current liabilities</v>
      </c>
      <c r="B33" s="251"/>
      <c r="C33" s="2031"/>
      <c r="D33" s="1935"/>
      <c r="E33" s="1936"/>
      <c r="F33" s="1937"/>
      <c r="G33" s="1935"/>
      <c r="H33" s="1939"/>
      <c r="I33" s="2031"/>
      <c r="J33" s="1935"/>
      <c r="K33" s="1936"/>
    </row>
    <row r="34" spans="1:15">
      <c r="A34" s="914" t="str">
        <f>'A6-FinPos'!A39</f>
        <v>Total non current liabilities</v>
      </c>
      <c r="B34" s="251"/>
      <c r="C34" s="2031"/>
      <c r="D34" s="1935"/>
      <c r="E34" s="1936"/>
      <c r="F34" s="1937"/>
      <c r="G34" s="1935"/>
      <c r="H34" s="1939"/>
      <c r="I34" s="2031"/>
      <c r="J34" s="1935"/>
      <c r="K34" s="1936"/>
    </row>
    <row r="35" spans="1:15">
      <c r="A35" s="914" t="s">
        <v>647</v>
      </c>
      <c r="B35" s="251"/>
      <c r="C35" s="2031"/>
      <c r="D35" s="1935"/>
      <c r="E35" s="1936"/>
      <c r="F35" s="1937"/>
      <c r="G35" s="1935"/>
      <c r="H35" s="1939"/>
      <c r="I35" s="2031"/>
      <c r="J35" s="1935"/>
      <c r="K35" s="1936"/>
    </row>
    <row r="36" spans="1:15" ht="6" customHeight="1">
      <c r="A36" s="927"/>
      <c r="B36" s="384"/>
      <c r="C36" s="928"/>
      <c r="D36" s="929"/>
      <c r="E36" s="930"/>
      <c r="F36" s="931"/>
      <c r="G36" s="929"/>
      <c r="H36" s="932"/>
      <c r="I36" s="928"/>
      <c r="J36" s="929"/>
      <c r="K36" s="930"/>
    </row>
    <row r="37" spans="1:15" ht="12.75" customHeight="1">
      <c r="A37" s="933" t="s">
        <v>210</v>
      </c>
      <c r="B37" s="250"/>
      <c r="C37" s="912"/>
      <c r="D37" s="164"/>
      <c r="E37" s="165"/>
      <c r="F37" s="163"/>
      <c r="G37" s="164"/>
      <c r="H37" s="624"/>
      <c r="I37" s="912"/>
      <c r="J37" s="164"/>
      <c r="K37" s="165"/>
      <c r="O37" s="373"/>
    </row>
    <row r="38" spans="1:15">
      <c r="A38" s="914" t="str">
        <f>'A1-Sum'!A42</f>
        <v>Net cash from (used) operating</v>
      </c>
      <c r="B38" s="251"/>
      <c r="C38" s="2031"/>
      <c r="D38" s="1935"/>
      <c r="E38" s="1936"/>
      <c r="F38" s="1937"/>
      <c r="G38" s="1935"/>
      <c r="H38" s="1939"/>
      <c r="I38" s="2031"/>
      <c r="J38" s="1935"/>
      <c r="K38" s="1936"/>
    </row>
    <row r="39" spans="1:15">
      <c r="A39" s="914" t="str">
        <f>'A1-Sum'!A43</f>
        <v>Net cash from (used) investing</v>
      </c>
      <c r="B39" s="251"/>
      <c r="C39" s="2031"/>
      <c r="D39" s="1935"/>
      <c r="E39" s="1936"/>
      <c r="F39" s="1937"/>
      <c r="G39" s="1935"/>
      <c r="H39" s="1939"/>
      <c r="I39" s="2031"/>
      <c r="J39" s="1935"/>
      <c r="K39" s="1936"/>
    </row>
    <row r="40" spans="1:15">
      <c r="A40" s="914" t="str">
        <f>'A1-Sum'!A44</f>
        <v>Net cash from (used) financing</v>
      </c>
      <c r="B40" s="251"/>
      <c r="C40" s="2031"/>
      <c r="D40" s="1935"/>
      <c r="E40" s="1936"/>
      <c r="F40" s="1937"/>
      <c r="G40" s="1935"/>
      <c r="H40" s="1939"/>
      <c r="I40" s="2031"/>
      <c r="J40" s="1935"/>
      <c r="K40" s="1936"/>
    </row>
    <row r="41" spans="1:15">
      <c r="A41" s="915" t="str">
        <f>'A1-Sum'!A45</f>
        <v>Cash/cash equivalents at the year end</v>
      </c>
      <c r="B41" s="266"/>
      <c r="C41" s="2031"/>
      <c r="D41" s="1935"/>
      <c r="E41" s="1936"/>
      <c r="F41" s="1937"/>
      <c r="G41" s="1935"/>
      <c r="H41" s="1939"/>
      <c r="I41" s="2031"/>
      <c r="J41" s="1935"/>
      <c r="K41" s="1936"/>
    </row>
    <row r="42" spans="1:15" ht="6" customHeight="1">
      <c r="A42" s="940"/>
      <c r="B42" s="337"/>
      <c r="C42" s="928"/>
      <c r="D42" s="929"/>
      <c r="E42" s="930"/>
      <c r="F42" s="931"/>
      <c r="G42" s="929"/>
      <c r="H42" s="932"/>
      <c r="I42" s="928"/>
      <c r="J42" s="929"/>
      <c r="K42" s="930"/>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pageSetUpPr fitToPage="1"/>
  </sheetPr>
  <dimension ref="A1:C95"/>
  <sheetViews>
    <sheetView topLeftCell="A76" workbookViewId="0">
      <selection activeCell="A114" sqref="A114"/>
    </sheetView>
  </sheetViews>
  <sheetFormatPr defaultRowHeight="11.25"/>
  <cols>
    <col min="1" max="1" width="60.85546875" style="1221" bestFit="1" customWidth="1"/>
    <col min="2" max="2" width="64.140625" style="1432" bestFit="1" customWidth="1"/>
    <col min="3" max="3" width="6" style="1221" bestFit="1" customWidth="1"/>
    <col min="4" max="16384" width="9.140625" style="1221"/>
  </cols>
  <sheetData>
    <row r="1" spans="1:3">
      <c r="A1" s="1222" t="s">
        <v>1334</v>
      </c>
      <c r="B1" s="1220" t="s">
        <v>1335</v>
      </c>
    </row>
    <row r="2" spans="1:3">
      <c r="A2" s="1223" t="s">
        <v>2134</v>
      </c>
      <c r="B2" s="1609" t="s">
        <v>2149</v>
      </c>
      <c r="C2" s="1221" t="s">
        <v>1336</v>
      </c>
    </row>
    <row r="3" spans="1:3">
      <c r="A3" s="1223" t="s">
        <v>2135</v>
      </c>
      <c r="B3" s="1610" t="s">
        <v>2150</v>
      </c>
    </row>
    <row r="4" spans="1:3">
      <c r="A4" s="1223" t="s">
        <v>2136</v>
      </c>
      <c r="B4" s="1610" t="s">
        <v>2151</v>
      </c>
    </row>
    <row r="5" spans="1:3">
      <c r="A5" s="1223" t="s">
        <v>2137</v>
      </c>
      <c r="B5" s="1610" t="s">
        <v>2152</v>
      </c>
    </row>
    <row r="6" spans="1:3">
      <c r="A6" s="1223" t="s">
        <v>2138</v>
      </c>
      <c r="B6" s="1610" t="s">
        <v>2153</v>
      </c>
    </row>
    <row r="7" spans="1:3">
      <c r="A7" s="1223" t="s">
        <v>2139</v>
      </c>
      <c r="B7" s="1610" t="s">
        <v>2154</v>
      </c>
    </row>
    <row r="8" spans="1:3">
      <c r="A8" s="1223" t="s">
        <v>2140</v>
      </c>
      <c r="B8" s="1610" t="s">
        <v>2155</v>
      </c>
    </row>
    <row r="9" spans="1:3">
      <c r="A9" s="1223" t="s">
        <v>2141</v>
      </c>
      <c r="B9" s="1610" t="s">
        <v>2156</v>
      </c>
    </row>
    <row r="10" spans="1:3">
      <c r="A10" s="1223" t="s">
        <v>2142</v>
      </c>
      <c r="B10" s="1610" t="s">
        <v>840</v>
      </c>
    </row>
    <row r="11" spans="1:3">
      <c r="A11" s="1223" t="s">
        <v>2143</v>
      </c>
      <c r="B11" s="1610" t="s">
        <v>841</v>
      </c>
    </row>
    <row r="12" spans="1:3">
      <c r="A12" s="1223" t="s">
        <v>2144</v>
      </c>
      <c r="B12" s="1610" t="s">
        <v>842</v>
      </c>
    </row>
    <row r="13" spans="1:3">
      <c r="A13" s="1223" t="s">
        <v>2145</v>
      </c>
      <c r="B13" s="1609" t="s">
        <v>2157</v>
      </c>
      <c r="C13" s="1221" t="s">
        <v>1337</v>
      </c>
    </row>
    <row r="14" spans="1:3">
      <c r="A14" s="1223" t="s">
        <v>2146</v>
      </c>
      <c r="B14" s="1610" t="s">
        <v>2158</v>
      </c>
    </row>
    <row r="15" spans="1:3">
      <c r="A15" s="1223" t="s">
        <v>2147</v>
      </c>
      <c r="B15" s="1610" t="s">
        <v>2159</v>
      </c>
    </row>
    <row r="16" spans="1:3">
      <c r="A16" s="1223" t="s">
        <v>2148</v>
      </c>
      <c r="B16" s="1610" t="s">
        <v>2160</v>
      </c>
    </row>
    <row r="17" spans="2:3">
      <c r="B17" s="1610" t="s">
        <v>968</v>
      </c>
    </row>
    <row r="18" spans="2:3">
      <c r="B18" s="1610" t="s">
        <v>2161</v>
      </c>
    </row>
    <row r="19" spans="2:3">
      <c r="B19" s="1610" t="s">
        <v>838</v>
      </c>
    </row>
    <row r="20" spans="2:3">
      <c r="B20" s="1610" t="s">
        <v>839</v>
      </c>
    </row>
    <row r="21" spans="2:3">
      <c r="B21" s="1610" t="s">
        <v>840</v>
      </c>
    </row>
    <row r="22" spans="2:3">
      <c r="B22" s="1610" t="s">
        <v>841</v>
      </c>
    </row>
    <row r="23" spans="2:3">
      <c r="B23" s="1610" t="s">
        <v>842</v>
      </c>
    </row>
    <row r="24" spans="2:3">
      <c r="B24" s="1609" t="s">
        <v>2162</v>
      </c>
      <c r="C24" s="1221" t="s">
        <v>1338</v>
      </c>
    </row>
    <row r="25" spans="2:3">
      <c r="B25" s="1610" t="s">
        <v>2163</v>
      </c>
    </row>
    <row r="26" spans="2:3">
      <c r="B26" s="1610" t="s">
        <v>2164</v>
      </c>
    </row>
    <row r="27" spans="2:3">
      <c r="B27" s="1610" t="s">
        <v>2165</v>
      </c>
    </row>
    <row r="28" spans="2:3">
      <c r="B28" s="1610" t="s">
        <v>2166</v>
      </c>
    </row>
    <row r="29" spans="2:3">
      <c r="B29" s="1610" t="s">
        <v>1171</v>
      </c>
    </row>
    <row r="30" spans="2:3">
      <c r="B30" s="1610" t="s">
        <v>2167</v>
      </c>
    </row>
    <row r="31" spans="2:3">
      <c r="B31" s="1610" t="s">
        <v>839</v>
      </c>
    </row>
    <row r="32" spans="2:3">
      <c r="B32" s="1610" t="s">
        <v>840</v>
      </c>
    </row>
    <row r="33" spans="2:3">
      <c r="B33" s="1610" t="s">
        <v>841</v>
      </c>
    </row>
    <row r="34" spans="2:3">
      <c r="B34" s="1610" t="s">
        <v>842</v>
      </c>
    </row>
    <row r="35" spans="2:3">
      <c r="B35" s="1609" t="s">
        <v>2168</v>
      </c>
      <c r="C35" s="1221" t="s">
        <v>1339</v>
      </c>
    </row>
    <row r="36" spans="2:3">
      <c r="B36" s="1610" t="s">
        <v>2169</v>
      </c>
    </row>
    <row r="37" spans="2:3">
      <c r="B37" s="1610" t="s">
        <v>2170</v>
      </c>
    </row>
    <row r="38" spans="2:3">
      <c r="B38" s="1610" t="s">
        <v>2171</v>
      </c>
    </row>
    <row r="39" spans="2:3">
      <c r="B39" s="1610" t="s">
        <v>836</v>
      </c>
    </row>
    <row r="40" spans="2:3">
      <c r="B40" s="1610" t="s">
        <v>833</v>
      </c>
    </row>
    <row r="41" spans="2:3">
      <c r="B41" s="1610" t="s">
        <v>834</v>
      </c>
    </row>
    <row r="42" spans="2:3">
      <c r="B42" s="1610" t="s">
        <v>835</v>
      </c>
    </row>
    <row r="43" spans="2:3">
      <c r="B43" s="1610" t="s">
        <v>836</v>
      </c>
    </row>
    <row r="44" spans="2:3">
      <c r="B44" s="1610" t="s">
        <v>837</v>
      </c>
    </row>
    <row r="45" spans="2:3">
      <c r="B45" s="1610" t="s">
        <v>838</v>
      </c>
    </row>
    <row r="46" spans="2:3">
      <c r="B46" s="1610" t="s">
        <v>839</v>
      </c>
    </row>
    <row r="47" spans="2:3">
      <c r="B47" s="1610" t="s">
        <v>840</v>
      </c>
    </row>
    <row r="48" spans="2:3">
      <c r="B48" s="1610" t="s">
        <v>841</v>
      </c>
    </row>
    <row r="49" spans="2:3">
      <c r="B49" s="1610" t="s">
        <v>842</v>
      </c>
    </row>
    <row r="50" spans="2:3">
      <c r="B50" s="1609" t="s">
        <v>830</v>
      </c>
      <c r="C50" s="1221" t="s">
        <v>1340</v>
      </c>
    </row>
    <row r="51" spans="2:3">
      <c r="B51" s="1610" t="s">
        <v>833</v>
      </c>
    </row>
    <row r="52" spans="2:3">
      <c r="B52" s="1610" t="s">
        <v>834</v>
      </c>
    </row>
    <row r="53" spans="2:3">
      <c r="B53" s="1610" t="s">
        <v>835</v>
      </c>
    </row>
    <row r="54" spans="2:3">
      <c r="B54" s="1610" t="s">
        <v>836</v>
      </c>
    </row>
    <row r="55" spans="2:3">
      <c r="B55" s="1610" t="s">
        <v>837</v>
      </c>
    </row>
    <row r="56" spans="2:3">
      <c r="B56" s="1610" t="s">
        <v>838</v>
      </c>
    </row>
    <row r="57" spans="2:3">
      <c r="B57" s="1610" t="s">
        <v>839</v>
      </c>
    </row>
    <row r="58" spans="2:3">
      <c r="B58" s="1610" t="s">
        <v>840</v>
      </c>
    </row>
    <row r="59" spans="2:3">
      <c r="B59" s="1610" t="s">
        <v>841</v>
      </c>
    </row>
    <row r="60" spans="2:3">
      <c r="B60" s="1610" t="s">
        <v>842</v>
      </c>
    </row>
    <row r="61" spans="2:3">
      <c r="B61" s="1610" t="s">
        <v>840</v>
      </c>
    </row>
    <row r="62" spans="2:3">
      <c r="B62" s="1609" t="s">
        <v>831</v>
      </c>
      <c r="C62" s="1221" t="s">
        <v>1341</v>
      </c>
    </row>
    <row r="63" spans="2:3">
      <c r="B63" s="1610" t="s">
        <v>833</v>
      </c>
    </row>
    <row r="64" spans="2:3">
      <c r="B64" s="1610" t="s">
        <v>834</v>
      </c>
    </row>
    <row r="65" spans="2:3">
      <c r="B65" s="1610" t="s">
        <v>835</v>
      </c>
    </row>
    <row r="66" spans="2:3">
      <c r="B66" s="1610" t="s">
        <v>836</v>
      </c>
    </row>
    <row r="67" spans="2:3">
      <c r="B67" s="1610" t="s">
        <v>837</v>
      </c>
    </row>
    <row r="68" spans="2:3">
      <c r="B68" s="1610" t="s">
        <v>838</v>
      </c>
    </row>
    <row r="69" spans="2:3">
      <c r="B69" s="1610" t="s">
        <v>839</v>
      </c>
    </row>
    <row r="70" spans="2:3">
      <c r="B70" s="1610" t="s">
        <v>840</v>
      </c>
    </row>
    <row r="71" spans="2:3">
      <c r="B71" s="1610" t="s">
        <v>841</v>
      </c>
    </row>
    <row r="72" spans="2:3">
      <c r="B72" s="1610" t="s">
        <v>842</v>
      </c>
    </row>
    <row r="73" spans="2:3">
      <c r="B73" s="1609" t="s">
        <v>832</v>
      </c>
      <c r="C73" s="1221" t="s">
        <v>1342</v>
      </c>
    </row>
    <row r="74" spans="2:3">
      <c r="B74" s="1610" t="s">
        <v>833</v>
      </c>
    </row>
    <row r="75" spans="2:3">
      <c r="B75" s="1610" t="s">
        <v>834</v>
      </c>
    </row>
    <row r="76" spans="2:3">
      <c r="B76" s="1610" t="s">
        <v>835</v>
      </c>
    </row>
    <row r="77" spans="2:3">
      <c r="B77" s="1610" t="s">
        <v>836</v>
      </c>
    </row>
    <row r="78" spans="2:3">
      <c r="B78" s="1610" t="s">
        <v>837</v>
      </c>
    </row>
    <row r="79" spans="2:3">
      <c r="B79" s="1610" t="s">
        <v>838</v>
      </c>
    </row>
    <row r="80" spans="2:3">
      <c r="B80" s="1610" t="s">
        <v>839</v>
      </c>
    </row>
    <row r="81" spans="2:3">
      <c r="B81" s="1610" t="s">
        <v>840</v>
      </c>
    </row>
    <row r="82" spans="2:3">
      <c r="B82" s="1610" t="s">
        <v>841</v>
      </c>
    </row>
    <row r="83" spans="2:3">
      <c r="B83" s="1610" t="s">
        <v>842</v>
      </c>
    </row>
    <row r="84" spans="2:3">
      <c r="B84" s="1609" t="s">
        <v>355</v>
      </c>
      <c r="C84" s="1221" t="s">
        <v>354</v>
      </c>
    </row>
    <row r="85" spans="2:3">
      <c r="B85" s="1610" t="s">
        <v>833</v>
      </c>
    </row>
    <row r="86" spans="2:3">
      <c r="B86" s="1610" t="s">
        <v>834</v>
      </c>
    </row>
    <row r="87" spans="2:3">
      <c r="B87" s="1610" t="s">
        <v>835</v>
      </c>
    </row>
    <row r="88" spans="2:3">
      <c r="B88" s="1610" t="s">
        <v>836</v>
      </c>
    </row>
    <row r="89" spans="2:3">
      <c r="B89" s="1610" t="s">
        <v>837</v>
      </c>
    </row>
    <row r="90" spans="2:3">
      <c r="B90" s="1610" t="s">
        <v>838</v>
      </c>
    </row>
    <row r="91" spans="2:3">
      <c r="B91" s="1610" t="s">
        <v>839</v>
      </c>
    </row>
    <row r="92" spans="2:3">
      <c r="B92" s="1610" t="s">
        <v>840</v>
      </c>
    </row>
    <row r="93" spans="2:3">
      <c r="B93" s="1610" t="s">
        <v>841</v>
      </c>
    </row>
    <row r="94" spans="2:3">
      <c r="B94" s="1610" t="s">
        <v>842</v>
      </c>
    </row>
    <row r="95" spans="2:3">
      <c r="B95" s="1609" t="s">
        <v>357</v>
      </c>
      <c r="C95" s="1221" t="s">
        <v>356</v>
      </c>
    </row>
  </sheetData>
  <phoneticPr fontId="2" type="noConversion"/>
  <pageMargins left="0.75" right="0.75" top="1" bottom="1" header="0.5" footer="0.5"/>
  <pageSetup paperSize="9" scale="65"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workbookViewId="0">
      <pane xSplit="1" ySplit="3" topLeftCell="B4" activePane="bottomRight" state="frozen"/>
      <selection activeCell="O37" sqref="A1:IV65536"/>
      <selection pane="topRight" activeCell="O37" sqref="A1:IV65536"/>
      <selection pane="bottomLeft" activeCell="O37" sqref="A1:IV65536"/>
      <selection pane="bottomRight" activeCell="H19" sqref="H19"/>
    </sheetView>
  </sheetViews>
  <sheetFormatPr defaultRowHeight="12.75"/>
  <cols>
    <col min="1" max="1" width="30.7109375" style="150" customWidth="1"/>
    <col min="2" max="2" width="4.140625" style="248" bestFit="1" customWidth="1"/>
    <col min="3" max="3" width="9.28515625" style="150" customWidth="1"/>
    <col min="4" max="4" width="30.7109375" style="150" customWidth="1"/>
    <col min="5" max="5" width="13" style="150" customWidth="1"/>
    <col min="6" max="6" width="9.28515625" style="150" customWidth="1"/>
    <col min="7" max="7" width="9.85546875" style="150" customWidth="1"/>
    <col min="8" max="8" width="9.85546875" style="150" bestFit="1" customWidth="1"/>
    <col min="9" max="10" width="9.85546875" style="150" customWidth="1"/>
    <col min="11" max="11" width="9.5703125" style="150" customWidth="1"/>
    <col min="12" max="12" width="9.85546875" style="150" customWidth="1"/>
    <col min="13" max="15" width="9.5703125" style="150" customWidth="1"/>
    <col min="16" max="16" width="9.85546875" style="150" customWidth="1"/>
    <col min="17" max="19" width="9.5703125" style="150" customWidth="1"/>
    <col min="20" max="21" width="9.85546875" style="150" customWidth="1"/>
    <col min="22" max="16384" width="9.140625" style="150"/>
  </cols>
  <sheetData>
    <row r="1" spans="1:6" ht="13.5" customHeight="1">
      <c r="A1" s="148" t="str">
        <f>muni&amp;" - "&amp;TableA32</f>
        <v>KZN225 Msunduzi - Supporting Table SA32 List of external mechanisms</v>
      </c>
      <c r="B1" s="148"/>
      <c r="C1" s="148"/>
      <c r="D1" s="148"/>
      <c r="E1" s="148"/>
      <c r="F1" s="148"/>
    </row>
    <row r="2" spans="1:6" ht="33.75" customHeight="1">
      <c r="A2" s="143" t="s">
        <v>338</v>
      </c>
      <c r="B2" s="2457" t="s">
        <v>1844</v>
      </c>
      <c r="C2" s="645" t="s">
        <v>341</v>
      </c>
      <c r="D2" s="2457" t="s">
        <v>342</v>
      </c>
      <c r="E2" s="2457" t="s">
        <v>340</v>
      </c>
      <c r="F2" s="941" t="s">
        <v>343</v>
      </c>
    </row>
    <row r="3" spans="1:6" ht="24.75" customHeight="1">
      <c r="A3" s="141" t="s">
        <v>339</v>
      </c>
      <c r="B3" s="2458"/>
      <c r="C3" s="942" t="s">
        <v>1845</v>
      </c>
      <c r="D3" s="2458"/>
      <c r="E3" s="2458"/>
      <c r="F3" s="943" t="s">
        <v>703</v>
      </c>
    </row>
    <row r="4" spans="1:6" ht="11.25" customHeight="1">
      <c r="A4" s="2037"/>
      <c r="B4" s="1921"/>
      <c r="C4" s="1921"/>
      <c r="D4" s="2038"/>
      <c r="E4" s="2039"/>
      <c r="F4" s="1730"/>
    </row>
    <row r="5" spans="1:6" ht="11.25" customHeight="1">
      <c r="A5" s="2037"/>
      <c r="B5" s="1921"/>
      <c r="C5" s="1921"/>
      <c r="D5" s="2038"/>
      <c r="E5" s="2040"/>
      <c r="F5" s="1730"/>
    </row>
    <row r="6" spans="1:6" ht="11.25" customHeight="1">
      <c r="A6" s="2037"/>
      <c r="B6" s="1921"/>
      <c r="C6" s="1921"/>
      <c r="D6" s="2038"/>
      <c r="E6" s="2039"/>
      <c r="F6" s="1730"/>
    </row>
    <row r="7" spans="1:6" ht="11.25" customHeight="1">
      <c r="A7" s="2037"/>
      <c r="B7" s="1921"/>
      <c r="C7" s="1921"/>
      <c r="D7" s="2038"/>
      <c r="E7" s="2039"/>
      <c r="F7" s="1730"/>
    </row>
    <row r="8" spans="1:6" ht="11.25" customHeight="1">
      <c r="A8" s="2037"/>
      <c r="B8" s="1921"/>
      <c r="C8" s="1921"/>
      <c r="D8" s="2038"/>
      <c r="E8" s="2039"/>
      <c r="F8" s="1730"/>
    </row>
    <row r="9" spans="1:6" ht="11.25" customHeight="1">
      <c r="A9" s="2037"/>
      <c r="B9" s="1921"/>
      <c r="C9" s="1921"/>
      <c r="D9" s="2038"/>
      <c r="E9" s="2039"/>
      <c r="F9" s="1730"/>
    </row>
    <row r="10" spans="1:6" ht="11.25" customHeight="1">
      <c r="A10" s="2037"/>
      <c r="B10" s="1921"/>
      <c r="C10" s="1921"/>
      <c r="D10" s="2038"/>
      <c r="E10" s="2039"/>
      <c r="F10" s="1730"/>
    </row>
    <row r="11" spans="1:6" ht="11.25" customHeight="1">
      <c r="A11" s="2037"/>
      <c r="B11" s="1921"/>
      <c r="C11" s="1921"/>
      <c r="D11" s="2038"/>
      <c r="E11" s="2039"/>
      <c r="F11" s="1730"/>
    </row>
    <row r="12" spans="1:6" ht="11.25" customHeight="1">
      <c r="A12" s="2037"/>
      <c r="B12" s="1921"/>
      <c r="C12" s="1921"/>
      <c r="D12" s="2038"/>
      <c r="E12" s="2039"/>
      <c r="F12" s="1730"/>
    </row>
    <row r="13" spans="1:6" ht="11.25" customHeight="1">
      <c r="A13" s="2037"/>
      <c r="B13" s="1921"/>
      <c r="C13" s="1921"/>
      <c r="D13" s="2038"/>
      <c r="E13" s="2039"/>
      <c r="F13" s="1730"/>
    </row>
    <row r="14" spans="1:6" ht="11.25" customHeight="1">
      <c r="A14" s="2037"/>
      <c r="B14" s="1921"/>
      <c r="C14" s="1921"/>
      <c r="D14" s="2038"/>
      <c r="E14" s="2039"/>
      <c r="F14" s="1730"/>
    </row>
    <row r="15" spans="1:6" ht="11.25" customHeight="1">
      <c r="A15" s="2037"/>
      <c r="B15" s="1921"/>
      <c r="C15" s="1921"/>
      <c r="D15" s="2038"/>
      <c r="E15" s="2039"/>
      <c r="F15" s="1730"/>
    </row>
    <row r="16" spans="1:6" ht="11.25" customHeight="1">
      <c r="A16" s="2037"/>
      <c r="B16" s="1921"/>
      <c r="C16" s="1921"/>
      <c r="D16" s="2038"/>
      <c r="E16" s="2039"/>
      <c r="F16" s="1730"/>
    </row>
    <row r="17" spans="1:12" ht="11.25" customHeight="1">
      <c r="A17" s="2037"/>
      <c r="B17" s="1921"/>
      <c r="C17" s="1921"/>
      <c r="D17" s="2038"/>
      <c r="E17" s="2039"/>
      <c r="F17" s="1730"/>
    </row>
    <row r="18" spans="1:12" ht="11.25" customHeight="1">
      <c r="A18" s="2037"/>
      <c r="B18" s="1921"/>
      <c r="C18" s="1921"/>
      <c r="D18" s="2038"/>
      <c r="E18" s="2039"/>
      <c r="F18" s="1730"/>
    </row>
    <row r="19" spans="1:12" ht="11.25" customHeight="1">
      <c r="A19" s="2037"/>
      <c r="B19" s="1921"/>
      <c r="C19" s="1921"/>
      <c r="D19" s="2038"/>
      <c r="E19" s="2039"/>
      <c r="F19" s="1730"/>
    </row>
    <row r="20" spans="1:12" ht="11.25" customHeight="1">
      <c r="A20" s="2037"/>
      <c r="B20" s="1921"/>
      <c r="C20" s="1921"/>
      <c r="D20" s="2038"/>
      <c r="E20" s="2039"/>
      <c r="F20" s="1730"/>
    </row>
    <row r="21" spans="1:12" ht="11.25" customHeight="1">
      <c r="A21" s="2037"/>
      <c r="B21" s="1921"/>
      <c r="C21" s="1921"/>
      <c r="D21" s="2038"/>
      <c r="E21" s="2039"/>
      <c r="F21" s="1730"/>
    </row>
    <row r="22" spans="1:12" ht="11.25" customHeight="1">
      <c r="A22" s="2037"/>
      <c r="B22" s="1921"/>
      <c r="C22" s="1921"/>
      <c r="D22" s="2038"/>
      <c r="E22" s="2039"/>
      <c r="F22" s="1730"/>
    </row>
    <row r="23" spans="1:12">
      <c r="A23" s="2041"/>
      <c r="B23" s="2042"/>
      <c r="C23" s="2042"/>
      <c r="D23" s="2043"/>
      <c r="E23" s="2044"/>
      <c r="F23" s="2045"/>
    </row>
    <row r="24" spans="1:12" ht="6" customHeight="1">
      <c r="A24" s="247"/>
      <c r="B24" s="237"/>
      <c r="C24" s="310"/>
      <c r="D24" s="310"/>
      <c r="E24" s="310"/>
      <c r="F24" s="310"/>
      <c r="J24" s="247"/>
      <c r="K24" s="247"/>
      <c r="L24" s="247"/>
    </row>
    <row r="25" spans="1:12" s="722" customFormat="1">
      <c r="A25" s="1276" t="str">
        <f>head27a</f>
        <v>References</v>
      </c>
      <c r="B25" s="1065"/>
      <c r="C25" s="1107"/>
      <c r="D25" s="1107"/>
      <c r="E25" s="1107"/>
      <c r="F25" s="1107"/>
      <c r="J25" s="1089"/>
      <c r="K25" s="1089"/>
      <c r="L25" s="1089"/>
    </row>
    <row r="26" spans="1:12" s="722" customFormat="1" ht="11.25" customHeight="1">
      <c r="A26" s="1238" t="s">
        <v>415</v>
      </c>
      <c r="B26" s="1065"/>
      <c r="C26" s="1069"/>
      <c r="D26" s="1068"/>
      <c r="E26" s="1069"/>
      <c r="F26" s="1069"/>
    </row>
    <row r="27" spans="1:12" s="722" customFormat="1" ht="11.25" customHeight="1">
      <c r="A27" s="1238" t="s">
        <v>344</v>
      </c>
      <c r="B27" s="1065"/>
      <c r="C27" s="1107"/>
      <c r="D27" s="1107"/>
      <c r="E27" s="1107"/>
      <c r="F27" s="1107"/>
    </row>
    <row r="28" spans="1:12" ht="11.25" customHeight="1"/>
    <row r="29" spans="1:12" ht="11.25" customHeight="1"/>
    <row r="30" spans="1:12" ht="11.25" customHeight="1"/>
    <row r="31" spans="1:12" ht="11.25" customHeight="1"/>
    <row r="32" spans="1:1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B13" sqref="B13"/>
    </sheetView>
  </sheetViews>
  <sheetFormatPr defaultRowHeight="12.75"/>
  <cols>
    <col min="1" max="1" width="30.7109375" style="150" customWidth="1"/>
    <col min="2" max="2" width="3" style="248" customWidth="1"/>
    <col min="3" max="7" width="9.28515625" style="150" customWidth="1"/>
    <col min="8" max="15" width="8.28515625" style="150" customWidth="1"/>
    <col min="16" max="17" width="9.5703125" style="150" customWidth="1"/>
    <col min="18" max="19" width="9.85546875" style="150" customWidth="1"/>
    <col min="20" max="16384" width="9.140625" style="150"/>
  </cols>
  <sheetData>
    <row r="1" spans="1:15" ht="13.5" customHeight="1">
      <c r="A1" s="148" t="str">
        <f>muni&amp;" - "&amp; TableA33</f>
        <v>KZN225 Msunduzi - Supporting Table SA33 Contracts having future budgetary implications</v>
      </c>
      <c r="B1" s="148"/>
      <c r="C1" s="148"/>
      <c r="D1" s="148"/>
      <c r="E1" s="148"/>
      <c r="F1" s="148"/>
      <c r="G1" s="148"/>
      <c r="H1" s="148"/>
      <c r="I1" s="148"/>
      <c r="J1" s="148"/>
      <c r="K1" s="148"/>
      <c r="L1" s="148"/>
      <c r="M1" s="148"/>
      <c r="N1" s="148"/>
      <c r="O1" s="148"/>
    </row>
    <row r="2" spans="1:15" ht="36" customHeight="1">
      <c r="A2" s="1011" t="str">
        <f>desc</f>
        <v>Description</v>
      </c>
      <c r="B2" s="422" t="str">
        <f>head27</f>
        <v>Ref</v>
      </c>
      <c r="C2" s="151" t="s">
        <v>451</v>
      </c>
      <c r="D2" s="147" t="str">
        <f>Head2</f>
        <v>Current Year 2010/11</v>
      </c>
      <c r="E2" s="2412" t="str">
        <f>Head3</f>
        <v>2011/12 Medium Term Revenue &amp; Expenditure Framework</v>
      </c>
      <c r="F2" s="2413"/>
      <c r="G2" s="2414"/>
      <c r="H2" s="145" t="str">
        <f>Head12</f>
        <v>Forecast 2014/15</v>
      </c>
      <c r="I2" s="151" t="str">
        <f>Head13</f>
        <v>Forecast 2015/16</v>
      </c>
      <c r="J2" s="151" t="str">
        <f>Head14</f>
        <v>Forecast 2016/17</v>
      </c>
      <c r="K2" s="151" t="str">
        <f>Head15</f>
        <v>Forecast 2017/18</v>
      </c>
      <c r="L2" s="151" t="str">
        <f>Head16</f>
        <v>Forecast 2018/19</v>
      </c>
      <c r="M2" s="151" t="str">
        <f>Head17</f>
        <v>Forecast 2019/20</v>
      </c>
      <c r="N2" s="147" t="str">
        <f>Head18</f>
        <v>Forecast 2020/21</v>
      </c>
      <c r="O2" s="944" t="s">
        <v>721</v>
      </c>
    </row>
    <row r="3" spans="1:15" ht="25.5">
      <c r="A3" s="181" t="s">
        <v>703</v>
      </c>
      <c r="B3" s="945" t="s">
        <v>549</v>
      </c>
      <c r="C3" s="393" t="s">
        <v>822</v>
      </c>
      <c r="D3" s="394" t="str">
        <f>Head6</f>
        <v>Original Budget</v>
      </c>
      <c r="E3" s="300" t="str">
        <f>Head9</f>
        <v>Budget Year 2011/12</v>
      </c>
      <c r="F3" s="393" t="str">
        <f>Head10</f>
        <v>Budget Year +1 2012/13</v>
      </c>
      <c r="G3" s="394" t="str">
        <f>Head11</f>
        <v>Budget Year +2 2013/14</v>
      </c>
      <c r="H3" s="300" t="s">
        <v>421</v>
      </c>
      <c r="I3" s="393" t="s">
        <v>421</v>
      </c>
      <c r="J3" s="393" t="s">
        <v>421</v>
      </c>
      <c r="K3" s="393" t="s">
        <v>421</v>
      </c>
      <c r="L3" s="393" t="s">
        <v>421</v>
      </c>
      <c r="M3" s="393" t="s">
        <v>421</v>
      </c>
      <c r="N3" s="394" t="s">
        <v>421</v>
      </c>
      <c r="O3" s="1030" t="s">
        <v>421</v>
      </c>
    </row>
    <row r="4" spans="1:15">
      <c r="A4" s="266" t="s">
        <v>1071</v>
      </c>
      <c r="B4" s="183"/>
      <c r="C4" s="312"/>
      <c r="D4" s="313"/>
      <c r="E4" s="314"/>
      <c r="F4" s="312"/>
      <c r="G4" s="315"/>
      <c r="H4" s="313"/>
      <c r="I4" s="312"/>
      <c r="J4" s="312"/>
      <c r="K4" s="312"/>
      <c r="L4" s="312"/>
      <c r="M4" s="312"/>
      <c r="N4" s="315"/>
      <c r="O4" s="423"/>
    </row>
    <row r="5" spans="1:15">
      <c r="A5" s="250" t="s">
        <v>1765</v>
      </c>
      <c r="B5" s="183">
        <v>2</v>
      </c>
      <c r="C5" s="316"/>
      <c r="D5" s="317"/>
      <c r="E5" s="318"/>
      <c r="F5" s="316"/>
      <c r="G5" s="319"/>
      <c r="H5" s="317"/>
      <c r="I5" s="316"/>
      <c r="J5" s="316"/>
      <c r="K5" s="316"/>
      <c r="L5" s="316"/>
      <c r="M5" s="316"/>
      <c r="N5" s="319"/>
      <c r="O5" s="946"/>
    </row>
    <row r="6" spans="1:15">
      <c r="A6" s="2016" t="s">
        <v>422</v>
      </c>
      <c r="B6" s="183"/>
      <c r="C6" s="2046"/>
      <c r="D6" s="2047"/>
      <c r="E6" s="2048"/>
      <c r="F6" s="2046"/>
      <c r="G6" s="2049"/>
      <c r="H6" s="2047"/>
      <c r="I6" s="2046"/>
      <c r="J6" s="2046"/>
      <c r="K6" s="2046"/>
      <c r="L6" s="2046"/>
      <c r="M6" s="2046"/>
      <c r="N6" s="2049"/>
      <c r="O6" s="599">
        <f>SUM(C6:N6)</f>
        <v>0</v>
      </c>
    </row>
    <row r="7" spans="1:15">
      <c r="A7" s="2016" t="s">
        <v>423</v>
      </c>
      <c r="B7" s="183"/>
      <c r="C7" s="1743"/>
      <c r="D7" s="1746"/>
      <c r="E7" s="1745"/>
      <c r="F7" s="1743"/>
      <c r="G7" s="1744"/>
      <c r="H7" s="1746"/>
      <c r="I7" s="1743"/>
      <c r="J7" s="1743"/>
      <c r="K7" s="1743"/>
      <c r="L7" s="1743"/>
      <c r="M7" s="1743"/>
      <c r="N7" s="1744"/>
      <c r="O7" s="599">
        <f>SUM(C7:N7)</f>
        <v>0</v>
      </c>
    </row>
    <row r="8" spans="1:15">
      <c r="A8" s="2016" t="s">
        <v>424</v>
      </c>
      <c r="B8" s="183"/>
      <c r="C8" s="1708"/>
      <c r="D8" s="1732"/>
      <c r="E8" s="1731"/>
      <c r="F8" s="1708"/>
      <c r="G8" s="1730"/>
      <c r="H8" s="1732"/>
      <c r="I8" s="1708"/>
      <c r="J8" s="1708"/>
      <c r="K8" s="1708"/>
      <c r="L8" s="1708"/>
      <c r="M8" s="1708"/>
      <c r="N8" s="1730"/>
      <c r="O8" s="599">
        <f>SUM(C8:N8)</f>
        <v>0</v>
      </c>
    </row>
    <row r="9" spans="1:15">
      <c r="A9" s="266" t="s">
        <v>1473</v>
      </c>
      <c r="B9" s="183"/>
      <c r="C9" s="214">
        <f>SUM(C6:C8)</f>
        <v>0</v>
      </c>
      <c r="D9" s="213">
        <f t="shared" ref="D9:N9" si="0">SUM(D6:D8)</f>
        <v>0</v>
      </c>
      <c r="E9" s="216">
        <f t="shared" si="0"/>
        <v>0</v>
      </c>
      <c r="F9" s="214">
        <f t="shared" si="0"/>
        <v>0</v>
      </c>
      <c r="G9" s="215">
        <f t="shared" si="0"/>
        <v>0</v>
      </c>
      <c r="H9" s="213">
        <f t="shared" si="0"/>
        <v>0</v>
      </c>
      <c r="I9" s="214">
        <f t="shared" si="0"/>
        <v>0</v>
      </c>
      <c r="J9" s="214">
        <f t="shared" si="0"/>
        <v>0</v>
      </c>
      <c r="K9" s="214">
        <f t="shared" si="0"/>
        <v>0</v>
      </c>
      <c r="L9" s="214">
        <f t="shared" si="0"/>
        <v>0</v>
      </c>
      <c r="M9" s="214">
        <f t="shared" si="0"/>
        <v>0</v>
      </c>
      <c r="N9" s="215">
        <f t="shared" si="0"/>
        <v>0</v>
      </c>
      <c r="O9" s="947">
        <f>SUM(C9:N9)</f>
        <v>0</v>
      </c>
    </row>
    <row r="10" spans="1:15" ht="5.0999999999999996" customHeight="1">
      <c r="A10" s="274"/>
      <c r="B10" s="183"/>
      <c r="C10" s="204"/>
      <c r="D10" s="203"/>
      <c r="E10" s="206"/>
      <c r="F10" s="204"/>
      <c r="G10" s="205"/>
      <c r="H10" s="203"/>
      <c r="I10" s="204"/>
      <c r="J10" s="204"/>
      <c r="K10" s="204"/>
      <c r="L10" s="204"/>
      <c r="M10" s="204"/>
      <c r="N10" s="205"/>
      <c r="O10" s="599"/>
    </row>
    <row r="11" spans="1:15">
      <c r="A11" s="250" t="s">
        <v>1072</v>
      </c>
      <c r="B11" s="183">
        <v>2</v>
      </c>
      <c r="C11" s="204"/>
      <c r="D11" s="203"/>
      <c r="E11" s="206"/>
      <c r="F11" s="204"/>
      <c r="G11" s="205"/>
      <c r="H11" s="203"/>
      <c r="I11" s="204"/>
      <c r="J11" s="204"/>
      <c r="K11" s="204"/>
      <c r="L11" s="204"/>
      <c r="M11" s="204"/>
      <c r="N11" s="205"/>
      <c r="O11" s="599"/>
    </row>
    <row r="12" spans="1:15">
      <c r="A12" s="2324" t="s">
        <v>2222</v>
      </c>
      <c r="B12" s="183"/>
      <c r="C12" s="1708"/>
      <c r="D12" s="1080">
        <v>48000000</v>
      </c>
      <c r="E12" s="1080">
        <v>48000000</v>
      </c>
      <c r="F12" s="1083">
        <v>49440000</v>
      </c>
      <c r="G12" s="1083">
        <v>49440000</v>
      </c>
      <c r="H12" s="1080">
        <v>50923200</v>
      </c>
      <c r="I12" s="1080">
        <v>50923200</v>
      </c>
      <c r="J12" s="1080">
        <v>52450896</v>
      </c>
      <c r="K12" s="1080">
        <v>52450896</v>
      </c>
      <c r="L12" s="1080">
        <v>52450896</v>
      </c>
      <c r="M12" s="1708"/>
      <c r="N12" s="1730"/>
      <c r="O12" s="599">
        <f>SUM(C12:N12)</f>
        <v>454079088</v>
      </c>
    </row>
    <row r="13" spans="1:15">
      <c r="A13" s="2324" t="s">
        <v>2178</v>
      </c>
      <c r="B13" s="183"/>
      <c r="C13" s="1708"/>
      <c r="D13" s="1080">
        <v>10584000</v>
      </c>
      <c r="E13" s="1081">
        <v>5130839</v>
      </c>
      <c r="F13" s="1083">
        <v>5377119</v>
      </c>
      <c r="G13" s="1083">
        <v>5635221</v>
      </c>
      <c r="H13" s="1080">
        <v>5900000</v>
      </c>
      <c r="I13" s="1080">
        <v>7200000</v>
      </c>
      <c r="J13" s="1080">
        <v>7500000</v>
      </c>
      <c r="K13" s="1080">
        <v>7800000</v>
      </c>
      <c r="L13" s="1080">
        <v>8100000</v>
      </c>
      <c r="M13" s="1708">
        <v>8400000</v>
      </c>
      <c r="N13" s="1730">
        <v>8700000</v>
      </c>
      <c r="O13" s="599">
        <f>SUM(C13:N13)</f>
        <v>80327179</v>
      </c>
    </row>
    <row r="14" spans="1:15">
      <c r="A14" s="2324" t="s">
        <v>2223</v>
      </c>
      <c r="B14" s="183"/>
      <c r="C14" s="1708"/>
      <c r="D14" s="1732"/>
      <c r="E14" s="1731"/>
      <c r="F14" s="1708"/>
      <c r="G14" s="1730"/>
      <c r="H14" s="1732"/>
      <c r="I14" s="1708"/>
      <c r="J14" s="1708"/>
      <c r="K14" s="1708"/>
      <c r="L14" s="1708"/>
      <c r="M14" s="1708"/>
      <c r="N14" s="1730"/>
      <c r="O14" s="599">
        <f>SUM(C14:N14)</f>
        <v>0</v>
      </c>
    </row>
    <row r="15" spans="1:15">
      <c r="A15" s="266" t="s">
        <v>1074</v>
      </c>
      <c r="B15" s="183"/>
      <c r="C15" s="412">
        <f t="shared" ref="C15:N15" si="1">SUM(C12:C14)</f>
        <v>0</v>
      </c>
      <c r="D15" s="415">
        <f>SUM(D12:D14)</f>
        <v>58584000</v>
      </c>
      <c r="E15" s="414">
        <f t="shared" si="1"/>
        <v>53130839</v>
      </c>
      <c r="F15" s="412">
        <f t="shared" si="1"/>
        <v>54817119</v>
      </c>
      <c r="G15" s="413">
        <f t="shared" si="1"/>
        <v>55075221</v>
      </c>
      <c r="H15" s="415">
        <f t="shared" si="1"/>
        <v>56823200</v>
      </c>
      <c r="I15" s="412">
        <f t="shared" si="1"/>
        <v>58123200</v>
      </c>
      <c r="J15" s="412">
        <f t="shared" si="1"/>
        <v>59950896</v>
      </c>
      <c r="K15" s="412">
        <f t="shared" si="1"/>
        <v>60250896</v>
      </c>
      <c r="L15" s="412">
        <f t="shared" si="1"/>
        <v>60550896</v>
      </c>
      <c r="M15" s="412">
        <f t="shared" si="1"/>
        <v>8400000</v>
      </c>
      <c r="N15" s="413">
        <f t="shared" si="1"/>
        <v>8700000</v>
      </c>
      <c r="O15" s="947">
        <f>SUM(C15:N15)</f>
        <v>534406267</v>
      </c>
    </row>
    <row r="16" spans="1:15" ht="5.0999999999999996" customHeight="1">
      <c r="A16" s="274"/>
      <c r="B16" s="183"/>
      <c r="C16" s="204"/>
      <c r="D16" s="203"/>
      <c r="E16" s="206"/>
      <c r="F16" s="204"/>
      <c r="G16" s="205"/>
      <c r="H16" s="203"/>
      <c r="I16" s="204"/>
      <c r="J16" s="204"/>
      <c r="K16" s="204"/>
      <c r="L16" s="204"/>
      <c r="M16" s="204"/>
      <c r="N16" s="205"/>
      <c r="O16" s="599"/>
    </row>
    <row r="17" spans="1:15">
      <c r="A17" s="250" t="s">
        <v>1073</v>
      </c>
      <c r="B17" s="183">
        <v>2</v>
      </c>
      <c r="C17" s="219"/>
      <c r="D17" s="218"/>
      <c r="E17" s="221"/>
      <c r="F17" s="219"/>
      <c r="G17" s="220"/>
      <c r="H17" s="218"/>
      <c r="I17" s="219"/>
      <c r="J17" s="219"/>
      <c r="K17" s="219"/>
      <c r="L17" s="219"/>
      <c r="M17" s="219"/>
      <c r="N17" s="220"/>
      <c r="O17" s="599"/>
    </row>
    <row r="18" spans="1:15">
      <c r="A18" s="2016" t="s">
        <v>422</v>
      </c>
      <c r="B18" s="183"/>
      <c r="C18" s="1708"/>
      <c r="D18" s="1732"/>
      <c r="E18" s="1731"/>
      <c r="F18" s="1708"/>
      <c r="G18" s="1730"/>
      <c r="H18" s="1732"/>
      <c r="I18" s="1708"/>
      <c r="J18" s="1708"/>
      <c r="K18" s="1708"/>
      <c r="L18" s="1708"/>
      <c r="M18" s="1708"/>
      <c r="N18" s="1730"/>
      <c r="O18" s="599">
        <f>SUM(C18:N18)</f>
        <v>0</v>
      </c>
    </row>
    <row r="19" spans="1:15">
      <c r="A19" s="2016" t="s">
        <v>423</v>
      </c>
      <c r="B19" s="183"/>
      <c r="C19" s="1708"/>
      <c r="D19" s="1732"/>
      <c r="E19" s="1731"/>
      <c r="F19" s="1708"/>
      <c r="G19" s="1730"/>
      <c r="H19" s="1732"/>
      <c r="I19" s="1708"/>
      <c r="J19" s="1708"/>
      <c r="K19" s="1708"/>
      <c r="L19" s="1708"/>
      <c r="M19" s="1708"/>
      <c r="N19" s="1730"/>
      <c r="O19" s="599">
        <f>SUM(C19:N19)</f>
        <v>0</v>
      </c>
    </row>
    <row r="20" spans="1:15">
      <c r="A20" s="2016" t="s">
        <v>424</v>
      </c>
      <c r="B20" s="183"/>
      <c r="C20" s="1708"/>
      <c r="D20" s="1732"/>
      <c r="E20" s="1731"/>
      <c r="F20" s="1708"/>
      <c r="G20" s="1730"/>
      <c r="H20" s="1732"/>
      <c r="I20" s="1708"/>
      <c r="J20" s="1708"/>
      <c r="K20" s="1708"/>
      <c r="L20" s="1708"/>
      <c r="M20" s="1708"/>
      <c r="N20" s="1730"/>
      <c r="O20" s="599">
        <f>SUM(C20:N20)</f>
        <v>0</v>
      </c>
    </row>
    <row r="21" spans="1:15">
      <c r="A21" s="266" t="s">
        <v>1560</v>
      </c>
      <c r="B21" s="183"/>
      <c r="C21" s="412">
        <f t="shared" ref="C21:N21" si="2">SUM(C18:C20)</f>
        <v>0</v>
      </c>
      <c r="D21" s="415">
        <f t="shared" si="2"/>
        <v>0</v>
      </c>
      <c r="E21" s="414">
        <f t="shared" si="2"/>
        <v>0</v>
      </c>
      <c r="F21" s="412">
        <f t="shared" si="2"/>
        <v>0</v>
      </c>
      <c r="G21" s="413">
        <f t="shared" si="2"/>
        <v>0</v>
      </c>
      <c r="H21" s="415">
        <f t="shared" si="2"/>
        <v>0</v>
      </c>
      <c r="I21" s="412">
        <f t="shared" si="2"/>
        <v>0</v>
      </c>
      <c r="J21" s="412">
        <f t="shared" si="2"/>
        <v>0</v>
      </c>
      <c r="K21" s="412">
        <f t="shared" si="2"/>
        <v>0</v>
      </c>
      <c r="L21" s="412">
        <f t="shared" si="2"/>
        <v>0</v>
      </c>
      <c r="M21" s="412">
        <f t="shared" si="2"/>
        <v>0</v>
      </c>
      <c r="N21" s="413">
        <f t="shared" si="2"/>
        <v>0</v>
      </c>
      <c r="O21" s="947">
        <f>SUM(C21:N21)</f>
        <v>0</v>
      </c>
    </row>
    <row r="22" spans="1:15" ht="5.0999999999999996" customHeight="1">
      <c r="A22" s="274"/>
      <c r="B22" s="183"/>
      <c r="C22" s="204"/>
      <c r="D22" s="203"/>
      <c r="E22" s="206"/>
      <c r="F22" s="204"/>
      <c r="G22" s="205"/>
      <c r="H22" s="203"/>
      <c r="I22" s="204"/>
      <c r="J22" s="204"/>
      <c r="K22" s="204"/>
      <c r="L22" s="204"/>
      <c r="M22" s="204"/>
      <c r="N22" s="205"/>
      <c r="O22" s="599"/>
    </row>
    <row r="23" spans="1:15">
      <c r="A23" s="282" t="s">
        <v>15</v>
      </c>
      <c r="B23" s="226"/>
      <c r="C23" s="231">
        <f>C15+C21</f>
        <v>0</v>
      </c>
      <c r="D23" s="232">
        <f t="shared" ref="D23:N23" si="3">D15+D21</f>
        <v>58584000</v>
      </c>
      <c r="E23" s="230">
        <f>E15+E21</f>
        <v>53130839</v>
      </c>
      <c r="F23" s="231">
        <f t="shared" si="3"/>
        <v>54817119</v>
      </c>
      <c r="G23" s="229">
        <f t="shared" si="3"/>
        <v>55075221</v>
      </c>
      <c r="H23" s="232">
        <f t="shared" si="3"/>
        <v>56823200</v>
      </c>
      <c r="I23" s="231">
        <f t="shared" si="3"/>
        <v>58123200</v>
      </c>
      <c r="J23" s="231">
        <f t="shared" si="3"/>
        <v>59950896</v>
      </c>
      <c r="K23" s="231">
        <f t="shared" si="3"/>
        <v>60250896</v>
      </c>
      <c r="L23" s="231">
        <f t="shared" si="3"/>
        <v>60550896</v>
      </c>
      <c r="M23" s="231">
        <f t="shared" si="3"/>
        <v>8400000</v>
      </c>
      <c r="N23" s="229">
        <f t="shared" si="3"/>
        <v>8700000</v>
      </c>
      <c r="O23" s="948">
        <f>O15+O21</f>
        <v>534406267</v>
      </c>
    </row>
    <row r="24" spans="1:15" ht="4.5" customHeight="1">
      <c r="A24" s="250"/>
      <c r="B24" s="183"/>
      <c r="C24" s="316"/>
      <c r="D24" s="317"/>
      <c r="E24" s="318"/>
      <c r="F24" s="316"/>
      <c r="G24" s="319"/>
      <c r="H24" s="317"/>
      <c r="I24" s="316"/>
      <c r="J24" s="316"/>
      <c r="K24" s="316"/>
      <c r="L24" s="316"/>
      <c r="M24" s="316"/>
      <c r="N24" s="319"/>
      <c r="O24" s="946"/>
    </row>
    <row r="25" spans="1:15">
      <c r="A25" s="266" t="s">
        <v>16</v>
      </c>
      <c r="B25" s="183"/>
      <c r="C25" s="316"/>
      <c r="D25" s="317"/>
      <c r="E25" s="318"/>
      <c r="F25" s="316"/>
      <c r="G25" s="319"/>
      <c r="H25" s="317"/>
      <c r="I25" s="316"/>
      <c r="J25" s="316"/>
      <c r="K25" s="316"/>
      <c r="L25" s="316"/>
      <c r="M25" s="316"/>
      <c r="N25" s="319"/>
      <c r="O25" s="946"/>
    </row>
    <row r="26" spans="1:15" ht="11.25" customHeight="1">
      <c r="A26" s="250" t="s">
        <v>1765</v>
      </c>
      <c r="B26" s="183">
        <v>2</v>
      </c>
      <c r="C26" s="316"/>
      <c r="D26" s="317"/>
      <c r="E26" s="318"/>
      <c r="F26" s="316"/>
      <c r="G26" s="319"/>
      <c r="H26" s="317"/>
      <c r="I26" s="316"/>
      <c r="J26" s="316"/>
      <c r="K26" s="316"/>
      <c r="L26" s="316"/>
      <c r="M26" s="316"/>
      <c r="N26" s="319"/>
      <c r="O26" s="946"/>
    </row>
    <row r="27" spans="1:15" ht="11.25" customHeight="1">
      <c r="A27" s="2016" t="s">
        <v>422</v>
      </c>
      <c r="B27" s="183"/>
      <c r="C27" s="2046"/>
      <c r="D27" s="2047"/>
      <c r="E27" s="2048"/>
      <c r="F27" s="2046"/>
      <c r="G27" s="2049"/>
      <c r="H27" s="2047"/>
      <c r="I27" s="2046"/>
      <c r="J27" s="2046"/>
      <c r="K27" s="2046"/>
      <c r="L27" s="2046"/>
      <c r="M27" s="2046"/>
      <c r="N27" s="2049"/>
      <c r="O27" s="599">
        <f>SUM(C27:N27)</f>
        <v>0</v>
      </c>
    </row>
    <row r="28" spans="1:15" ht="11.25" customHeight="1">
      <c r="A28" s="2016" t="s">
        <v>423</v>
      </c>
      <c r="B28" s="183"/>
      <c r="C28" s="1743"/>
      <c r="D28" s="1746"/>
      <c r="E28" s="1745"/>
      <c r="F28" s="1743"/>
      <c r="G28" s="1744"/>
      <c r="H28" s="1746"/>
      <c r="I28" s="1743"/>
      <c r="J28" s="1743"/>
      <c r="K28" s="1743"/>
      <c r="L28" s="1743"/>
      <c r="M28" s="1743"/>
      <c r="N28" s="1744"/>
      <c r="O28" s="599">
        <f>SUM(C28:N28)</f>
        <v>0</v>
      </c>
    </row>
    <row r="29" spans="1:15" ht="11.25" customHeight="1">
      <c r="A29" s="2016" t="s">
        <v>424</v>
      </c>
      <c r="B29" s="183"/>
      <c r="C29" s="1708"/>
      <c r="D29" s="1732"/>
      <c r="E29" s="1731"/>
      <c r="F29" s="1708"/>
      <c r="G29" s="1730"/>
      <c r="H29" s="1732"/>
      <c r="I29" s="1708"/>
      <c r="J29" s="1708"/>
      <c r="K29" s="1708"/>
      <c r="L29" s="1708"/>
      <c r="M29" s="1708"/>
      <c r="N29" s="1730"/>
      <c r="O29" s="599">
        <f>SUM(C29:N29)</f>
        <v>0</v>
      </c>
    </row>
    <row r="30" spans="1:15" ht="11.25" customHeight="1">
      <c r="A30" s="266" t="s">
        <v>1473</v>
      </c>
      <c r="B30" s="183"/>
      <c r="C30" s="214">
        <f t="shared" ref="C30:N30" si="4">SUM(C27:C29)</f>
        <v>0</v>
      </c>
      <c r="D30" s="213">
        <f t="shared" si="4"/>
        <v>0</v>
      </c>
      <c r="E30" s="216">
        <f t="shared" si="4"/>
        <v>0</v>
      </c>
      <c r="F30" s="214">
        <f t="shared" si="4"/>
        <v>0</v>
      </c>
      <c r="G30" s="215">
        <f t="shared" si="4"/>
        <v>0</v>
      </c>
      <c r="H30" s="213">
        <f t="shared" si="4"/>
        <v>0</v>
      </c>
      <c r="I30" s="214">
        <f t="shared" si="4"/>
        <v>0</v>
      </c>
      <c r="J30" s="214">
        <f t="shared" si="4"/>
        <v>0</v>
      </c>
      <c r="K30" s="214">
        <f t="shared" si="4"/>
        <v>0</v>
      </c>
      <c r="L30" s="214">
        <f t="shared" si="4"/>
        <v>0</v>
      </c>
      <c r="M30" s="214">
        <f t="shared" si="4"/>
        <v>0</v>
      </c>
      <c r="N30" s="215">
        <f t="shared" si="4"/>
        <v>0</v>
      </c>
      <c r="O30" s="947">
        <f>SUM(C30:N30)</f>
        <v>0</v>
      </c>
    </row>
    <row r="31" spans="1:15" ht="5.0999999999999996" customHeight="1">
      <c r="A31" s="274"/>
      <c r="B31" s="183"/>
      <c r="C31" s="204"/>
      <c r="D31" s="203"/>
      <c r="E31" s="206"/>
      <c r="F31" s="204"/>
      <c r="G31" s="205"/>
      <c r="H31" s="203"/>
      <c r="I31" s="204"/>
      <c r="J31" s="204"/>
      <c r="K31" s="204"/>
      <c r="L31" s="204"/>
      <c r="M31" s="204"/>
      <c r="N31" s="205"/>
      <c r="O31" s="599"/>
    </row>
    <row r="32" spans="1:15" ht="11.25" customHeight="1">
      <c r="A32" s="250" t="s">
        <v>1072</v>
      </c>
      <c r="B32" s="183">
        <v>2</v>
      </c>
      <c r="C32" s="204"/>
      <c r="D32" s="203"/>
      <c r="E32" s="206"/>
      <c r="F32" s="204"/>
      <c r="G32" s="205"/>
      <c r="H32" s="203"/>
      <c r="I32" s="204"/>
      <c r="J32" s="204"/>
      <c r="K32" s="204"/>
      <c r="L32" s="204"/>
      <c r="M32" s="204"/>
      <c r="N32" s="205"/>
      <c r="O32" s="599"/>
    </row>
    <row r="33" spans="1:15" ht="11.25" customHeight="1">
      <c r="A33" s="2016" t="s">
        <v>422</v>
      </c>
      <c r="B33" s="183"/>
      <c r="C33" s="1708"/>
      <c r="D33" s="1732"/>
      <c r="E33" s="1731"/>
      <c r="F33" s="1708"/>
      <c r="G33" s="1730"/>
      <c r="H33" s="1732"/>
      <c r="I33" s="1708"/>
      <c r="J33" s="1708"/>
      <c r="K33" s="1708"/>
      <c r="L33" s="1708"/>
      <c r="M33" s="1708"/>
      <c r="N33" s="1730"/>
      <c r="O33" s="599">
        <f>SUM(C33:N33)</f>
        <v>0</v>
      </c>
    </row>
    <row r="34" spans="1:15" ht="11.25" customHeight="1">
      <c r="A34" s="2016" t="s">
        <v>423</v>
      </c>
      <c r="B34" s="183"/>
      <c r="C34" s="1708"/>
      <c r="D34" s="1732"/>
      <c r="E34" s="1731"/>
      <c r="F34" s="1708"/>
      <c r="G34" s="1730"/>
      <c r="H34" s="1732"/>
      <c r="I34" s="1708"/>
      <c r="J34" s="1708"/>
      <c r="K34" s="1708"/>
      <c r="L34" s="1708"/>
      <c r="M34" s="1708"/>
      <c r="N34" s="1730"/>
      <c r="O34" s="599">
        <f>SUM(C34:N34)</f>
        <v>0</v>
      </c>
    </row>
    <row r="35" spans="1:15" ht="11.25" customHeight="1">
      <c r="A35" s="2016" t="s">
        <v>424</v>
      </c>
      <c r="B35" s="183"/>
      <c r="C35" s="1708"/>
      <c r="D35" s="1732"/>
      <c r="E35" s="1731"/>
      <c r="F35" s="1708"/>
      <c r="G35" s="1730"/>
      <c r="H35" s="1732"/>
      <c r="I35" s="1708"/>
      <c r="J35" s="1708"/>
      <c r="K35" s="1708"/>
      <c r="L35" s="1708"/>
      <c r="M35" s="1708"/>
      <c r="N35" s="1730"/>
      <c r="O35" s="599">
        <f>SUM(C35:N35)</f>
        <v>0</v>
      </c>
    </row>
    <row r="36" spans="1:15" ht="11.25" customHeight="1">
      <c r="A36" s="266" t="s">
        <v>1074</v>
      </c>
      <c r="B36" s="183"/>
      <c r="C36" s="412">
        <f t="shared" ref="C36:N36" si="5">SUM(C33:C35)</f>
        <v>0</v>
      </c>
      <c r="D36" s="415">
        <f t="shared" si="5"/>
        <v>0</v>
      </c>
      <c r="E36" s="414">
        <f t="shared" si="5"/>
        <v>0</v>
      </c>
      <c r="F36" s="412">
        <f t="shared" si="5"/>
        <v>0</v>
      </c>
      <c r="G36" s="413">
        <f t="shared" si="5"/>
        <v>0</v>
      </c>
      <c r="H36" s="415">
        <f t="shared" si="5"/>
        <v>0</v>
      </c>
      <c r="I36" s="412">
        <f t="shared" si="5"/>
        <v>0</v>
      </c>
      <c r="J36" s="412">
        <f t="shared" si="5"/>
        <v>0</v>
      </c>
      <c r="K36" s="412">
        <f t="shared" si="5"/>
        <v>0</v>
      </c>
      <c r="L36" s="412">
        <f t="shared" si="5"/>
        <v>0</v>
      </c>
      <c r="M36" s="412">
        <f t="shared" si="5"/>
        <v>0</v>
      </c>
      <c r="N36" s="413">
        <f t="shared" si="5"/>
        <v>0</v>
      </c>
      <c r="O36" s="947">
        <f>SUM(C36:N36)</f>
        <v>0</v>
      </c>
    </row>
    <row r="37" spans="1:15" ht="5.0999999999999996" customHeight="1">
      <c r="A37" s="274"/>
      <c r="B37" s="183"/>
      <c r="C37" s="204"/>
      <c r="D37" s="203"/>
      <c r="E37" s="206"/>
      <c r="F37" s="204"/>
      <c r="G37" s="205"/>
      <c r="H37" s="203"/>
      <c r="I37" s="204"/>
      <c r="J37" s="204"/>
      <c r="K37" s="204"/>
      <c r="L37" s="204"/>
      <c r="M37" s="204"/>
      <c r="N37" s="205"/>
      <c r="O37" s="1097"/>
    </row>
    <row r="38" spans="1:15" ht="11.25" customHeight="1">
      <c r="A38" s="250" t="s">
        <v>1073</v>
      </c>
      <c r="B38" s="183">
        <v>2</v>
      </c>
      <c r="C38" s="219"/>
      <c r="D38" s="218"/>
      <c r="E38" s="221"/>
      <c r="F38" s="219"/>
      <c r="G38" s="220"/>
      <c r="H38" s="218"/>
      <c r="I38" s="219"/>
      <c r="J38" s="219"/>
      <c r="K38" s="219"/>
      <c r="L38" s="219"/>
      <c r="M38" s="219"/>
      <c r="N38" s="220"/>
      <c r="O38" s="599"/>
    </row>
    <row r="39" spans="1:15" ht="11.25" customHeight="1">
      <c r="A39" s="2016" t="s">
        <v>422</v>
      </c>
      <c r="B39" s="183"/>
      <c r="C39" s="1708"/>
      <c r="D39" s="1732"/>
      <c r="E39" s="1731"/>
      <c r="F39" s="1708"/>
      <c r="G39" s="1730"/>
      <c r="H39" s="1732"/>
      <c r="I39" s="1708"/>
      <c r="J39" s="1708"/>
      <c r="K39" s="1708"/>
      <c r="L39" s="1708"/>
      <c r="M39" s="1708"/>
      <c r="N39" s="1730"/>
      <c r="O39" s="599">
        <f>SUM(C39:N39)</f>
        <v>0</v>
      </c>
    </row>
    <row r="40" spans="1:15" ht="11.25" customHeight="1">
      <c r="A40" s="2016" t="s">
        <v>423</v>
      </c>
      <c r="B40" s="183"/>
      <c r="C40" s="1708"/>
      <c r="D40" s="1732"/>
      <c r="E40" s="1731"/>
      <c r="F40" s="1708"/>
      <c r="G40" s="1730"/>
      <c r="H40" s="1732"/>
      <c r="I40" s="1708"/>
      <c r="J40" s="1708"/>
      <c r="K40" s="1708"/>
      <c r="L40" s="1708"/>
      <c r="M40" s="1708"/>
      <c r="N40" s="1730"/>
      <c r="O40" s="599">
        <f>SUM(C40:N40)</f>
        <v>0</v>
      </c>
    </row>
    <row r="41" spans="1:15" ht="11.25" customHeight="1">
      <c r="A41" s="2016" t="s">
        <v>424</v>
      </c>
      <c r="B41" s="183"/>
      <c r="C41" s="1708"/>
      <c r="D41" s="1732"/>
      <c r="E41" s="1731"/>
      <c r="F41" s="1708"/>
      <c r="G41" s="1730"/>
      <c r="H41" s="1732"/>
      <c r="I41" s="1708"/>
      <c r="J41" s="1708"/>
      <c r="K41" s="1708"/>
      <c r="L41" s="1708"/>
      <c r="M41" s="1708"/>
      <c r="N41" s="1730"/>
      <c r="O41" s="599">
        <f>SUM(C41:N41)</f>
        <v>0</v>
      </c>
    </row>
    <row r="42" spans="1:15" ht="11.25" customHeight="1">
      <c r="A42" s="266" t="s">
        <v>1560</v>
      </c>
      <c r="B42" s="183"/>
      <c r="C42" s="412">
        <f t="shared" ref="C42:N42" si="6">SUM(C39:C41)</f>
        <v>0</v>
      </c>
      <c r="D42" s="415">
        <f t="shared" si="6"/>
        <v>0</v>
      </c>
      <c r="E42" s="414">
        <f t="shared" si="6"/>
        <v>0</v>
      </c>
      <c r="F42" s="412">
        <f t="shared" si="6"/>
        <v>0</v>
      </c>
      <c r="G42" s="413">
        <f t="shared" si="6"/>
        <v>0</v>
      </c>
      <c r="H42" s="415">
        <f t="shared" si="6"/>
        <v>0</v>
      </c>
      <c r="I42" s="412">
        <f t="shared" si="6"/>
        <v>0</v>
      </c>
      <c r="J42" s="412">
        <f t="shared" si="6"/>
        <v>0</v>
      </c>
      <c r="K42" s="412">
        <f t="shared" si="6"/>
        <v>0</v>
      </c>
      <c r="L42" s="412">
        <f t="shared" si="6"/>
        <v>0</v>
      </c>
      <c r="M42" s="412">
        <f t="shared" si="6"/>
        <v>0</v>
      </c>
      <c r="N42" s="413">
        <f t="shared" si="6"/>
        <v>0</v>
      </c>
      <c r="O42" s="947">
        <f>SUM(C42:N42)</f>
        <v>0</v>
      </c>
    </row>
    <row r="43" spans="1:15" ht="5.0999999999999996" customHeight="1">
      <c r="A43" s="274"/>
      <c r="B43" s="183"/>
      <c r="C43" s="204"/>
      <c r="D43" s="203"/>
      <c r="E43" s="206"/>
      <c r="F43" s="204"/>
      <c r="G43" s="205"/>
      <c r="H43" s="203"/>
      <c r="I43" s="204"/>
      <c r="J43" s="204"/>
      <c r="K43" s="204"/>
      <c r="L43" s="204"/>
      <c r="M43" s="204"/>
      <c r="N43" s="205"/>
      <c r="O43" s="599"/>
    </row>
    <row r="44" spans="1:15" ht="11.25" customHeight="1">
      <c r="A44" s="282" t="s">
        <v>17</v>
      </c>
      <c r="B44" s="226"/>
      <c r="C44" s="231">
        <f>C36+C42</f>
        <v>0</v>
      </c>
      <c r="D44" s="232">
        <f t="shared" ref="D44:O44" si="7">D36+D42</f>
        <v>0</v>
      </c>
      <c r="E44" s="230">
        <f t="shared" si="7"/>
        <v>0</v>
      </c>
      <c r="F44" s="231">
        <f t="shared" si="7"/>
        <v>0</v>
      </c>
      <c r="G44" s="229">
        <f t="shared" si="7"/>
        <v>0</v>
      </c>
      <c r="H44" s="232">
        <f t="shared" si="7"/>
        <v>0</v>
      </c>
      <c r="I44" s="231">
        <f t="shared" si="7"/>
        <v>0</v>
      </c>
      <c r="J44" s="231">
        <f t="shared" si="7"/>
        <v>0</v>
      </c>
      <c r="K44" s="231">
        <f t="shared" si="7"/>
        <v>0</v>
      </c>
      <c r="L44" s="231">
        <f t="shared" si="7"/>
        <v>0</v>
      </c>
      <c r="M44" s="231">
        <f t="shared" si="7"/>
        <v>0</v>
      </c>
      <c r="N44" s="229">
        <f t="shared" si="7"/>
        <v>0</v>
      </c>
      <c r="O44" s="948">
        <f t="shared" si="7"/>
        <v>0</v>
      </c>
    </row>
    <row r="45" spans="1:15" s="722" customFormat="1">
      <c r="A45" s="1305" t="str">
        <f>head27a</f>
        <v>References</v>
      </c>
      <c r="B45" s="1065"/>
      <c r="C45" s="1069"/>
      <c r="D45" s="1069"/>
      <c r="E45" s="1069"/>
      <c r="F45" s="1069"/>
      <c r="G45" s="1069"/>
      <c r="H45" s="1069"/>
      <c r="I45" s="1069"/>
      <c r="J45" s="1069"/>
      <c r="K45" s="1069"/>
      <c r="L45" s="1069"/>
      <c r="M45" s="1069"/>
      <c r="N45" s="1069"/>
      <c r="O45" s="1107"/>
    </row>
    <row r="46" spans="1:15" s="722" customFormat="1" ht="11.25" customHeight="1">
      <c r="A46" s="1460" t="s">
        <v>18</v>
      </c>
      <c r="B46" s="1065"/>
      <c r="C46" s="1068"/>
      <c r="D46" s="1069"/>
      <c r="E46" s="1069"/>
      <c r="F46" s="1069"/>
      <c r="G46" s="1069"/>
    </row>
    <row r="47" spans="1:15" s="722" customFormat="1" ht="11.25" customHeight="1">
      <c r="A47" s="1306" t="s">
        <v>1570</v>
      </c>
      <c r="B47" s="1065"/>
      <c r="C47" s="1068"/>
      <c r="D47" s="1069"/>
      <c r="E47" s="1069"/>
      <c r="F47" s="1069"/>
      <c r="G47" s="1069"/>
    </row>
    <row r="48" spans="1:15" ht="24.75" customHeight="1">
      <c r="A48" s="2466" t="s">
        <v>724</v>
      </c>
      <c r="B48" s="2467"/>
      <c r="C48" s="2467"/>
      <c r="D48" s="2467"/>
      <c r="E48" s="2467"/>
      <c r="F48" s="2467"/>
      <c r="G48" s="2467"/>
      <c r="H48" s="2467"/>
      <c r="I48" s="2467"/>
      <c r="J48" s="2467"/>
      <c r="K48" s="2467"/>
      <c r="L48" s="2467"/>
      <c r="M48" s="2467"/>
      <c r="N48" s="2467"/>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workbookViewId="0">
      <pane xSplit="2" ySplit="3" topLeftCell="C64" activePane="bottomRight" state="frozen"/>
      <selection activeCell="M84" sqref="M84"/>
      <selection pane="topRight" activeCell="M84" sqref="M84"/>
      <selection pane="bottomLeft" activeCell="M84" sqref="M84"/>
      <selection pane="bottomRight" activeCell="I13" sqref="I13"/>
    </sheetView>
  </sheetViews>
  <sheetFormatPr defaultRowHeight="12.75"/>
  <cols>
    <col min="1" max="1" width="30.7109375" style="150" customWidth="1"/>
    <col min="2" max="2" width="3" style="248" customWidth="1"/>
    <col min="3" max="11" width="9.28515625" style="150" customWidth="1"/>
    <col min="12" max="12" width="9.71093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"&amp;TableA34a</f>
        <v>KZN225 Msunduzi - Supporting Table SA34a Capital expenditure on new assets by asset class</v>
      </c>
      <c r="B1" s="148"/>
      <c r="C1" s="148"/>
      <c r="D1" s="148"/>
      <c r="E1" s="148"/>
      <c r="F1" s="148"/>
      <c r="G1" s="148"/>
      <c r="H1" s="148"/>
      <c r="I1" s="148"/>
      <c r="J1" s="148"/>
      <c r="K1" s="148"/>
    </row>
    <row r="2" spans="1:12" ht="28.5" customHeight="1">
      <c r="A2" s="1011" t="str">
        <f>desc</f>
        <v>Description</v>
      </c>
      <c r="B2" s="422" t="str">
        <f>head27</f>
        <v>Ref</v>
      </c>
      <c r="C2" s="151" t="str">
        <f>head1b</f>
        <v>2007/8</v>
      </c>
      <c r="D2" s="769" t="str">
        <f>head1A</f>
        <v>2008/9</v>
      </c>
      <c r="E2" s="147" t="str">
        <f>Head1</f>
        <v>2009/10</v>
      </c>
      <c r="F2" s="2415" t="str">
        <f>Head2</f>
        <v>Current Year 2010/11</v>
      </c>
      <c r="G2" s="2416"/>
      <c r="H2" s="2416"/>
      <c r="I2" s="2412" t="str">
        <f>Head3</f>
        <v>2011/12 Medium Term Revenue &amp; Expenditure Framework</v>
      </c>
      <c r="J2" s="2413"/>
      <c r="K2" s="2414"/>
    </row>
    <row r="3" spans="1:12" ht="25.5">
      <c r="A3" s="181" t="s">
        <v>703</v>
      </c>
      <c r="B3" s="1012">
        <v>1</v>
      </c>
      <c r="C3" s="393" t="str">
        <f>Head5</f>
        <v>Audited Outcome</v>
      </c>
      <c r="D3" s="1025" t="str">
        <f>Head5</f>
        <v>Audited Outcome</v>
      </c>
      <c r="E3" s="394" t="str">
        <f>Head5</f>
        <v>Audited Outcome</v>
      </c>
      <c r="F3" s="300" t="str">
        <f>Head6</f>
        <v>Original Budget</v>
      </c>
      <c r="G3" s="393" t="str">
        <f>Head7</f>
        <v>Adjusted Budget</v>
      </c>
      <c r="H3" s="392" t="str">
        <f>Head8</f>
        <v>Full Year Forecast</v>
      </c>
      <c r="I3" s="300" t="str">
        <f>Head9</f>
        <v>Budget Year 2011/12</v>
      </c>
      <c r="J3" s="393" t="str">
        <f>Head10</f>
        <v>Budget Year +1 2012/13</v>
      </c>
      <c r="K3" s="394" t="str">
        <f>Head11</f>
        <v>Budget Year +2 2013/14</v>
      </c>
    </row>
    <row r="4" spans="1:12" ht="11.25" customHeight="1">
      <c r="A4" s="875" t="s">
        <v>1327</v>
      </c>
      <c r="B4" s="762"/>
      <c r="C4" s="1127"/>
      <c r="D4" s="312"/>
      <c r="E4" s="315"/>
      <c r="F4" s="314"/>
      <c r="G4" s="312"/>
      <c r="H4" s="313"/>
      <c r="I4" s="314"/>
      <c r="J4" s="312"/>
      <c r="K4" s="315"/>
      <c r="L4" s="373"/>
    </row>
    <row r="5" spans="1:12" ht="5.0999999999999996" customHeight="1">
      <c r="A5" s="250"/>
      <c r="B5" s="183"/>
      <c r="C5" s="316"/>
      <c r="D5" s="316"/>
      <c r="E5" s="319"/>
      <c r="F5" s="318"/>
      <c r="G5" s="316"/>
      <c r="H5" s="317"/>
      <c r="I5" s="318"/>
      <c r="J5" s="316"/>
      <c r="K5" s="319"/>
      <c r="L5" s="373"/>
    </row>
    <row r="6" spans="1:12" ht="11.25" customHeight="1">
      <c r="A6" s="250" t="s">
        <v>1059</v>
      </c>
      <c r="B6" s="183"/>
      <c r="C6" s="397">
        <f t="shared" ref="C6:K6" si="0">C7+C10+C14+C18+C21</f>
        <v>141939901</v>
      </c>
      <c r="D6" s="397">
        <f>D7+D10+D14+D18+D21</f>
        <v>207742045</v>
      </c>
      <c r="E6" s="346">
        <f>E7+E10+E14+E18+E21</f>
        <v>126493934</v>
      </c>
      <c r="F6" s="398">
        <f t="shared" si="0"/>
        <v>163248000</v>
      </c>
      <c r="G6" s="397">
        <f t="shared" si="0"/>
        <v>251558068</v>
      </c>
      <c r="H6" s="399">
        <f t="shared" si="0"/>
        <v>251558068</v>
      </c>
      <c r="I6" s="398">
        <f t="shared" si="0"/>
        <v>141833000</v>
      </c>
      <c r="J6" s="397">
        <f t="shared" si="0"/>
        <v>47000000</v>
      </c>
      <c r="K6" s="346">
        <f t="shared" si="0"/>
        <v>0</v>
      </c>
      <c r="L6" s="1647"/>
    </row>
    <row r="7" spans="1:12" s="1623" customFormat="1" ht="13.5">
      <c r="A7" s="251" t="s">
        <v>566</v>
      </c>
      <c r="B7" s="183"/>
      <c r="C7" s="1139">
        <f>SUM(C8:C9)</f>
        <v>62842123</v>
      </c>
      <c r="D7" s="1139">
        <f t="shared" ref="D7:K7" si="1">SUM(D8:D9)</f>
        <v>134591834</v>
      </c>
      <c r="E7" s="1467">
        <f t="shared" si="1"/>
        <v>32581294</v>
      </c>
      <c r="F7" s="1143">
        <f t="shared" si="1"/>
        <v>79813000</v>
      </c>
      <c r="G7" s="1139">
        <f t="shared" si="1"/>
        <v>99813000</v>
      </c>
      <c r="H7" s="1188">
        <f t="shared" si="1"/>
        <v>99813000</v>
      </c>
      <c r="I7" s="1468">
        <f t="shared" si="1"/>
        <v>4500000</v>
      </c>
      <c r="J7" s="1139">
        <f t="shared" si="1"/>
        <v>4500000</v>
      </c>
      <c r="K7" s="1188">
        <f t="shared" si="1"/>
        <v>0</v>
      </c>
      <c r="L7" s="373"/>
    </row>
    <row r="8" spans="1:12" s="1623" customFormat="1" ht="13.5">
      <c r="A8" s="1333" t="s">
        <v>567</v>
      </c>
      <c r="B8" s="183"/>
      <c r="C8" s="1081">
        <f>3514929+19048045+40232649</f>
        <v>62795623</v>
      </c>
      <c r="D8" s="1082">
        <f>16417049+118174785</f>
        <v>134591834</v>
      </c>
      <c r="E8" s="1084">
        <v>32581294</v>
      </c>
      <c r="F8" s="1080">
        <v>79813000</v>
      </c>
      <c r="G8" s="1708">
        <v>99813000</v>
      </c>
      <c r="H8" s="1732">
        <v>99813000</v>
      </c>
      <c r="I8" s="1081">
        <v>4500000</v>
      </c>
      <c r="J8" s="1708">
        <v>4500000</v>
      </c>
      <c r="K8" s="1730"/>
      <c r="L8" s="1647"/>
    </row>
    <row r="9" spans="1:12" s="1623" customFormat="1" ht="13.5">
      <c r="A9" s="1333" t="s">
        <v>568</v>
      </c>
      <c r="B9" s="183"/>
      <c r="C9" s="1081">
        <f>46500</f>
        <v>46500</v>
      </c>
      <c r="D9" s="1082"/>
      <c r="E9" s="1084"/>
      <c r="F9" s="1731"/>
      <c r="G9" s="1708"/>
      <c r="H9" s="1732"/>
      <c r="I9" s="1081"/>
      <c r="J9" s="1708"/>
      <c r="K9" s="1730"/>
      <c r="L9" s="1648"/>
    </row>
    <row r="10" spans="1:12" s="1623" customFormat="1" ht="13.5">
      <c r="A10" s="251" t="s">
        <v>21</v>
      </c>
      <c r="B10" s="183"/>
      <c r="C10" s="1091">
        <f>SUM(C11:C13)</f>
        <v>37577398</v>
      </c>
      <c r="D10" s="1091">
        <f>SUM(D11:D13)</f>
        <v>7000000</v>
      </c>
      <c r="E10" s="1469">
        <f t="shared" ref="E10:K10" si="2">SUM(E11:E13)</f>
        <v>21458564</v>
      </c>
      <c r="F10" s="1095">
        <f t="shared" si="2"/>
        <v>8419000</v>
      </c>
      <c r="G10" s="1091">
        <f t="shared" si="2"/>
        <v>61729068</v>
      </c>
      <c r="H10" s="1191">
        <f t="shared" si="2"/>
        <v>61729068</v>
      </c>
      <c r="I10" s="1470">
        <f t="shared" si="2"/>
        <v>34000000</v>
      </c>
      <c r="J10" s="1091">
        <f t="shared" si="2"/>
        <v>0</v>
      </c>
      <c r="K10" s="1191">
        <f t="shared" si="2"/>
        <v>0</v>
      </c>
      <c r="L10" s="1648"/>
    </row>
    <row r="11" spans="1:12" s="1623" customFormat="1" ht="13.5">
      <c r="A11" s="1333" t="s">
        <v>22</v>
      </c>
      <c r="B11" s="183"/>
      <c r="C11" s="1709"/>
      <c r="D11" s="1084"/>
      <c r="E11" s="1084"/>
      <c r="F11" s="1710"/>
      <c r="G11" s="1708"/>
      <c r="H11" s="1711"/>
      <c r="I11" s="1711"/>
      <c r="J11" s="1708"/>
      <c r="K11" s="1711"/>
      <c r="L11" s="1648"/>
    </row>
    <row r="12" spans="1:12" s="1623" customFormat="1" ht="13.5">
      <c r="A12" s="1333" t="s">
        <v>23</v>
      </c>
      <c r="B12" s="183"/>
      <c r="C12" s="1709">
        <f>15790757+19652262+890973</f>
        <v>36333992</v>
      </c>
      <c r="D12" s="1084">
        <v>6000000</v>
      </c>
      <c r="E12" s="1084">
        <v>15056719</v>
      </c>
      <c r="F12" s="1080">
        <v>8419000</v>
      </c>
      <c r="G12" s="1708">
        <v>61729068</v>
      </c>
      <c r="H12" s="1711">
        <v>61729068</v>
      </c>
      <c r="I12" s="1711">
        <f>56355000-22355000</f>
        <v>34000000</v>
      </c>
      <c r="J12" s="1708"/>
      <c r="K12" s="1711"/>
      <c r="L12" s="1648"/>
    </row>
    <row r="13" spans="1:12" s="1623" customFormat="1" ht="13.5">
      <c r="A13" s="1333" t="s">
        <v>139</v>
      </c>
      <c r="B13" s="183"/>
      <c r="C13" s="1709">
        <f>1243406</f>
        <v>1243406</v>
      </c>
      <c r="D13" s="1084">
        <v>1000000</v>
      </c>
      <c r="E13" s="1084">
        <v>6401845</v>
      </c>
      <c r="F13" s="1710"/>
      <c r="G13" s="1708"/>
      <c r="H13" s="1711"/>
      <c r="I13" s="1711"/>
      <c r="J13" s="1708"/>
      <c r="K13" s="1711"/>
      <c r="L13" s="1648"/>
    </row>
    <row r="14" spans="1:12" s="1623" customFormat="1" ht="13.5">
      <c r="A14" s="255" t="s">
        <v>24</v>
      </c>
      <c r="B14" s="351"/>
      <c r="C14" s="1091">
        <f>SUM(C15:C17)</f>
        <v>7624456</v>
      </c>
      <c r="D14" s="1091">
        <f t="shared" ref="D14:K14" si="3">SUM(D15:D17)</f>
        <v>9723252</v>
      </c>
      <c r="E14" s="1469">
        <f t="shared" si="3"/>
        <v>16849925</v>
      </c>
      <c r="F14" s="1095">
        <f t="shared" si="3"/>
        <v>4000000</v>
      </c>
      <c r="G14" s="1091">
        <f t="shared" si="3"/>
        <v>4000000</v>
      </c>
      <c r="H14" s="1191">
        <f t="shared" si="3"/>
        <v>4000000</v>
      </c>
      <c r="I14" s="1470">
        <f t="shared" si="3"/>
        <v>43429406</v>
      </c>
      <c r="J14" s="1091">
        <f t="shared" si="3"/>
        <v>31000000</v>
      </c>
      <c r="K14" s="1191">
        <f t="shared" si="3"/>
        <v>0</v>
      </c>
      <c r="L14" s="1648"/>
    </row>
    <row r="15" spans="1:12" s="1623" customFormat="1" ht="13.5">
      <c r="A15" s="1333" t="s">
        <v>25</v>
      </c>
      <c r="B15" s="183"/>
      <c r="C15" s="1709"/>
      <c r="D15" s="1084"/>
      <c r="E15" s="1084"/>
      <c r="F15" s="1710"/>
      <c r="G15" s="1708"/>
      <c r="H15" s="1711"/>
      <c r="I15" s="1711">
        <v>12800000</v>
      </c>
      <c r="J15" s="1708">
        <v>31000000</v>
      </c>
      <c r="K15" s="1711"/>
      <c r="L15" s="1648"/>
    </row>
    <row r="16" spans="1:12" s="1623" customFormat="1" ht="13.5">
      <c r="A16" s="1333" t="s">
        <v>26</v>
      </c>
      <c r="B16" s="183"/>
      <c r="C16" s="1709"/>
      <c r="D16" s="1084"/>
      <c r="E16" s="1084"/>
      <c r="F16" s="1710"/>
      <c r="G16" s="1708"/>
      <c r="H16" s="1711"/>
      <c r="I16" s="1711"/>
      <c r="J16" s="1708"/>
      <c r="K16" s="1711"/>
      <c r="L16" s="1648"/>
    </row>
    <row r="17" spans="1:12" s="1623" customFormat="1" ht="13.5">
      <c r="A17" s="1333" t="s">
        <v>27</v>
      </c>
      <c r="B17" s="183"/>
      <c r="C17" s="1709">
        <f>2434000+5190456</f>
        <v>7624456</v>
      </c>
      <c r="D17" s="1084">
        <f>3373252+6350000</f>
        <v>9723252</v>
      </c>
      <c r="E17" s="1084">
        <v>16849925</v>
      </c>
      <c r="F17" s="1080">
        <v>4000000</v>
      </c>
      <c r="G17" s="1708">
        <v>4000000</v>
      </c>
      <c r="H17" s="1711">
        <v>4000000</v>
      </c>
      <c r="I17" s="1708">
        <f>33537406-2908000</f>
        <v>30629406</v>
      </c>
      <c r="J17" s="1708"/>
      <c r="K17" s="1711"/>
      <c r="L17" s="1648"/>
    </row>
    <row r="18" spans="1:12" s="1623" customFormat="1" ht="13.5">
      <c r="A18" s="255" t="s">
        <v>28</v>
      </c>
      <c r="B18" s="183"/>
      <c r="C18" s="1091">
        <f>SUM(C19:C20)</f>
        <v>27010629</v>
      </c>
      <c r="D18" s="1091">
        <f t="shared" ref="D18:K18" si="4">SUM(D19:D20)</f>
        <v>54221252</v>
      </c>
      <c r="E18" s="1469">
        <f t="shared" si="4"/>
        <v>0</v>
      </c>
      <c r="F18" s="1095">
        <f t="shared" si="4"/>
        <v>68445000</v>
      </c>
      <c r="G18" s="1091">
        <f t="shared" si="4"/>
        <v>68445000</v>
      </c>
      <c r="H18" s="1191">
        <f t="shared" si="4"/>
        <v>68445000</v>
      </c>
      <c r="I18" s="1470">
        <f t="shared" si="4"/>
        <v>0</v>
      </c>
      <c r="J18" s="1091">
        <f t="shared" si="4"/>
        <v>0</v>
      </c>
      <c r="K18" s="1191">
        <f t="shared" si="4"/>
        <v>0</v>
      </c>
      <c r="L18" s="1648"/>
    </row>
    <row r="19" spans="1:12" s="1623" customFormat="1" ht="13.5">
      <c r="A19" s="1333" t="s">
        <v>27</v>
      </c>
      <c r="B19" s="183"/>
      <c r="C19" s="1709">
        <f>2232639+24777990</f>
        <v>27010629</v>
      </c>
      <c r="D19" s="1084">
        <f>52221252+2000000</f>
        <v>54221252</v>
      </c>
      <c r="E19" s="1084"/>
      <c r="F19" s="1080">
        <v>68445000</v>
      </c>
      <c r="G19" s="1708">
        <v>68445000</v>
      </c>
      <c r="H19" s="1709">
        <v>68445000</v>
      </c>
      <c r="I19" s="1891"/>
      <c r="J19" s="1708"/>
      <c r="K19" s="1711"/>
      <c r="L19" s="1648"/>
    </row>
    <row r="20" spans="1:12" s="1623" customFormat="1" ht="13.5">
      <c r="A20" s="1333" t="s">
        <v>29</v>
      </c>
      <c r="B20" s="183"/>
      <c r="C20" s="1709"/>
      <c r="D20" s="1084"/>
      <c r="E20" s="1084"/>
      <c r="F20" s="1710"/>
      <c r="G20" s="1708"/>
      <c r="H20" s="1709"/>
      <c r="I20" s="1891"/>
      <c r="J20" s="1708"/>
      <c r="K20" s="1711"/>
      <c r="L20" s="1648"/>
    </row>
    <row r="21" spans="1:12" s="1623" customFormat="1" ht="13.5">
      <c r="A21" s="251" t="s">
        <v>30</v>
      </c>
      <c r="B21" s="183"/>
      <c r="C21" s="1091">
        <f>SUM(C22:C25)</f>
        <v>6885295</v>
      </c>
      <c r="D21" s="1091">
        <f t="shared" ref="D21:K21" si="5">SUM(D22:D25)</f>
        <v>2205707</v>
      </c>
      <c r="E21" s="1091">
        <f t="shared" si="5"/>
        <v>55604151</v>
      </c>
      <c r="F21" s="1095">
        <f t="shared" si="5"/>
        <v>2571000</v>
      </c>
      <c r="G21" s="1091">
        <f t="shared" si="5"/>
        <v>17571000</v>
      </c>
      <c r="H21" s="1469">
        <f t="shared" si="5"/>
        <v>17571000</v>
      </c>
      <c r="I21" s="1095">
        <f t="shared" si="5"/>
        <v>59903594</v>
      </c>
      <c r="J21" s="1091">
        <f t="shared" si="5"/>
        <v>11500000</v>
      </c>
      <c r="K21" s="1191">
        <f t="shared" si="5"/>
        <v>0</v>
      </c>
      <c r="L21" s="1648"/>
    </row>
    <row r="22" spans="1:12" s="1623" customFormat="1" ht="13.5">
      <c r="A22" s="1333" t="s">
        <v>1171</v>
      </c>
      <c r="B22" s="183"/>
      <c r="C22" s="1083">
        <f>1605295</f>
        <v>1605295</v>
      </c>
      <c r="D22" s="1082"/>
      <c r="E22" s="1084">
        <v>53158188</v>
      </c>
      <c r="F22" s="1080">
        <v>2302000</v>
      </c>
      <c r="G22" s="1708">
        <v>2302000</v>
      </c>
      <c r="H22" s="1732">
        <v>2302000</v>
      </c>
      <c r="I22" s="1891">
        <v>59903594</v>
      </c>
      <c r="J22" s="1708">
        <v>11500000</v>
      </c>
      <c r="K22" s="1711"/>
      <c r="L22" s="1647"/>
    </row>
    <row r="23" spans="1:12" s="1623" customFormat="1" ht="13.5">
      <c r="A23" s="1333" t="s">
        <v>332</v>
      </c>
      <c r="B23" s="183">
        <v>2</v>
      </c>
      <c r="C23" s="1081"/>
      <c r="D23" s="1082"/>
      <c r="E23" s="1084"/>
      <c r="F23" s="1731"/>
      <c r="G23" s="1708"/>
      <c r="H23" s="1732"/>
      <c r="I23" s="1891"/>
      <c r="J23" s="1708"/>
      <c r="K23" s="1711"/>
      <c r="L23" s="1648"/>
    </row>
    <row r="24" spans="1:12" s="1623" customFormat="1" ht="13.5">
      <c r="A24" s="1333" t="s">
        <v>140</v>
      </c>
      <c r="B24" s="183"/>
      <c r="C24" s="1081"/>
      <c r="D24" s="1082"/>
      <c r="E24" s="1084"/>
      <c r="F24" s="1731"/>
      <c r="G24" s="1708"/>
      <c r="H24" s="1732"/>
      <c r="I24" s="1891"/>
      <c r="J24" s="1708"/>
      <c r="K24" s="1730"/>
      <c r="L24" s="1648"/>
    </row>
    <row r="25" spans="1:12" s="1623" customFormat="1" ht="13.5">
      <c r="A25" s="1333" t="s">
        <v>301</v>
      </c>
      <c r="B25" s="183">
        <v>3</v>
      </c>
      <c r="C25" s="1081">
        <v>5280000</v>
      </c>
      <c r="D25" s="1082">
        <v>2205707</v>
      </c>
      <c r="E25" s="1084">
        <f>75791+2370172</f>
        <v>2445963</v>
      </c>
      <c r="F25" s="1080">
        <v>269000</v>
      </c>
      <c r="G25" s="1708">
        <v>15269000</v>
      </c>
      <c r="H25" s="1732">
        <v>15269000</v>
      </c>
      <c r="I25" s="1891"/>
      <c r="J25" s="1708"/>
      <c r="K25" s="1730"/>
      <c r="L25" s="1648"/>
    </row>
    <row r="26" spans="1:12" ht="5.0999999999999996" customHeight="1">
      <c r="A26" s="274"/>
      <c r="B26" s="183"/>
      <c r="C26" s="204"/>
      <c r="D26" s="204"/>
      <c r="E26" s="205"/>
      <c r="F26" s="206"/>
      <c r="G26" s="204"/>
      <c r="H26" s="203"/>
      <c r="I26" s="206"/>
      <c r="J26" s="204"/>
      <c r="K26" s="205"/>
      <c r="L26" s="373"/>
    </row>
    <row r="27" spans="1:12" ht="17.25" customHeight="1">
      <c r="A27" s="250" t="s">
        <v>1713</v>
      </c>
      <c r="B27" s="183"/>
      <c r="C27" s="219">
        <f>SUM(C28:C41)</f>
        <v>6892000</v>
      </c>
      <c r="D27" s="219">
        <f t="shared" ref="D27:K27" si="6">SUM(D28:D41)</f>
        <v>10637000</v>
      </c>
      <c r="E27" s="220">
        <f t="shared" si="6"/>
        <v>33174849</v>
      </c>
      <c r="F27" s="221">
        <f t="shared" si="6"/>
        <v>64474000</v>
      </c>
      <c r="G27" s="219">
        <f t="shared" si="6"/>
        <v>65774000</v>
      </c>
      <c r="H27" s="218">
        <f t="shared" si="6"/>
        <v>65774000</v>
      </c>
      <c r="I27" s="2344">
        <f t="shared" si="6"/>
        <v>97377000</v>
      </c>
      <c r="J27" s="219">
        <f t="shared" si="6"/>
        <v>113000000</v>
      </c>
      <c r="K27" s="220">
        <f t="shared" si="6"/>
        <v>32000000</v>
      </c>
      <c r="L27" s="373"/>
    </row>
    <row r="28" spans="1:12" ht="11.25" customHeight="1">
      <c r="A28" s="251" t="s">
        <v>2</v>
      </c>
      <c r="B28" s="183"/>
      <c r="C28" s="1964"/>
      <c r="D28" s="2030"/>
      <c r="E28" s="2030"/>
      <c r="F28" s="1712">
        <v>500000</v>
      </c>
      <c r="G28" s="1713">
        <v>500000</v>
      </c>
      <c r="H28" s="2050">
        <v>500000</v>
      </c>
      <c r="I28" s="2343"/>
      <c r="J28" s="1713"/>
      <c r="K28" s="1964"/>
      <c r="L28" s="1648"/>
    </row>
    <row r="29" spans="1:12" ht="11.25" customHeight="1">
      <c r="A29" s="251" t="s">
        <v>1734</v>
      </c>
      <c r="B29" s="183"/>
      <c r="C29" s="1081">
        <v>244000</v>
      </c>
      <c r="D29" s="1082">
        <v>5000000</v>
      </c>
      <c r="E29" s="1082">
        <v>942636</v>
      </c>
      <c r="F29" s="1712">
        <v>2670000</v>
      </c>
      <c r="G29" s="1708">
        <v>2670000</v>
      </c>
      <c r="H29" s="1732">
        <v>2670000</v>
      </c>
      <c r="I29" s="1891">
        <v>4500000</v>
      </c>
      <c r="J29" s="1891">
        <v>3500000</v>
      </c>
      <c r="K29" s="1730"/>
      <c r="L29" s="1648"/>
    </row>
    <row r="30" spans="1:12" ht="11.25" customHeight="1">
      <c r="A30" s="251" t="s">
        <v>534</v>
      </c>
      <c r="B30" s="183"/>
      <c r="C30" s="1081"/>
      <c r="D30" s="1082"/>
      <c r="E30" s="1082"/>
      <c r="F30" s="1712">
        <v>5250000</v>
      </c>
      <c r="G30" s="1708">
        <v>5250000</v>
      </c>
      <c r="H30" s="1732">
        <v>5250000</v>
      </c>
      <c r="I30" s="1891"/>
      <c r="J30" s="1708"/>
      <c r="K30" s="1730"/>
      <c r="L30" s="1648"/>
    </row>
    <row r="31" spans="1:12" ht="11.25" customHeight="1">
      <c r="A31" s="251" t="s">
        <v>1</v>
      </c>
      <c r="B31" s="183"/>
      <c r="C31" s="1081">
        <v>1034000</v>
      </c>
      <c r="D31" s="1082">
        <v>2206000</v>
      </c>
      <c r="E31" s="1082">
        <v>4395284</v>
      </c>
      <c r="F31" s="1712"/>
      <c r="G31" s="1708">
        <v>0</v>
      </c>
      <c r="H31" s="1732">
        <v>0</v>
      </c>
      <c r="I31" s="1891"/>
      <c r="J31" s="1708"/>
      <c r="K31" s="1730"/>
      <c r="L31" s="1648"/>
    </row>
    <row r="32" spans="1:12" ht="11.25" customHeight="1">
      <c r="A32" s="251" t="s">
        <v>351</v>
      </c>
      <c r="B32" s="183"/>
      <c r="C32" s="1081">
        <v>1475000</v>
      </c>
      <c r="D32" s="1082">
        <v>836000</v>
      </c>
      <c r="E32" s="1082">
        <v>974850</v>
      </c>
      <c r="F32" s="1712">
        <v>670000</v>
      </c>
      <c r="G32" s="1708">
        <v>670000</v>
      </c>
      <c r="H32" s="1732">
        <v>670000</v>
      </c>
      <c r="I32" s="1891"/>
      <c r="J32" s="1708"/>
      <c r="K32" s="1730"/>
      <c r="L32" s="1648"/>
    </row>
    <row r="33" spans="1:15" ht="11.25" customHeight="1">
      <c r="A33" s="251" t="s">
        <v>0</v>
      </c>
      <c r="B33" s="183"/>
      <c r="C33" s="1081">
        <v>881000</v>
      </c>
      <c r="D33" s="1082"/>
      <c r="E33" s="1082"/>
      <c r="F33" s="1712"/>
      <c r="G33" s="1708">
        <v>0</v>
      </c>
      <c r="H33" s="1732">
        <v>0</v>
      </c>
      <c r="I33" s="1891"/>
      <c r="J33" s="1708"/>
      <c r="K33" s="1730"/>
      <c r="L33" s="1648"/>
    </row>
    <row r="34" spans="1:15" ht="11.25" customHeight="1">
      <c r="A34" s="251" t="s">
        <v>1735</v>
      </c>
      <c r="B34" s="183"/>
      <c r="C34" s="1081">
        <v>698000</v>
      </c>
      <c r="D34" s="1082"/>
      <c r="E34" s="1082">
        <v>17891960</v>
      </c>
      <c r="F34" s="1712">
        <v>1770000</v>
      </c>
      <c r="G34" s="1708">
        <v>1770000</v>
      </c>
      <c r="H34" s="1732">
        <v>1770000</v>
      </c>
      <c r="I34" s="1891"/>
      <c r="J34" s="1708"/>
      <c r="K34" s="1730"/>
      <c r="L34" s="1648"/>
    </row>
    <row r="35" spans="1:15" ht="11.25" customHeight="1">
      <c r="A35" s="251" t="s">
        <v>1043</v>
      </c>
      <c r="B35" s="183"/>
      <c r="C35" s="1081"/>
      <c r="D35" s="1082"/>
      <c r="E35" s="1082">
        <v>211340</v>
      </c>
      <c r="F35" s="1712">
        <v>4000000</v>
      </c>
      <c r="G35" s="1708">
        <v>4000000</v>
      </c>
      <c r="H35" s="1732">
        <v>4000000</v>
      </c>
      <c r="I35" s="1891">
        <v>65000000</v>
      </c>
      <c r="J35" s="1708">
        <v>85000000</v>
      </c>
      <c r="K35" s="1730">
        <v>25000000</v>
      </c>
      <c r="L35" s="1648"/>
    </row>
    <row r="36" spans="1:15" ht="11.25" customHeight="1">
      <c r="A36" s="251" t="s">
        <v>1664</v>
      </c>
      <c r="B36" s="183">
        <v>7</v>
      </c>
      <c r="C36" s="1081"/>
      <c r="D36" s="1082"/>
      <c r="E36" s="1082"/>
      <c r="F36" s="1712"/>
      <c r="G36" s="1708">
        <v>0</v>
      </c>
      <c r="H36" s="1732">
        <v>0</v>
      </c>
      <c r="I36" s="1891"/>
      <c r="J36" s="1708"/>
      <c r="K36" s="1730"/>
      <c r="L36" s="1648"/>
    </row>
    <row r="37" spans="1:15" ht="11.25" customHeight="1">
      <c r="A37" s="251" t="s">
        <v>1393</v>
      </c>
      <c r="B37" s="183"/>
      <c r="C37" s="1081">
        <v>909000</v>
      </c>
      <c r="D37" s="1082"/>
      <c r="E37" s="1082">
        <v>794494</v>
      </c>
      <c r="F37" s="1712">
        <v>3032000</v>
      </c>
      <c r="G37" s="1708">
        <v>3032000</v>
      </c>
      <c r="H37" s="1732">
        <v>3032000</v>
      </c>
      <c r="I37" s="1891">
        <v>7117000</v>
      </c>
      <c r="J37" s="1708">
        <v>10000000</v>
      </c>
      <c r="K37" s="1730"/>
      <c r="L37" s="1648"/>
      <c r="O37" s="373"/>
    </row>
    <row r="38" spans="1:15" ht="11.25" customHeight="1">
      <c r="A38" s="251" t="s">
        <v>764</v>
      </c>
      <c r="B38" s="183"/>
      <c r="C38" s="1081"/>
      <c r="D38" s="1082"/>
      <c r="E38" s="1082">
        <v>595583</v>
      </c>
      <c r="F38" s="1712">
        <v>0</v>
      </c>
      <c r="G38" s="1708">
        <v>0</v>
      </c>
      <c r="H38" s="1732">
        <v>0</v>
      </c>
      <c r="I38" s="1891"/>
      <c r="J38" s="1708"/>
      <c r="K38" s="1730"/>
      <c r="L38" s="1648"/>
    </row>
    <row r="39" spans="1:15" ht="11.25" customHeight="1">
      <c r="A39" s="251" t="s">
        <v>532</v>
      </c>
      <c r="B39" s="183"/>
      <c r="C39" s="1081">
        <v>501000</v>
      </c>
      <c r="D39" s="1082">
        <v>2545000</v>
      </c>
      <c r="E39" s="1082">
        <v>2519522</v>
      </c>
      <c r="F39" s="1712">
        <v>6525000</v>
      </c>
      <c r="G39" s="1708">
        <v>7825000</v>
      </c>
      <c r="H39" s="1732">
        <v>7825000</v>
      </c>
      <c r="I39" s="1891">
        <v>16000000</v>
      </c>
      <c r="J39" s="1708"/>
      <c r="K39" s="1730"/>
      <c r="L39" s="1648"/>
    </row>
    <row r="40" spans="1:15" ht="11.25" customHeight="1">
      <c r="A40" s="251" t="s">
        <v>31</v>
      </c>
      <c r="B40" s="183">
        <v>8</v>
      </c>
      <c r="C40" s="1081"/>
      <c r="D40" s="1082"/>
      <c r="E40" s="1082"/>
      <c r="F40" s="1712"/>
      <c r="G40" s="1708"/>
      <c r="H40" s="1732"/>
      <c r="I40" s="1891"/>
      <c r="J40" s="1708"/>
      <c r="K40" s="1730"/>
      <c r="L40" s="373"/>
    </row>
    <row r="41" spans="1:15" ht="11.25" customHeight="1">
      <c r="A41" s="251" t="s">
        <v>301</v>
      </c>
      <c r="B41" s="183"/>
      <c r="C41" s="1755">
        <v>1150000</v>
      </c>
      <c r="D41" s="1756">
        <v>50000</v>
      </c>
      <c r="E41" s="1756">
        <f>3945164+904016</f>
        <v>4849180</v>
      </c>
      <c r="F41" s="1712">
        <v>40057000</v>
      </c>
      <c r="G41" s="1754">
        <v>40057000</v>
      </c>
      <c r="H41" s="1757">
        <v>40057000</v>
      </c>
      <c r="I41" s="2159">
        <f>2760000+2000000</f>
        <v>4760000</v>
      </c>
      <c r="J41" s="1754">
        <f>10000000+4500000</f>
        <v>14500000</v>
      </c>
      <c r="K41" s="1755">
        <v>7000000</v>
      </c>
      <c r="L41" s="1648"/>
    </row>
    <row r="42" spans="1:15" ht="5.0999999999999996" customHeight="1">
      <c r="A42" s="274"/>
      <c r="B42" s="183"/>
      <c r="C42" s="204"/>
      <c r="D42" s="204"/>
      <c r="E42" s="205"/>
      <c r="F42" s="206"/>
      <c r="G42" s="204"/>
      <c r="H42" s="203"/>
      <c r="I42" s="206"/>
      <c r="J42" s="204"/>
      <c r="K42" s="205"/>
      <c r="L42" s="373"/>
    </row>
    <row r="43" spans="1:15" ht="17.25" customHeight="1">
      <c r="A43" s="250" t="s">
        <v>1046</v>
      </c>
      <c r="B43" s="183"/>
      <c r="C43" s="204">
        <f>SUM(C44:C45)</f>
        <v>0</v>
      </c>
      <c r="D43" s="204">
        <f t="shared" ref="D43:K43" si="7">SUM(D44:D45)</f>
        <v>10000000</v>
      </c>
      <c r="E43" s="205">
        <f t="shared" si="7"/>
        <v>5710667</v>
      </c>
      <c r="F43" s="206">
        <f t="shared" si="7"/>
        <v>0</v>
      </c>
      <c r="G43" s="204">
        <f t="shared" si="7"/>
        <v>0</v>
      </c>
      <c r="H43" s="203">
        <f t="shared" si="7"/>
        <v>0</v>
      </c>
      <c r="I43" s="206">
        <f t="shared" si="7"/>
        <v>0</v>
      </c>
      <c r="J43" s="204">
        <f t="shared" si="7"/>
        <v>0</v>
      </c>
      <c r="K43" s="205">
        <f t="shared" si="7"/>
        <v>0</v>
      </c>
      <c r="L43" s="373"/>
    </row>
    <row r="44" spans="1:15" ht="11.25" customHeight="1">
      <c r="A44" s="251" t="s">
        <v>1363</v>
      </c>
      <c r="B44" s="183"/>
      <c r="C44" s="1964"/>
      <c r="D44" s="2030">
        <v>10000000</v>
      </c>
      <c r="E44" s="2051">
        <v>5710667</v>
      </c>
      <c r="F44" s="2052"/>
      <c r="G44" s="1717"/>
      <c r="H44" s="2053"/>
      <c r="I44" s="2052"/>
      <c r="J44" s="1717"/>
      <c r="K44" s="2051"/>
      <c r="L44" s="373"/>
    </row>
    <row r="45" spans="1:15" ht="11.25" customHeight="1">
      <c r="A45" s="255" t="s">
        <v>301</v>
      </c>
      <c r="B45" s="183">
        <v>9</v>
      </c>
      <c r="C45" s="1755"/>
      <c r="D45" s="1756"/>
      <c r="E45" s="2054"/>
      <c r="F45" s="2055"/>
      <c r="G45" s="1747"/>
      <c r="H45" s="2056"/>
      <c r="I45" s="2055"/>
      <c r="J45" s="1747"/>
      <c r="K45" s="2054"/>
      <c r="L45" s="373"/>
    </row>
    <row r="46" spans="1:15" ht="5.0999999999999996" customHeight="1">
      <c r="A46" s="274"/>
      <c r="B46" s="183"/>
      <c r="C46" s="204"/>
      <c r="D46" s="204"/>
      <c r="E46" s="205"/>
      <c r="F46" s="206"/>
      <c r="G46" s="204"/>
      <c r="H46" s="203"/>
      <c r="I46" s="206"/>
      <c r="J46" s="204"/>
      <c r="K46" s="205"/>
      <c r="L46" s="373"/>
    </row>
    <row r="47" spans="1:15" ht="17.25" customHeight="1">
      <c r="A47" s="250" t="s">
        <v>1047</v>
      </c>
      <c r="B47" s="183"/>
      <c r="C47" s="219">
        <f>SUM(C48:C49)</f>
        <v>0</v>
      </c>
      <c r="D47" s="219">
        <f t="shared" ref="D47:K47" si="8">SUM(D48:D49)</f>
        <v>0</v>
      </c>
      <c r="E47" s="220">
        <f t="shared" si="8"/>
        <v>0</v>
      </c>
      <c r="F47" s="221">
        <f t="shared" si="8"/>
        <v>0</v>
      </c>
      <c r="G47" s="219">
        <f t="shared" si="8"/>
        <v>0</v>
      </c>
      <c r="H47" s="218">
        <f t="shared" si="8"/>
        <v>0</v>
      </c>
      <c r="I47" s="221">
        <f t="shared" si="8"/>
        <v>0</v>
      </c>
      <c r="J47" s="219">
        <f t="shared" si="8"/>
        <v>0</v>
      </c>
      <c r="K47" s="220">
        <f t="shared" si="8"/>
        <v>0</v>
      </c>
      <c r="L47" s="373"/>
    </row>
    <row r="48" spans="1:15" ht="11.25" customHeight="1">
      <c r="A48" s="251" t="s">
        <v>533</v>
      </c>
      <c r="B48" s="183"/>
      <c r="C48" s="1713"/>
      <c r="D48" s="1713"/>
      <c r="E48" s="1964"/>
      <c r="F48" s="2030"/>
      <c r="G48" s="1713"/>
      <c r="H48" s="2050"/>
      <c r="I48" s="2030"/>
      <c r="J48" s="1713"/>
      <c r="K48" s="1964"/>
      <c r="L48" s="1648"/>
    </row>
    <row r="49" spans="1:12" ht="11.25" customHeight="1">
      <c r="A49" s="251" t="s">
        <v>301</v>
      </c>
      <c r="B49" s="183"/>
      <c r="C49" s="1754"/>
      <c r="D49" s="1754"/>
      <c r="E49" s="1755"/>
      <c r="F49" s="1756"/>
      <c r="G49" s="1754"/>
      <c r="H49" s="1757"/>
      <c r="I49" s="1756"/>
      <c r="J49" s="1754"/>
      <c r="K49" s="1755"/>
      <c r="L49" s="373"/>
    </row>
    <row r="50" spans="1:12" ht="5.0999999999999996" customHeight="1">
      <c r="A50" s="274"/>
      <c r="B50" s="183"/>
      <c r="C50" s="204"/>
      <c r="D50" s="204"/>
      <c r="E50" s="205"/>
      <c r="F50" s="206"/>
      <c r="G50" s="204"/>
      <c r="H50" s="203"/>
      <c r="I50" s="206"/>
      <c r="J50" s="204"/>
      <c r="K50" s="205"/>
      <c r="L50" s="373"/>
    </row>
    <row r="51" spans="1:12" ht="17.25" customHeight="1">
      <c r="A51" s="250" t="s">
        <v>1048</v>
      </c>
      <c r="B51" s="183"/>
      <c r="C51" s="219">
        <f>SUM(C52:C63)</f>
        <v>48242000</v>
      </c>
      <c r="D51" s="219">
        <f t="shared" ref="D51:K51" si="9">SUM(D52:D63)</f>
        <v>8438000</v>
      </c>
      <c r="E51" s="220">
        <f t="shared" si="9"/>
        <v>10653670</v>
      </c>
      <c r="F51" s="221">
        <f t="shared" si="9"/>
        <v>40128000</v>
      </c>
      <c r="G51" s="219">
        <f t="shared" si="9"/>
        <v>43175000</v>
      </c>
      <c r="H51" s="218">
        <f t="shared" si="9"/>
        <v>43175000</v>
      </c>
      <c r="I51" s="221">
        <f t="shared" si="9"/>
        <v>19500000</v>
      </c>
      <c r="J51" s="219">
        <f t="shared" si="9"/>
        <v>4500000</v>
      </c>
      <c r="K51" s="220">
        <f t="shared" si="9"/>
        <v>0</v>
      </c>
      <c r="L51" s="373"/>
    </row>
    <row r="52" spans="1:12" ht="11.25" customHeight="1">
      <c r="A52" s="255" t="s">
        <v>667</v>
      </c>
      <c r="B52" s="183"/>
      <c r="C52" s="1964">
        <v>8851000</v>
      </c>
      <c r="D52" s="2030"/>
      <c r="E52" s="2030"/>
      <c r="F52" s="2030"/>
      <c r="G52" s="1713">
        <v>0</v>
      </c>
      <c r="H52" s="2050">
        <v>0</v>
      </c>
      <c r="I52" s="2343">
        <v>15000000</v>
      </c>
      <c r="J52" s="1713"/>
      <c r="K52" s="1964"/>
      <c r="L52" s="1648"/>
    </row>
    <row r="53" spans="1:12" ht="11.25" customHeight="1">
      <c r="A53" s="255" t="s">
        <v>32</v>
      </c>
      <c r="B53" s="183">
        <v>10</v>
      </c>
      <c r="C53" s="1081"/>
      <c r="D53" s="1082"/>
      <c r="E53" s="1082"/>
      <c r="F53" s="1710"/>
      <c r="G53" s="1708"/>
      <c r="H53" s="1732"/>
      <c r="I53" s="1891"/>
      <c r="J53" s="1708"/>
      <c r="K53" s="1730"/>
      <c r="L53" s="373"/>
    </row>
    <row r="54" spans="1:12" ht="11.25" customHeight="1">
      <c r="A54" s="255" t="s">
        <v>1349</v>
      </c>
      <c r="B54" s="183"/>
      <c r="C54" s="1081">
        <v>8005000</v>
      </c>
      <c r="D54" s="1082">
        <f>390000</f>
        <v>390000</v>
      </c>
      <c r="E54" s="1082">
        <f>204606+1668288</f>
        <v>1872894</v>
      </c>
      <c r="F54" s="1710"/>
      <c r="G54" s="1708">
        <v>0</v>
      </c>
      <c r="H54" s="1732">
        <v>0</v>
      </c>
      <c r="I54" s="1891"/>
      <c r="J54" s="1708"/>
      <c r="K54" s="1730"/>
      <c r="L54" s="1648"/>
    </row>
    <row r="55" spans="1:12" ht="11.25" customHeight="1">
      <c r="A55" s="255" t="s">
        <v>668</v>
      </c>
      <c r="B55" s="183"/>
      <c r="C55" s="1081">
        <v>2459000</v>
      </c>
      <c r="D55" s="1082">
        <v>3944000</v>
      </c>
      <c r="E55" s="1082">
        <v>5115821</v>
      </c>
      <c r="F55" s="1710">
        <v>7080000</v>
      </c>
      <c r="G55" s="1708">
        <v>20080000</v>
      </c>
      <c r="H55" s="1732">
        <v>20080000</v>
      </c>
      <c r="I55" s="1891">
        <v>4500000</v>
      </c>
      <c r="J55" s="1708">
        <v>4500000</v>
      </c>
      <c r="K55" s="1730"/>
      <c r="L55" s="1648"/>
    </row>
    <row r="56" spans="1:12" ht="11.25" customHeight="1">
      <c r="A56" s="255" t="s">
        <v>669</v>
      </c>
      <c r="B56" s="183"/>
      <c r="C56" s="1081"/>
      <c r="D56" s="1082"/>
      <c r="E56" s="1082"/>
      <c r="F56" s="1710">
        <v>6530000</v>
      </c>
      <c r="G56" s="1708">
        <v>6577000</v>
      </c>
      <c r="H56" s="1732">
        <v>6577000</v>
      </c>
      <c r="I56" s="1891"/>
      <c r="J56" s="1708"/>
      <c r="K56" s="1730"/>
      <c r="L56" s="1648"/>
    </row>
    <row r="57" spans="1:12" ht="11.25" customHeight="1">
      <c r="A57" s="255" t="s">
        <v>1350</v>
      </c>
      <c r="B57" s="183"/>
      <c r="C57" s="1081"/>
      <c r="D57" s="1082"/>
      <c r="E57" s="1082"/>
      <c r="F57" s="1710">
        <v>0</v>
      </c>
      <c r="G57" s="1708">
        <v>0</v>
      </c>
      <c r="H57" s="1732">
        <v>0</v>
      </c>
      <c r="I57" s="1891"/>
      <c r="J57" s="1708"/>
      <c r="K57" s="1730"/>
      <c r="L57" s="1648"/>
    </row>
    <row r="58" spans="1:12" ht="11.25" customHeight="1">
      <c r="A58" s="255" t="s">
        <v>1351</v>
      </c>
      <c r="B58" s="183"/>
      <c r="C58" s="1081"/>
      <c r="D58" s="1082"/>
      <c r="E58" s="1082">
        <v>1008158</v>
      </c>
      <c r="F58" s="1710">
        <v>0</v>
      </c>
      <c r="G58" s="1708">
        <v>0</v>
      </c>
      <c r="H58" s="1732">
        <v>0</v>
      </c>
      <c r="I58" s="1891"/>
      <c r="J58" s="1708"/>
      <c r="K58" s="1730"/>
      <c r="L58" s="1647"/>
    </row>
    <row r="59" spans="1:12" ht="11.25" customHeight="1">
      <c r="A59" s="255" t="s">
        <v>1662</v>
      </c>
      <c r="B59" s="183"/>
      <c r="C59" s="1081">
        <v>3358000</v>
      </c>
      <c r="D59" s="1082">
        <v>900000</v>
      </c>
      <c r="E59" s="1082">
        <f>99931+2318366</f>
        <v>2418297</v>
      </c>
      <c r="F59" s="1710">
        <v>4550000</v>
      </c>
      <c r="G59" s="1708">
        <v>4550000</v>
      </c>
      <c r="H59" s="1732">
        <v>4550000</v>
      </c>
      <c r="I59" s="1891"/>
      <c r="J59" s="1708"/>
      <c r="K59" s="1730"/>
      <c r="L59" s="1648"/>
    </row>
    <row r="60" spans="1:12" ht="11.25" customHeight="1">
      <c r="A60" s="255" t="s">
        <v>334</v>
      </c>
      <c r="B60" s="183"/>
      <c r="C60" s="1081"/>
      <c r="D60" s="1082"/>
      <c r="E60" s="1082"/>
      <c r="F60" s="1710"/>
      <c r="G60" s="1708">
        <v>0</v>
      </c>
      <c r="H60" s="1732">
        <v>0</v>
      </c>
      <c r="I60" s="1891"/>
      <c r="J60" s="1708"/>
      <c r="K60" s="1730"/>
      <c r="L60" s="1648"/>
    </row>
    <row r="61" spans="1:12" ht="11.25" customHeight="1">
      <c r="A61" s="255" t="s">
        <v>333</v>
      </c>
      <c r="B61" s="183"/>
      <c r="C61" s="1081">
        <v>202000</v>
      </c>
      <c r="D61" s="1082"/>
      <c r="E61" s="1082"/>
      <c r="F61" s="1710"/>
      <c r="G61" s="1708">
        <v>0</v>
      </c>
      <c r="H61" s="1732">
        <v>0</v>
      </c>
      <c r="I61" s="1891"/>
      <c r="J61" s="1708"/>
      <c r="K61" s="1730"/>
      <c r="L61" s="1648"/>
    </row>
    <row r="62" spans="1:12" ht="11.25" customHeight="1">
      <c r="A62" s="255" t="s">
        <v>670</v>
      </c>
      <c r="B62" s="183"/>
      <c r="C62" s="1081"/>
      <c r="D62" s="1082"/>
      <c r="E62" s="1082"/>
      <c r="F62" s="1710"/>
      <c r="G62" s="1708">
        <v>0</v>
      </c>
      <c r="H62" s="1732">
        <v>0</v>
      </c>
      <c r="I62" s="1891"/>
      <c r="J62" s="1708"/>
      <c r="K62" s="1730"/>
      <c r="L62" s="1648"/>
    </row>
    <row r="63" spans="1:12" ht="11.25" customHeight="1">
      <c r="A63" s="251" t="s">
        <v>301</v>
      </c>
      <c r="B63" s="183"/>
      <c r="C63" s="1755">
        <f>30365000-4998000</f>
        <v>25367000</v>
      </c>
      <c r="D63" s="1756">
        <v>3204000</v>
      </c>
      <c r="E63" s="1756">
        <v>238500</v>
      </c>
      <c r="F63" s="1710">
        <v>21968000</v>
      </c>
      <c r="G63" s="1754">
        <v>11968000</v>
      </c>
      <c r="H63" s="1757">
        <v>11968000</v>
      </c>
      <c r="I63" s="2159"/>
      <c r="J63" s="1754"/>
      <c r="K63" s="1755"/>
      <c r="L63" s="1648"/>
    </row>
    <row r="64" spans="1:12" ht="5.0999999999999996" customHeight="1">
      <c r="A64" s="858"/>
      <c r="B64" s="183"/>
      <c r="C64" s="204"/>
      <c r="D64" s="204"/>
      <c r="E64" s="205"/>
      <c r="F64" s="206"/>
      <c r="G64" s="204"/>
      <c r="H64" s="203"/>
      <c r="I64" s="206"/>
      <c r="J64" s="204"/>
      <c r="K64" s="205"/>
      <c r="L64" s="373"/>
    </row>
    <row r="65" spans="1:12" ht="13.5" customHeight="1">
      <c r="A65" s="250" t="s">
        <v>1681</v>
      </c>
      <c r="B65" s="183"/>
      <c r="C65" s="204">
        <f>SUM(C66:C67)</f>
        <v>0</v>
      </c>
      <c r="D65" s="204">
        <f t="shared" ref="D65:K65" si="10">SUM(D66:D67)</f>
        <v>0</v>
      </c>
      <c r="E65" s="205">
        <f t="shared" si="10"/>
        <v>0</v>
      </c>
      <c r="F65" s="206">
        <f t="shared" si="10"/>
        <v>0</v>
      </c>
      <c r="G65" s="204">
        <f t="shared" si="10"/>
        <v>0</v>
      </c>
      <c r="H65" s="203">
        <f t="shared" si="10"/>
        <v>0</v>
      </c>
      <c r="I65" s="206">
        <f t="shared" si="10"/>
        <v>0</v>
      </c>
      <c r="J65" s="204">
        <f t="shared" si="10"/>
        <v>0</v>
      </c>
      <c r="K65" s="205">
        <f t="shared" si="10"/>
        <v>0</v>
      </c>
      <c r="L65" s="373"/>
    </row>
    <row r="66" spans="1:12" ht="11.25" customHeight="1">
      <c r="A66" s="2016" t="s">
        <v>1364</v>
      </c>
      <c r="B66" s="183"/>
      <c r="C66" s="1713"/>
      <c r="D66" s="1713"/>
      <c r="E66" s="1964"/>
      <c r="F66" s="2030"/>
      <c r="G66" s="1713"/>
      <c r="H66" s="2050"/>
      <c r="I66" s="2030"/>
      <c r="J66" s="1713"/>
      <c r="K66" s="1964"/>
      <c r="L66" s="373"/>
    </row>
    <row r="67" spans="1:12" ht="11.25" customHeight="1">
      <c r="A67" s="2016"/>
      <c r="B67" s="183"/>
      <c r="C67" s="1754"/>
      <c r="D67" s="1754"/>
      <c r="E67" s="1755"/>
      <c r="F67" s="1756"/>
      <c r="G67" s="1754"/>
      <c r="H67" s="1757"/>
      <c r="I67" s="1756"/>
      <c r="J67" s="1754"/>
      <c r="K67" s="1755"/>
      <c r="L67" s="373"/>
    </row>
    <row r="68" spans="1:12" ht="5.0999999999999996" customHeight="1">
      <c r="A68" s="858"/>
      <c r="B68" s="183"/>
      <c r="C68" s="204"/>
      <c r="D68" s="204"/>
      <c r="E68" s="205"/>
      <c r="F68" s="206"/>
      <c r="G68" s="204"/>
      <c r="H68" s="203"/>
      <c r="I68" s="206"/>
      <c r="J68" s="204"/>
      <c r="K68" s="205"/>
      <c r="L68" s="373"/>
    </row>
    <row r="69" spans="1:12" ht="13.5" customHeight="1">
      <c r="A69" s="250" t="s">
        <v>138</v>
      </c>
      <c r="B69" s="183"/>
      <c r="C69" s="204">
        <f>SUM(C70:C71)</f>
        <v>0</v>
      </c>
      <c r="D69" s="204">
        <f t="shared" ref="D69:K69" si="11">SUM(D70:D71)</f>
        <v>0</v>
      </c>
      <c r="E69" s="205">
        <f t="shared" si="11"/>
        <v>0</v>
      </c>
      <c r="F69" s="206">
        <f t="shared" si="11"/>
        <v>0</v>
      </c>
      <c r="G69" s="204">
        <f t="shared" si="11"/>
        <v>0</v>
      </c>
      <c r="H69" s="203">
        <f t="shared" si="11"/>
        <v>0</v>
      </c>
      <c r="I69" s="206">
        <f t="shared" si="11"/>
        <v>0</v>
      </c>
      <c r="J69" s="204">
        <f t="shared" si="11"/>
        <v>0</v>
      </c>
      <c r="K69" s="205">
        <f t="shared" si="11"/>
        <v>0</v>
      </c>
      <c r="L69" s="373"/>
    </row>
    <row r="70" spans="1:12" ht="11.25" customHeight="1">
      <c r="A70" s="2016" t="s">
        <v>1364</v>
      </c>
      <c r="B70" s="183"/>
      <c r="C70" s="1713"/>
      <c r="D70" s="1713"/>
      <c r="E70" s="1964"/>
      <c r="F70" s="2030"/>
      <c r="G70" s="1713"/>
      <c r="H70" s="2050"/>
      <c r="I70" s="2030"/>
      <c r="J70" s="1713"/>
      <c r="K70" s="1964"/>
      <c r="L70" s="373"/>
    </row>
    <row r="71" spans="1:12" ht="11.25" customHeight="1">
      <c r="A71" s="2016"/>
      <c r="B71" s="183"/>
      <c r="C71" s="1754"/>
      <c r="D71" s="1754"/>
      <c r="E71" s="1755"/>
      <c r="F71" s="1756"/>
      <c r="G71" s="1754"/>
      <c r="H71" s="1757"/>
      <c r="I71" s="1756"/>
      <c r="J71" s="1754"/>
      <c r="K71" s="1755"/>
      <c r="L71" s="373"/>
    </row>
    <row r="72" spans="1:12" ht="5.0999999999999996" customHeight="1">
      <c r="A72" s="274"/>
      <c r="B72" s="183"/>
      <c r="C72" s="204"/>
      <c r="D72" s="204"/>
      <c r="E72" s="205"/>
      <c r="F72" s="206"/>
      <c r="G72" s="204"/>
      <c r="H72" s="203"/>
      <c r="I72" s="206"/>
      <c r="J72" s="204"/>
      <c r="K72" s="205"/>
      <c r="L72" s="373"/>
    </row>
    <row r="73" spans="1:12" ht="17.25" customHeight="1">
      <c r="A73" s="250" t="s">
        <v>951</v>
      </c>
      <c r="B73" s="183"/>
      <c r="C73" s="204">
        <f>SUM(C74:C75)</f>
        <v>0</v>
      </c>
      <c r="D73" s="204">
        <f t="shared" ref="D73:K73" si="12">SUM(D74:D75)</f>
        <v>0</v>
      </c>
      <c r="E73" s="205">
        <f t="shared" si="12"/>
        <v>0</v>
      </c>
      <c r="F73" s="206">
        <f t="shared" si="12"/>
        <v>0</v>
      </c>
      <c r="G73" s="204">
        <f t="shared" si="12"/>
        <v>0</v>
      </c>
      <c r="H73" s="203">
        <f t="shared" si="12"/>
        <v>0</v>
      </c>
      <c r="I73" s="206">
        <f t="shared" si="12"/>
        <v>0</v>
      </c>
      <c r="J73" s="204">
        <f t="shared" si="12"/>
        <v>0</v>
      </c>
      <c r="K73" s="205">
        <f t="shared" si="12"/>
        <v>0</v>
      </c>
      <c r="L73" s="373"/>
    </row>
    <row r="74" spans="1:12" ht="11.25" customHeight="1">
      <c r="A74" s="255" t="s">
        <v>1055</v>
      </c>
      <c r="B74" s="183"/>
      <c r="C74" s="1713"/>
      <c r="D74" s="1713"/>
      <c r="E74" s="1964"/>
      <c r="F74" s="2030"/>
      <c r="G74" s="1713"/>
      <c r="H74" s="2050"/>
      <c r="I74" s="2030"/>
      <c r="J74" s="1713"/>
      <c r="K74" s="1964"/>
      <c r="L74" s="373"/>
    </row>
    <row r="75" spans="1:12" ht="11.25" customHeight="1">
      <c r="A75" s="1989" t="s">
        <v>648</v>
      </c>
      <c r="B75" s="183"/>
      <c r="C75" s="1754"/>
      <c r="D75" s="1754"/>
      <c r="E75" s="1755"/>
      <c r="F75" s="1756"/>
      <c r="G75" s="1754"/>
      <c r="H75" s="1757"/>
      <c r="I75" s="1756"/>
      <c r="J75" s="1754"/>
      <c r="K75" s="1755"/>
      <c r="L75" s="373"/>
    </row>
    <row r="76" spans="1:12" ht="5.0999999999999996" customHeight="1">
      <c r="A76" s="274"/>
      <c r="B76" s="183"/>
      <c r="C76" s="219"/>
      <c r="D76" s="219"/>
      <c r="E76" s="220"/>
      <c r="F76" s="221"/>
      <c r="G76" s="219"/>
      <c r="H76" s="218"/>
      <c r="I76" s="221"/>
      <c r="J76" s="219"/>
      <c r="K76" s="220"/>
      <c r="L76" s="373"/>
    </row>
    <row r="77" spans="1:12">
      <c r="A77" s="282" t="s">
        <v>1328</v>
      </c>
      <c r="B77" s="226">
        <v>1</v>
      </c>
      <c r="C77" s="231">
        <f t="shared" ref="C77:K77" si="13">C6+C27+C43+C47+C51+C73+C65+C69</f>
        <v>197073901</v>
      </c>
      <c r="D77" s="231">
        <f t="shared" si="13"/>
        <v>236817045</v>
      </c>
      <c r="E77" s="229">
        <f t="shared" si="13"/>
        <v>176033120</v>
      </c>
      <c r="F77" s="230">
        <f t="shared" si="13"/>
        <v>267850000</v>
      </c>
      <c r="G77" s="231">
        <f t="shared" si="13"/>
        <v>360507068</v>
      </c>
      <c r="H77" s="232">
        <f t="shared" si="13"/>
        <v>360507068</v>
      </c>
      <c r="I77" s="230">
        <f t="shared" si="13"/>
        <v>258710000</v>
      </c>
      <c r="J77" s="231">
        <f t="shared" si="13"/>
        <v>164500000</v>
      </c>
      <c r="K77" s="229">
        <f t="shared" si="13"/>
        <v>32000000</v>
      </c>
      <c r="L77" s="373"/>
    </row>
    <row r="78" spans="1:12">
      <c r="A78" s="1650"/>
      <c r="B78" s="665"/>
      <c r="C78" s="218"/>
      <c r="D78" s="218"/>
      <c r="E78" s="218"/>
      <c r="F78" s="218"/>
      <c r="G78" s="218"/>
      <c r="H78" s="218"/>
      <c r="I78" s="218"/>
      <c r="J78" s="218"/>
      <c r="K78" s="218"/>
      <c r="L78" s="373"/>
    </row>
    <row r="79" spans="1:12">
      <c r="A79" s="1651" t="s">
        <v>32</v>
      </c>
      <c r="B79" s="1652"/>
      <c r="C79" s="1345">
        <f t="shared" ref="C79:K79" si="14">SUM(C80:C83)</f>
        <v>0</v>
      </c>
      <c r="D79" s="1341">
        <f t="shared" si="14"/>
        <v>0</v>
      </c>
      <c r="E79" s="1653">
        <f t="shared" si="14"/>
        <v>0</v>
      </c>
      <c r="F79" s="1345">
        <f t="shared" si="14"/>
        <v>0</v>
      </c>
      <c r="G79" s="1341">
        <f t="shared" si="14"/>
        <v>0</v>
      </c>
      <c r="H79" s="1653">
        <f t="shared" si="14"/>
        <v>0</v>
      </c>
      <c r="I79" s="1345">
        <f t="shared" si="14"/>
        <v>0</v>
      </c>
      <c r="J79" s="1341">
        <f t="shared" si="14"/>
        <v>0</v>
      </c>
      <c r="K79" s="1653">
        <f t="shared" si="14"/>
        <v>0</v>
      </c>
      <c r="L79" s="373"/>
    </row>
    <row r="80" spans="1:12">
      <c r="A80" s="191" t="s">
        <v>1412</v>
      </c>
      <c r="B80" s="1654"/>
      <c r="C80" s="1710"/>
      <c r="D80" s="1708"/>
      <c r="E80" s="1711"/>
      <c r="F80" s="1710"/>
      <c r="G80" s="1708"/>
      <c r="H80" s="1711"/>
      <c r="I80" s="1710"/>
      <c r="J80" s="1708"/>
      <c r="K80" s="1711"/>
      <c r="L80" s="373"/>
    </row>
    <row r="81" spans="1:12">
      <c r="A81" s="191" t="s">
        <v>1663</v>
      </c>
      <c r="B81" s="1654"/>
      <c r="C81" s="1710"/>
      <c r="D81" s="1708"/>
      <c r="E81" s="1711"/>
      <c r="F81" s="1710"/>
      <c r="G81" s="1708"/>
      <c r="H81" s="1711"/>
      <c r="I81" s="1710"/>
      <c r="J81" s="1708"/>
      <c r="K81" s="1711"/>
      <c r="L81" s="373"/>
    </row>
    <row r="82" spans="1:12">
      <c r="A82" s="191" t="s">
        <v>1878</v>
      </c>
      <c r="B82" s="1654"/>
      <c r="C82" s="1710"/>
      <c r="D82" s="1708"/>
      <c r="E82" s="1711"/>
      <c r="F82" s="1710"/>
      <c r="G82" s="1708"/>
      <c r="H82" s="1711"/>
      <c r="I82" s="1710"/>
      <c r="J82" s="1708"/>
      <c r="K82" s="1711"/>
      <c r="L82" s="373"/>
    </row>
    <row r="83" spans="1:12">
      <c r="A83" s="1358" t="s">
        <v>1879</v>
      </c>
      <c r="B83" s="1655"/>
      <c r="C83" s="1787"/>
      <c r="D83" s="1783"/>
      <c r="E83" s="2057"/>
      <c r="F83" s="1787"/>
      <c r="G83" s="1783"/>
      <c r="H83" s="2057"/>
      <c r="I83" s="1787"/>
      <c r="J83" s="1783"/>
      <c r="K83" s="2057"/>
      <c r="L83" s="373"/>
    </row>
    <row r="84" spans="1:12" s="722" customFormat="1">
      <c r="A84" s="1305" t="str">
        <f>head27a</f>
        <v>References</v>
      </c>
      <c r="B84" s="1065"/>
      <c r="C84" s="1069"/>
      <c r="D84" s="1069"/>
      <c r="E84" s="1069"/>
      <c r="F84" s="1069"/>
      <c r="G84" s="1069"/>
      <c r="H84" s="1069"/>
      <c r="I84" s="1069"/>
      <c r="J84" s="1069"/>
      <c r="K84" s="1069"/>
      <c r="L84" s="1649"/>
    </row>
    <row r="85" spans="1:12" s="722" customFormat="1" ht="11.25" customHeight="1">
      <c r="A85" s="1306" t="s">
        <v>1329</v>
      </c>
      <c r="B85" s="1065"/>
      <c r="C85" s="1068"/>
      <c r="D85" s="1068"/>
      <c r="E85" s="1069"/>
      <c r="F85" s="1069"/>
      <c r="G85" s="1069"/>
      <c r="H85" s="1069"/>
      <c r="I85" s="1069"/>
      <c r="J85" s="1069"/>
      <c r="K85" s="1069"/>
    </row>
    <row r="86" spans="1:12" s="722" customFormat="1" ht="11.25" customHeight="1">
      <c r="A86" s="1306" t="s">
        <v>331</v>
      </c>
      <c r="B86" s="1065"/>
      <c r="C86" s="1068"/>
      <c r="D86" s="1068"/>
      <c r="E86" s="1069"/>
      <c r="F86" s="1069"/>
      <c r="G86" s="1069"/>
      <c r="H86" s="1069"/>
      <c r="I86" s="1069"/>
      <c r="J86" s="1069"/>
      <c r="K86" s="1069"/>
    </row>
    <row r="87" spans="1:12" s="722" customFormat="1" ht="11.25" customHeight="1">
      <c r="A87" s="1306" t="s">
        <v>985</v>
      </c>
      <c r="B87" s="1065"/>
      <c r="C87" s="1068"/>
      <c r="D87" s="1068"/>
      <c r="E87" s="1069"/>
      <c r="F87" s="1069"/>
      <c r="G87" s="1069"/>
      <c r="H87" s="1069"/>
      <c r="I87" s="1069"/>
      <c r="J87" s="1069"/>
      <c r="K87" s="1069"/>
    </row>
    <row r="88" spans="1:12" s="722" customFormat="1" ht="11.25" customHeight="1">
      <c r="A88" s="1306" t="s">
        <v>335</v>
      </c>
      <c r="B88" s="1065"/>
      <c r="C88" s="1068"/>
      <c r="D88" s="1068"/>
      <c r="E88" s="1069"/>
      <c r="F88" s="1069"/>
      <c r="G88" s="1069"/>
      <c r="H88" s="1069"/>
      <c r="I88" s="1069"/>
      <c r="J88" s="1069"/>
      <c r="K88" s="1069"/>
    </row>
    <row r="89" spans="1:12" s="722" customFormat="1" ht="11.25" customHeight="1">
      <c r="A89" s="1600" t="s">
        <v>135</v>
      </c>
      <c r="B89" s="1065"/>
      <c r="C89" s="1068"/>
      <c r="D89" s="1068"/>
      <c r="E89" s="1069"/>
      <c r="F89" s="1069"/>
      <c r="G89" s="1069"/>
      <c r="H89" s="1069"/>
      <c r="I89" s="1069"/>
      <c r="J89" s="1069"/>
      <c r="K89" s="1069"/>
    </row>
    <row r="90" spans="1:12" s="722" customFormat="1" ht="11.25" customHeight="1">
      <c r="A90" s="1600" t="s">
        <v>1819</v>
      </c>
      <c r="B90" s="1065"/>
      <c r="C90" s="1068"/>
      <c r="D90" s="1068"/>
      <c r="E90" s="1069"/>
      <c r="F90" s="1069"/>
      <c r="G90" s="1069"/>
      <c r="H90" s="1069"/>
      <c r="I90" s="1069"/>
      <c r="J90" s="1069"/>
      <c r="K90" s="1069"/>
    </row>
    <row r="91" spans="1:12" s="722" customFormat="1" ht="11.25" customHeight="1">
      <c r="A91" s="1600" t="s">
        <v>33</v>
      </c>
      <c r="B91" s="1065"/>
      <c r="C91" s="1068"/>
      <c r="D91" s="1068"/>
      <c r="E91" s="1069"/>
      <c r="F91" s="1069"/>
      <c r="G91" s="1069"/>
      <c r="H91" s="1069"/>
      <c r="I91" s="1069"/>
      <c r="J91" s="1069"/>
      <c r="K91" s="1069"/>
    </row>
    <row r="92" spans="1:12" s="722" customFormat="1" ht="11.25" customHeight="1">
      <c r="A92" s="1600" t="s">
        <v>1460</v>
      </c>
      <c r="B92" s="1065"/>
      <c r="C92" s="1068"/>
      <c r="D92" s="1068"/>
      <c r="E92" s="1069"/>
      <c r="F92" s="1069"/>
      <c r="G92" s="1069"/>
      <c r="H92" s="1069"/>
      <c r="I92" s="1069"/>
      <c r="J92" s="1069"/>
      <c r="K92" s="1069"/>
    </row>
    <row r="93" spans="1:12" s="722" customFormat="1" ht="11.25" customHeight="1">
      <c r="A93" s="1600" t="s">
        <v>1461</v>
      </c>
      <c r="B93" s="1065"/>
      <c r="C93" s="1068"/>
      <c r="D93" s="1068"/>
      <c r="E93" s="1069"/>
      <c r="F93" s="1069"/>
      <c r="G93" s="1069"/>
      <c r="H93" s="1069"/>
      <c r="I93" s="1069"/>
      <c r="J93" s="1069"/>
      <c r="K93" s="1069"/>
    </row>
    <row r="94" spans="1:12" s="722" customFormat="1" ht="11.25" customHeight="1">
      <c r="A94" s="1600" t="s">
        <v>407</v>
      </c>
      <c r="B94" s="1065"/>
      <c r="C94" s="1068"/>
      <c r="D94" s="1068"/>
      <c r="E94" s="1069"/>
      <c r="F94" s="1069"/>
      <c r="G94" s="1069"/>
      <c r="H94" s="1069"/>
      <c r="I94" s="1069"/>
      <c r="J94" s="1069"/>
      <c r="K94" s="1069"/>
    </row>
    <row r="95" spans="1:12" s="722" customFormat="1" ht="11.25" customHeight="1">
      <c r="A95" s="1087"/>
      <c r="B95" s="1065"/>
      <c r="C95" s="1068"/>
      <c r="D95" s="1068"/>
      <c r="E95" s="1069"/>
      <c r="F95" s="1069"/>
      <c r="G95" s="1069"/>
      <c r="H95" s="1069"/>
      <c r="I95" s="1069"/>
      <c r="J95" s="1069"/>
      <c r="K95" s="1069"/>
    </row>
    <row r="96" spans="1:12" ht="11.25" customHeight="1">
      <c r="A96" s="247"/>
      <c r="B96" s="237"/>
      <c r="C96" s="241"/>
      <c r="D96" s="241"/>
      <c r="E96" s="242"/>
      <c r="F96" s="242"/>
      <c r="G96" s="242"/>
      <c r="H96" s="242"/>
      <c r="I96" s="242"/>
      <c r="J96" s="242"/>
      <c r="K96" s="242"/>
    </row>
    <row r="97" spans="1:11" ht="11.25" customHeight="1">
      <c r="A97" s="289" t="s">
        <v>304</v>
      </c>
      <c r="B97" s="244"/>
      <c r="C97" s="450">
        <f>C77-'A5-Capex'!C40</f>
        <v>197073901</v>
      </c>
      <c r="D97" s="450">
        <f>D77-'A5-Capex'!D40</f>
        <v>236817045</v>
      </c>
      <c r="E97" s="450">
        <f>E77-'A5-Capex'!E40</f>
        <v>-372</v>
      </c>
      <c r="F97" s="450">
        <f>F77-'A5-Capex'!F40</f>
        <v>-28087266</v>
      </c>
      <c r="G97" s="450">
        <f>G77-'A5-Capex'!G40</f>
        <v>-34040939</v>
      </c>
      <c r="H97" s="450">
        <f>H77-'A5-Capex'!H40</f>
        <v>-34040939</v>
      </c>
      <c r="I97" s="450">
        <f>I77-'A5-Capex'!I40</f>
        <v>-135838007</v>
      </c>
      <c r="J97" s="450">
        <f>J77-'A5-Capex'!J40</f>
        <v>-246813300</v>
      </c>
      <c r="K97" s="450">
        <f>K77-'A5-Capex'!K40</f>
        <v>-278819300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2"/>
  <sheetViews>
    <sheetView showGridLines="0" workbookViewId="0">
      <pane xSplit="2" ySplit="3" topLeftCell="C64" activePane="bottomRight" state="frozen"/>
      <selection pane="topRight" activeCell="C1" sqref="C1"/>
      <selection pane="bottomLeft" activeCell="A4" sqref="A4"/>
      <selection pane="bottomRight" activeCell="I11" sqref="I11"/>
    </sheetView>
  </sheetViews>
  <sheetFormatPr defaultRowHeight="12.75"/>
  <cols>
    <col min="1" max="1" width="30.7109375" style="150" customWidth="1"/>
    <col min="2" max="2" width="3" style="248" customWidth="1"/>
    <col min="3" max="11" width="9.28515625" style="150" customWidth="1"/>
    <col min="12" max="12" width="9.71093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"&amp;TableA34b</f>
        <v>KZN225 Msunduzi - Supporting Table SA34b Capital expenditure on the renewal of existing assets by asset class</v>
      </c>
      <c r="B1" s="148"/>
      <c r="C1" s="148"/>
      <c r="D1" s="148"/>
      <c r="E1" s="148"/>
      <c r="F1" s="148"/>
      <c r="G1" s="148"/>
      <c r="H1" s="148"/>
      <c r="I1" s="148"/>
      <c r="J1" s="148"/>
      <c r="K1" s="148"/>
    </row>
    <row r="2" spans="1:12" ht="28.5" customHeight="1">
      <c r="A2" s="1011" t="str">
        <f>desc</f>
        <v>Description</v>
      </c>
      <c r="B2" s="422" t="str">
        <f>head27</f>
        <v>Ref</v>
      </c>
      <c r="C2" s="151" t="str">
        <f>head1b</f>
        <v>2007/8</v>
      </c>
      <c r="D2" s="769" t="str">
        <f>head1A</f>
        <v>2008/9</v>
      </c>
      <c r="E2" s="147" t="str">
        <f>Head1</f>
        <v>2009/10</v>
      </c>
      <c r="F2" s="2415" t="str">
        <f>Head2</f>
        <v>Current Year 2010/11</v>
      </c>
      <c r="G2" s="2416"/>
      <c r="H2" s="2416"/>
      <c r="I2" s="2412" t="str">
        <f>Head3</f>
        <v>2011/12 Medium Term Revenue &amp; Expenditure Framework</v>
      </c>
      <c r="J2" s="2413"/>
      <c r="K2" s="2414"/>
    </row>
    <row r="3" spans="1:12" ht="25.5">
      <c r="A3" s="181" t="s">
        <v>703</v>
      </c>
      <c r="B3" s="1012">
        <v>1</v>
      </c>
      <c r="C3" s="393" t="str">
        <f>Head5</f>
        <v>Audited Outcome</v>
      </c>
      <c r="D3" s="1025" t="str">
        <f>Head5</f>
        <v>Audited Outcome</v>
      </c>
      <c r="E3" s="394" t="str">
        <f>Head5</f>
        <v>Audited Outcome</v>
      </c>
      <c r="F3" s="300" t="str">
        <f>Head6</f>
        <v>Original Budget</v>
      </c>
      <c r="G3" s="393" t="str">
        <f>Head7</f>
        <v>Adjusted Budget</v>
      </c>
      <c r="H3" s="392" t="str">
        <f>Head8</f>
        <v>Full Year Forecast</v>
      </c>
      <c r="I3" s="300" t="str">
        <f>Head9</f>
        <v>Budget Year 2011/12</v>
      </c>
      <c r="J3" s="393" t="str">
        <f>Head10</f>
        <v>Budget Year +1 2012/13</v>
      </c>
      <c r="K3" s="394" t="str">
        <f>Head11</f>
        <v>Budget Year +2 2013/14</v>
      </c>
    </row>
    <row r="4" spans="1:12" ht="11.25" customHeight="1">
      <c r="A4" s="875" t="s">
        <v>1324</v>
      </c>
      <c r="B4" s="762"/>
      <c r="C4" s="1127"/>
      <c r="D4" s="312"/>
      <c r="E4" s="315"/>
      <c r="F4" s="314"/>
      <c r="G4" s="312"/>
      <c r="H4" s="313"/>
      <c r="I4" s="314"/>
      <c r="J4" s="312"/>
      <c r="K4" s="315"/>
    </row>
    <row r="5" spans="1:12" ht="5.0999999999999996" customHeight="1">
      <c r="A5" s="250"/>
      <c r="B5" s="183"/>
      <c r="C5" s="316"/>
      <c r="D5" s="316"/>
      <c r="E5" s="319"/>
      <c r="F5" s="318"/>
      <c r="G5" s="316"/>
      <c r="H5" s="317"/>
      <c r="I5" s="318"/>
      <c r="J5" s="316"/>
      <c r="K5" s="319"/>
    </row>
    <row r="6" spans="1:12" ht="11.25" customHeight="1">
      <c r="A6" s="250" t="s">
        <v>1059</v>
      </c>
      <c r="B6" s="183"/>
      <c r="C6" s="397">
        <f>C7+C10+C14+C18+C21</f>
        <v>1754275</v>
      </c>
      <c r="D6" s="397">
        <f t="shared" ref="D6:K6" si="0">D7+D10+D14+D18+D21</f>
        <v>70024431</v>
      </c>
      <c r="E6" s="346">
        <f t="shared" si="0"/>
        <v>95810000</v>
      </c>
      <c r="F6" s="398">
        <f t="shared" si="0"/>
        <v>28087000</v>
      </c>
      <c r="G6" s="397">
        <f t="shared" si="0"/>
        <v>32450673</v>
      </c>
      <c r="H6" s="399">
        <f t="shared" si="0"/>
        <v>32450673</v>
      </c>
      <c r="I6" s="398">
        <f t="shared" si="0"/>
        <v>53636300</v>
      </c>
      <c r="J6" s="397">
        <f t="shared" si="0"/>
        <v>96970300</v>
      </c>
      <c r="K6" s="346">
        <f t="shared" si="0"/>
        <v>162215000</v>
      </c>
      <c r="L6" s="1647"/>
    </row>
    <row r="7" spans="1:12" s="1623" customFormat="1" ht="13.5">
      <c r="A7" s="251" t="s">
        <v>566</v>
      </c>
      <c r="B7" s="183"/>
      <c r="C7" s="1139">
        <f>SUM(C8:C9)</f>
        <v>0</v>
      </c>
      <c r="D7" s="1139">
        <f t="shared" ref="D7:K7" si="1">SUM(D8:D9)</f>
        <v>20496473</v>
      </c>
      <c r="E7" s="1467">
        <f t="shared" si="1"/>
        <v>25990000</v>
      </c>
      <c r="F7" s="1143">
        <f t="shared" si="1"/>
        <v>12087000</v>
      </c>
      <c r="G7" s="1139">
        <f t="shared" si="1"/>
        <v>12087000</v>
      </c>
      <c r="H7" s="1188">
        <f t="shared" si="1"/>
        <v>12087000</v>
      </c>
      <c r="I7" s="1468">
        <f t="shared" si="1"/>
        <v>27275000</v>
      </c>
      <c r="J7" s="1139">
        <f t="shared" si="1"/>
        <v>96970300</v>
      </c>
      <c r="K7" s="1188">
        <f t="shared" si="1"/>
        <v>162215000</v>
      </c>
      <c r="L7" s="373"/>
    </row>
    <row r="8" spans="1:12" s="1623" customFormat="1" ht="13.5">
      <c r="A8" s="1333" t="s">
        <v>567</v>
      </c>
      <c r="B8" s="183"/>
      <c r="C8" s="1083"/>
      <c r="D8" s="1084">
        <v>20496473</v>
      </c>
      <c r="E8" s="1084">
        <v>22300000</v>
      </c>
      <c r="F8" s="1080">
        <v>12087000</v>
      </c>
      <c r="G8" s="1708">
        <v>12087000</v>
      </c>
      <c r="H8" s="1732">
        <v>12087000</v>
      </c>
      <c r="I8" s="1081">
        <v>27275000</v>
      </c>
      <c r="J8" s="1708">
        <f>35237300+61733000</f>
        <v>96970300</v>
      </c>
      <c r="K8" s="1730">
        <v>162215000</v>
      </c>
      <c r="L8" s="1647"/>
    </row>
    <row r="9" spans="1:12" s="1623" customFormat="1" ht="13.5">
      <c r="A9" s="1333" t="s">
        <v>568</v>
      </c>
      <c r="B9" s="183"/>
      <c r="C9" s="1083"/>
      <c r="D9" s="1084">
        <v>0</v>
      </c>
      <c r="E9" s="1084">
        <v>3690000</v>
      </c>
      <c r="F9" s="1731"/>
      <c r="G9" s="1708"/>
      <c r="H9" s="1732"/>
      <c r="I9" s="1081"/>
      <c r="J9" s="1708"/>
      <c r="K9" s="1730"/>
      <c r="L9" s="1648"/>
    </row>
    <row r="10" spans="1:12" s="1623" customFormat="1" ht="13.5">
      <c r="A10" s="251" t="s">
        <v>21</v>
      </c>
      <c r="B10" s="183"/>
      <c r="C10" s="1091">
        <f>SUM(C11:C13)</f>
        <v>784406</v>
      </c>
      <c r="D10" s="1091">
        <f t="shared" ref="D10:K10" si="2">SUM(D11:D13)</f>
        <v>0</v>
      </c>
      <c r="E10" s="1469">
        <f t="shared" si="2"/>
        <v>4900000</v>
      </c>
      <c r="F10" s="1095">
        <f t="shared" si="2"/>
        <v>0</v>
      </c>
      <c r="G10" s="1091">
        <f t="shared" si="2"/>
        <v>4063673</v>
      </c>
      <c r="H10" s="1191">
        <f t="shared" si="2"/>
        <v>4063673</v>
      </c>
      <c r="I10" s="1470">
        <f t="shared" si="2"/>
        <v>26361300</v>
      </c>
      <c r="J10" s="1091">
        <f t="shared" si="2"/>
        <v>0</v>
      </c>
      <c r="K10" s="1191">
        <f t="shared" si="2"/>
        <v>0</v>
      </c>
      <c r="L10" s="1648"/>
    </row>
    <row r="11" spans="1:12" s="1623" customFormat="1" ht="13.5">
      <c r="A11" s="1333" t="s">
        <v>22</v>
      </c>
      <c r="B11" s="183"/>
      <c r="C11" s="2325"/>
      <c r="D11" s="2326"/>
      <c r="E11" s="1084"/>
      <c r="F11" s="1710"/>
      <c r="G11" s="1708"/>
      <c r="H11" s="1711"/>
      <c r="I11" s="1711">
        <v>26361300</v>
      </c>
      <c r="J11" s="1708"/>
      <c r="K11" s="1711"/>
      <c r="L11" s="1648"/>
    </row>
    <row r="12" spans="1:12" s="1623" customFormat="1" ht="13.5">
      <c r="A12" s="1333" t="s">
        <v>23</v>
      </c>
      <c r="B12" s="183"/>
      <c r="C12" s="1709">
        <v>629406</v>
      </c>
      <c r="D12" s="1082">
        <v>0</v>
      </c>
      <c r="E12" s="1084">
        <v>4900000</v>
      </c>
      <c r="F12" s="1710"/>
      <c r="G12" s="1708">
        <v>4063673</v>
      </c>
      <c r="H12" s="1711">
        <v>4063673</v>
      </c>
      <c r="I12" s="1711"/>
      <c r="J12" s="1708"/>
      <c r="K12" s="1711"/>
      <c r="L12" s="1648"/>
    </row>
    <row r="13" spans="1:12" s="1623" customFormat="1" ht="13.5">
      <c r="A13" s="1333" t="s">
        <v>139</v>
      </c>
      <c r="B13" s="183"/>
      <c r="C13" s="1709">
        <v>155000</v>
      </c>
      <c r="D13" s="1082">
        <v>0</v>
      </c>
      <c r="E13" s="1084">
        <v>0</v>
      </c>
      <c r="F13" s="1710"/>
      <c r="G13" s="1708"/>
      <c r="H13" s="1711"/>
      <c r="I13" s="1711"/>
      <c r="J13" s="1708"/>
      <c r="K13" s="1711"/>
      <c r="L13" s="1648"/>
    </row>
    <row r="14" spans="1:12" s="1623" customFormat="1" ht="13.5">
      <c r="A14" s="255" t="s">
        <v>24</v>
      </c>
      <c r="B14" s="351"/>
      <c r="C14" s="1091">
        <f>SUM(C15:C17)</f>
        <v>387947</v>
      </c>
      <c r="D14" s="1091">
        <f t="shared" ref="D14:K14" si="3">SUM(D15:D17)</f>
        <v>19811183</v>
      </c>
      <c r="E14" s="1469">
        <f t="shared" si="3"/>
        <v>27507000</v>
      </c>
      <c r="F14" s="1095">
        <f t="shared" si="3"/>
        <v>10000000</v>
      </c>
      <c r="G14" s="1091">
        <f t="shared" si="3"/>
        <v>10000000</v>
      </c>
      <c r="H14" s="1191">
        <f t="shared" si="3"/>
        <v>10000000</v>
      </c>
      <c r="I14" s="1470">
        <f t="shared" si="3"/>
        <v>0</v>
      </c>
      <c r="J14" s="1091">
        <f t="shared" si="3"/>
        <v>0</v>
      </c>
      <c r="K14" s="1191">
        <f t="shared" si="3"/>
        <v>0</v>
      </c>
      <c r="L14" s="1648"/>
    </row>
    <row r="15" spans="1:12" s="1623" customFormat="1" ht="13.5">
      <c r="A15" s="1333" t="s">
        <v>25</v>
      </c>
      <c r="B15" s="183"/>
      <c r="C15" s="1709"/>
      <c r="D15" s="1084"/>
      <c r="E15" s="1084"/>
      <c r="F15" s="1710"/>
      <c r="G15" s="1708"/>
      <c r="H15" s="1711"/>
      <c r="I15" s="1711"/>
      <c r="J15" s="1708"/>
      <c r="K15" s="1711"/>
      <c r="L15" s="1648"/>
    </row>
    <row r="16" spans="1:12" s="1623" customFormat="1" ht="13.5">
      <c r="A16" s="1333" t="s">
        <v>26</v>
      </c>
      <c r="B16" s="183"/>
      <c r="C16" s="1709"/>
      <c r="D16" s="1084"/>
      <c r="E16" s="1084"/>
      <c r="F16" s="1710"/>
      <c r="G16" s="1708"/>
      <c r="H16" s="1711"/>
      <c r="I16" s="1711"/>
      <c r="J16" s="1708"/>
      <c r="K16" s="1711"/>
      <c r="L16" s="1648"/>
    </row>
    <row r="17" spans="1:12" s="1623" customFormat="1" ht="13.5">
      <c r="A17" s="1333" t="s">
        <v>27</v>
      </c>
      <c r="B17" s="183"/>
      <c r="C17" s="1709">
        <v>387947</v>
      </c>
      <c r="D17" s="1082">
        <v>19811183</v>
      </c>
      <c r="E17" s="1084">
        <v>27507000</v>
      </c>
      <c r="F17" s="1080">
        <v>10000000</v>
      </c>
      <c r="G17" s="1708">
        <v>10000000</v>
      </c>
      <c r="H17" s="1711">
        <v>10000000</v>
      </c>
      <c r="I17" s="1711"/>
      <c r="J17" s="1708"/>
      <c r="K17" s="1711"/>
      <c r="L17" s="1648"/>
    </row>
    <row r="18" spans="1:12" s="1623" customFormat="1" ht="13.5">
      <c r="A18" s="255" t="s">
        <v>28</v>
      </c>
      <c r="B18" s="183"/>
      <c r="C18" s="1091">
        <f t="shared" ref="C18:K18" si="4">SUM(C19:C20)</f>
        <v>581922</v>
      </c>
      <c r="D18" s="1091">
        <f t="shared" si="4"/>
        <v>29716775</v>
      </c>
      <c r="E18" s="1469">
        <f t="shared" si="4"/>
        <v>37413000</v>
      </c>
      <c r="F18" s="1095">
        <f t="shared" si="4"/>
        <v>6000000</v>
      </c>
      <c r="G18" s="1091">
        <f t="shared" si="4"/>
        <v>6300000</v>
      </c>
      <c r="H18" s="1191">
        <f t="shared" si="4"/>
        <v>6300000</v>
      </c>
      <c r="I18" s="1470">
        <f t="shared" si="4"/>
        <v>0</v>
      </c>
      <c r="J18" s="1091">
        <f t="shared" si="4"/>
        <v>0</v>
      </c>
      <c r="K18" s="1191">
        <f t="shared" si="4"/>
        <v>0</v>
      </c>
      <c r="L18" s="1648"/>
    </row>
    <row r="19" spans="1:12" s="1623" customFormat="1" ht="13.5">
      <c r="A19" s="1333" t="s">
        <v>27</v>
      </c>
      <c r="B19" s="183"/>
      <c r="C19" s="1709">
        <v>581922</v>
      </c>
      <c r="D19" s="1082">
        <v>29716775</v>
      </c>
      <c r="E19" s="1084">
        <v>37413000</v>
      </c>
      <c r="F19" s="1080">
        <v>6000000</v>
      </c>
      <c r="G19" s="1708">
        <v>6300000</v>
      </c>
      <c r="H19" s="1711">
        <v>6300000</v>
      </c>
      <c r="I19" s="1711"/>
      <c r="J19" s="1708"/>
      <c r="K19" s="1711"/>
      <c r="L19" s="1648"/>
    </row>
    <row r="20" spans="1:12" s="1623" customFormat="1" ht="13.5">
      <c r="A20" s="1333" t="s">
        <v>29</v>
      </c>
      <c r="B20" s="183"/>
      <c r="C20" s="1708"/>
      <c r="D20" s="1708"/>
      <c r="E20" s="1084"/>
      <c r="F20" s="1710"/>
      <c r="G20" s="1708"/>
      <c r="H20" s="1711"/>
      <c r="I20" s="1711"/>
      <c r="J20" s="1708"/>
      <c r="K20" s="1711"/>
      <c r="L20" s="1648"/>
    </row>
    <row r="21" spans="1:12" s="1623" customFormat="1" ht="13.5">
      <c r="A21" s="251" t="s">
        <v>30</v>
      </c>
      <c r="B21" s="183"/>
      <c r="C21" s="1091">
        <f>SUM(C22:C25)</f>
        <v>0</v>
      </c>
      <c r="D21" s="1091">
        <f t="shared" ref="D21:K21" si="5">SUM(D22:D25)</f>
        <v>0</v>
      </c>
      <c r="E21" s="1091">
        <f t="shared" si="5"/>
        <v>0</v>
      </c>
      <c r="F21" s="1095">
        <f t="shared" si="5"/>
        <v>0</v>
      </c>
      <c r="G21" s="1091">
        <f t="shared" si="5"/>
        <v>0</v>
      </c>
      <c r="H21" s="1191">
        <f t="shared" si="5"/>
        <v>0</v>
      </c>
      <c r="I21" s="1470">
        <f t="shared" si="5"/>
        <v>0</v>
      </c>
      <c r="J21" s="1091">
        <f t="shared" si="5"/>
        <v>0</v>
      </c>
      <c r="K21" s="1191">
        <f t="shared" si="5"/>
        <v>0</v>
      </c>
      <c r="L21" s="1648"/>
    </row>
    <row r="22" spans="1:12" s="1623" customFormat="1" ht="13.5">
      <c r="A22" s="1333" t="s">
        <v>1171</v>
      </c>
      <c r="B22" s="183"/>
      <c r="C22" s="1708"/>
      <c r="D22" s="1708"/>
      <c r="E22" s="1732"/>
      <c r="F22" s="1731"/>
      <c r="G22" s="1708"/>
      <c r="H22" s="1732"/>
      <c r="I22" s="1731"/>
      <c r="J22" s="1708"/>
      <c r="K22" s="1711"/>
      <c r="L22" s="1647"/>
    </row>
    <row r="23" spans="1:12" s="1623" customFormat="1" ht="13.5">
      <c r="A23" s="1333" t="s">
        <v>332</v>
      </c>
      <c r="B23" s="183">
        <v>2</v>
      </c>
      <c r="C23" s="1708"/>
      <c r="D23" s="1708"/>
      <c r="E23" s="1730"/>
      <c r="F23" s="1731"/>
      <c r="G23" s="1708"/>
      <c r="H23" s="1732"/>
      <c r="I23" s="1731"/>
      <c r="J23" s="1708"/>
      <c r="K23" s="1711"/>
      <c r="L23" s="1648"/>
    </row>
    <row r="24" spans="1:12" s="1623" customFormat="1" ht="13.5">
      <c r="A24" s="1333" t="s">
        <v>140</v>
      </c>
      <c r="B24" s="183"/>
      <c r="C24" s="1708"/>
      <c r="D24" s="1708"/>
      <c r="E24" s="1730"/>
      <c r="F24" s="1731"/>
      <c r="G24" s="1708"/>
      <c r="H24" s="1732"/>
      <c r="I24" s="1731"/>
      <c r="J24" s="1708"/>
      <c r="K24" s="1730"/>
      <c r="L24" s="1648"/>
    </row>
    <row r="25" spans="1:12" s="1623" customFormat="1" ht="13.5">
      <c r="A25" s="1333" t="s">
        <v>301</v>
      </c>
      <c r="B25" s="183">
        <v>3</v>
      </c>
      <c r="C25" s="1708"/>
      <c r="D25" s="1708"/>
      <c r="E25" s="1730"/>
      <c r="F25" s="1731"/>
      <c r="G25" s="1708"/>
      <c r="H25" s="1732"/>
      <c r="I25" s="1731"/>
      <c r="J25" s="1708"/>
      <c r="K25" s="1730"/>
      <c r="L25" s="1648"/>
    </row>
    <row r="26" spans="1:12" ht="5.0999999999999996" customHeight="1">
      <c r="A26" s="274"/>
      <c r="B26" s="183"/>
      <c r="C26" s="204"/>
      <c r="D26" s="204"/>
      <c r="E26" s="205"/>
      <c r="F26" s="206"/>
      <c r="G26" s="204"/>
      <c r="H26" s="203"/>
      <c r="I26" s="206"/>
      <c r="J26" s="204"/>
      <c r="K26" s="205"/>
      <c r="L26" s="373"/>
    </row>
    <row r="27" spans="1:12" ht="17.25" customHeight="1">
      <c r="A27" s="250" t="s">
        <v>1713</v>
      </c>
      <c r="B27" s="183"/>
      <c r="C27" s="219">
        <f>SUM(C28:C41)</f>
        <v>0</v>
      </c>
      <c r="D27" s="219">
        <f>SUM(D28:D41)</f>
        <v>6957742</v>
      </c>
      <c r="E27" s="220">
        <f t="shared" ref="E27:K27" si="6">SUM(E28:E41)</f>
        <v>0</v>
      </c>
      <c r="F27" s="221">
        <f t="shared" si="6"/>
        <v>0</v>
      </c>
      <c r="G27" s="219">
        <f t="shared" si="6"/>
        <v>0</v>
      </c>
      <c r="H27" s="218">
        <f t="shared" si="6"/>
        <v>0</v>
      </c>
      <c r="I27" s="221">
        <f t="shared" si="6"/>
        <v>43067000</v>
      </c>
      <c r="J27" s="219">
        <f t="shared" si="6"/>
        <v>23480000</v>
      </c>
      <c r="K27" s="220">
        <f t="shared" si="6"/>
        <v>0</v>
      </c>
      <c r="L27" s="373"/>
    </row>
    <row r="28" spans="1:12" ht="11.25" customHeight="1">
      <c r="A28" s="251" t="s">
        <v>2</v>
      </c>
      <c r="B28" s="183"/>
      <c r="C28" s="2327"/>
      <c r="D28" s="1715">
        <v>104366</v>
      </c>
      <c r="E28" s="1964"/>
      <c r="F28" s="2030"/>
      <c r="G28" s="1713"/>
      <c r="H28" s="2050"/>
      <c r="I28" s="1964"/>
      <c r="J28" s="1713">
        <v>300000</v>
      </c>
      <c r="K28" s="1964"/>
      <c r="L28" s="1648"/>
    </row>
    <row r="29" spans="1:12" ht="11.25" customHeight="1">
      <c r="A29" s="251" t="s">
        <v>1734</v>
      </c>
      <c r="B29" s="183"/>
      <c r="C29" s="2328"/>
      <c r="D29" s="1084">
        <v>730563</v>
      </c>
      <c r="E29" s="1730"/>
      <c r="F29" s="1731"/>
      <c r="G29" s="1708"/>
      <c r="H29" s="1732"/>
      <c r="I29" s="1081"/>
      <c r="J29" s="1708"/>
      <c r="K29" s="1730"/>
      <c r="L29" s="1648"/>
    </row>
    <row r="30" spans="1:12" ht="11.25" customHeight="1">
      <c r="A30" s="251" t="s">
        <v>534</v>
      </c>
      <c r="B30" s="183"/>
      <c r="C30" s="2328"/>
      <c r="D30" s="1084"/>
      <c r="E30" s="1730"/>
      <c r="F30" s="1731"/>
      <c r="G30" s="1708"/>
      <c r="H30" s="1732"/>
      <c r="I30" s="1081"/>
      <c r="J30" s="1708"/>
      <c r="K30" s="1730"/>
      <c r="L30" s="1648"/>
    </row>
    <row r="31" spans="1:12" ht="11.25" customHeight="1">
      <c r="A31" s="251" t="s">
        <v>1</v>
      </c>
      <c r="B31" s="183"/>
      <c r="C31" s="2328"/>
      <c r="D31" s="1084">
        <v>417464</v>
      </c>
      <c r="E31" s="1730"/>
      <c r="F31" s="1731"/>
      <c r="G31" s="1708"/>
      <c r="H31" s="1732"/>
      <c r="I31" s="1081"/>
      <c r="J31" s="1708"/>
      <c r="K31" s="1730"/>
      <c r="L31" s="1648"/>
    </row>
    <row r="32" spans="1:12" ht="11.25" customHeight="1">
      <c r="A32" s="251" t="s">
        <v>351</v>
      </c>
      <c r="B32" s="183"/>
      <c r="C32" s="2328"/>
      <c r="D32" s="1084">
        <v>208732</v>
      </c>
      <c r="E32" s="1730"/>
      <c r="F32" s="1731"/>
      <c r="G32" s="1708"/>
      <c r="H32" s="1732"/>
      <c r="I32" s="1081"/>
      <c r="J32" s="1708"/>
      <c r="K32" s="1730"/>
      <c r="L32" s="1648"/>
    </row>
    <row r="33" spans="1:15" ht="11.25" customHeight="1">
      <c r="A33" s="251" t="s">
        <v>0</v>
      </c>
      <c r="B33" s="183"/>
      <c r="C33" s="2328"/>
      <c r="D33" s="1084">
        <v>3618028</v>
      </c>
      <c r="E33" s="1730"/>
      <c r="F33" s="1731"/>
      <c r="G33" s="1708"/>
      <c r="H33" s="1732"/>
      <c r="I33" s="1081"/>
      <c r="J33" s="1708"/>
      <c r="K33" s="1730"/>
      <c r="L33" s="1648"/>
    </row>
    <row r="34" spans="1:15" ht="11.25" customHeight="1">
      <c r="A34" s="251" t="s">
        <v>1735</v>
      </c>
      <c r="B34" s="183"/>
      <c r="C34" s="2328"/>
      <c r="D34" s="1084"/>
      <c r="E34" s="1730"/>
      <c r="F34" s="1731"/>
      <c r="G34" s="1708"/>
      <c r="H34" s="1732"/>
      <c r="I34" s="1081"/>
      <c r="J34" s="1708"/>
      <c r="K34" s="1730"/>
      <c r="L34" s="1648"/>
    </row>
    <row r="35" spans="1:15" ht="11.25" customHeight="1">
      <c r="A35" s="251" t="s">
        <v>1043</v>
      </c>
      <c r="B35" s="183"/>
      <c r="C35" s="2328"/>
      <c r="D35" s="1084"/>
      <c r="E35" s="1730"/>
      <c r="F35" s="1731"/>
      <c r="G35" s="1708"/>
      <c r="H35" s="1732"/>
      <c r="I35" s="1081"/>
      <c r="J35" s="1708"/>
      <c r="K35" s="1730"/>
      <c r="L35" s="1648"/>
    </row>
    <row r="36" spans="1:15" ht="11.25" customHeight="1">
      <c r="A36" s="251" t="s">
        <v>1664</v>
      </c>
      <c r="B36" s="183">
        <v>7</v>
      </c>
      <c r="C36" s="2328"/>
      <c r="D36" s="1084"/>
      <c r="E36" s="1730"/>
      <c r="F36" s="1731"/>
      <c r="G36" s="1708"/>
      <c r="H36" s="1732"/>
      <c r="I36" s="1081">
        <v>29400000</v>
      </c>
      <c r="J36" s="1708">
        <v>20000000</v>
      </c>
      <c r="K36" s="1730"/>
      <c r="L36" s="1648"/>
    </row>
    <row r="37" spans="1:15" ht="11.25" customHeight="1">
      <c r="A37" s="251" t="s">
        <v>1393</v>
      </c>
      <c r="B37" s="183"/>
      <c r="C37" s="2328"/>
      <c r="D37" s="1084">
        <v>834929</v>
      </c>
      <c r="E37" s="1730"/>
      <c r="F37" s="1731"/>
      <c r="G37" s="1708"/>
      <c r="H37" s="1732"/>
      <c r="I37" s="1081">
        <v>4020000</v>
      </c>
      <c r="J37" s="1708">
        <v>3180000</v>
      </c>
      <c r="K37" s="1730"/>
      <c r="L37" s="1648"/>
      <c r="O37" s="373"/>
    </row>
    <row r="38" spans="1:15" ht="11.25" customHeight="1">
      <c r="A38" s="251" t="s">
        <v>764</v>
      </c>
      <c r="B38" s="183"/>
      <c r="C38" s="2328"/>
      <c r="D38" s="1084">
        <v>79577</v>
      </c>
      <c r="E38" s="1730"/>
      <c r="F38" s="1731"/>
      <c r="G38" s="1708"/>
      <c r="H38" s="1732"/>
      <c r="I38" s="1081"/>
      <c r="J38" s="1708"/>
      <c r="K38" s="1730"/>
      <c r="L38" s="1648"/>
    </row>
    <row r="39" spans="1:15" ht="11.25" customHeight="1">
      <c r="A39" s="251" t="s">
        <v>532</v>
      </c>
      <c r="B39" s="183"/>
      <c r="C39" s="2328"/>
      <c r="D39" s="1084">
        <v>173943</v>
      </c>
      <c r="E39" s="1730"/>
      <c r="F39" s="1731"/>
      <c r="G39" s="1708"/>
      <c r="H39" s="1732"/>
      <c r="I39" s="1081"/>
      <c r="J39" s="1708"/>
      <c r="K39" s="1730"/>
      <c r="L39" s="1648"/>
    </row>
    <row r="40" spans="1:15" ht="11.25" customHeight="1">
      <c r="A40" s="251" t="s">
        <v>31</v>
      </c>
      <c r="B40" s="183">
        <v>8</v>
      </c>
      <c r="C40" s="2328"/>
      <c r="D40" s="1084"/>
      <c r="E40" s="1730"/>
      <c r="F40" s="1731"/>
      <c r="G40" s="1708"/>
      <c r="H40" s="1732"/>
      <c r="I40" s="1081"/>
      <c r="J40" s="1708"/>
      <c r="K40" s="1730"/>
      <c r="L40" s="373"/>
    </row>
    <row r="41" spans="1:15" ht="11.25" customHeight="1">
      <c r="A41" s="251" t="s">
        <v>301</v>
      </c>
      <c r="B41" s="183"/>
      <c r="C41" s="2329"/>
      <c r="D41" s="1758">
        <v>790140</v>
      </c>
      <c r="E41" s="1755"/>
      <c r="F41" s="1756"/>
      <c r="G41" s="1754"/>
      <c r="H41" s="1757"/>
      <c r="I41" s="1755">
        <v>9647000</v>
      </c>
      <c r="J41" s="1754"/>
      <c r="K41" s="1755"/>
      <c r="L41" s="1648"/>
    </row>
    <row r="42" spans="1:15" ht="5.0999999999999996" customHeight="1">
      <c r="A42" s="274"/>
      <c r="B42" s="183"/>
      <c r="C42" s="204"/>
      <c r="D42" s="204"/>
      <c r="E42" s="205"/>
      <c r="F42" s="206"/>
      <c r="G42" s="204"/>
      <c r="H42" s="203"/>
      <c r="I42" s="206"/>
      <c r="J42" s="204"/>
      <c r="K42" s="205"/>
      <c r="L42" s="373"/>
    </row>
    <row r="43" spans="1:15" ht="17.25" customHeight="1">
      <c r="A43" s="250" t="s">
        <v>1046</v>
      </c>
      <c r="B43" s="183"/>
      <c r="C43" s="204">
        <f>SUM(C44:C45)</f>
        <v>0</v>
      </c>
      <c r="D43" s="204">
        <f>SUM(D44:D45)</f>
        <v>0</v>
      </c>
      <c r="E43" s="205">
        <f t="shared" ref="E43:K43" si="7">SUM(E44:E45)</f>
        <v>0</v>
      </c>
      <c r="F43" s="206">
        <f t="shared" si="7"/>
        <v>0</v>
      </c>
      <c r="G43" s="204">
        <f t="shared" si="7"/>
        <v>0</v>
      </c>
      <c r="H43" s="203">
        <f t="shared" si="7"/>
        <v>0</v>
      </c>
      <c r="I43" s="206">
        <f t="shared" si="7"/>
        <v>0</v>
      </c>
      <c r="J43" s="204">
        <f t="shared" si="7"/>
        <v>0</v>
      </c>
      <c r="K43" s="205">
        <f t="shared" si="7"/>
        <v>0</v>
      </c>
      <c r="L43" s="373"/>
    </row>
    <row r="44" spans="1:15" ht="11.25" customHeight="1">
      <c r="A44" s="251" t="s">
        <v>1363</v>
      </c>
      <c r="B44" s="183"/>
      <c r="C44" s="1717"/>
      <c r="D44" s="1717"/>
      <c r="E44" s="2051"/>
      <c r="F44" s="2052"/>
      <c r="G44" s="1717"/>
      <c r="H44" s="2053"/>
      <c r="I44" s="2052"/>
      <c r="J44" s="1717"/>
      <c r="K44" s="2051"/>
      <c r="L44" s="373"/>
    </row>
    <row r="45" spans="1:15" ht="11.25" customHeight="1">
      <c r="A45" s="255" t="s">
        <v>301</v>
      </c>
      <c r="B45" s="183">
        <v>9</v>
      </c>
      <c r="C45" s="1747"/>
      <c r="D45" s="1747"/>
      <c r="E45" s="2054"/>
      <c r="F45" s="2055"/>
      <c r="G45" s="1747"/>
      <c r="H45" s="2056"/>
      <c r="I45" s="2055"/>
      <c r="J45" s="1747"/>
      <c r="K45" s="2054"/>
      <c r="L45" s="373"/>
    </row>
    <row r="46" spans="1:15" ht="5.0999999999999996" customHeight="1">
      <c r="A46" s="831"/>
      <c r="B46" s="183"/>
      <c r="C46" s="204"/>
      <c r="D46" s="204"/>
      <c r="E46" s="205"/>
      <c r="F46" s="206"/>
      <c r="G46" s="204"/>
      <c r="H46" s="203"/>
      <c r="I46" s="206"/>
      <c r="J46" s="204"/>
      <c r="K46" s="205"/>
      <c r="L46" s="373"/>
    </row>
    <row r="47" spans="1:15" ht="17.25" customHeight="1">
      <c r="A47" s="823" t="s">
        <v>1047</v>
      </c>
      <c r="B47" s="183"/>
      <c r="C47" s="219">
        <f>SUM(C48:C49)</f>
        <v>0</v>
      </c>
      <c r="D47" s="219">
        <f>SUM(D48:D49)</f>
        <v>0</v>
      </c>
      <c r="E47" s="220">
        <f t="shared" ref="E47:K47" si="8">SUM(E48:E49)</f>
        <v>0</v>
      </c>
      <c r="F47" s="221">
        <f t="shared" si="8"/>
        <v>0</v>
      </c>
      <c r="G47" s="219">
        <f t="shared" si="8"/>
        <v>0</v>
      </c>
      <c r="H47" s="218">
        <f t="shared" si="8"/>
        <v>0</v>
      </c>
      <c r="I47" s="221">
        <f t="shared" si="8"/>
        <v>0</v>
      </c>
      <c r="J47" s="219">
        <f t="shared" si="8"/>
        <v>0</v>
      </c>
      <c r="K47" s="220">
        <f t="shared" si="8"/>
        <v>0</v>
      </c>
      <c r="L47" s="373"/>
    </row>
    <row r="48" spans="1:15" ht="11.25" customHeight="1">
      <c r="A48" s="255" t="s">
        <v>533</v>
      </c>
      <c r="B48" s="183"/>
      <c r="C48" s="1713"/>
      <c r="D48" s="1713"/>
      <c r="E48" s="1964"/>
      <c r="F48" s="2030"/>
      <c r="G48" s="1713"/>
      <c r="H48" s="2050"/>
      <c r="I48" s="2030"/>
      <c r="J48" s="1713"/>
      <c r="K48" s="1964"/>
      <c r="L48" s="1648"/>
    </row>
    <row r="49" spans="1:12" ht="11.25" customHeight="1">
      <c r="A49" s="255" t="s">
        <v>301</v>
      </c>
      <c r="B49" s="183"/>
      <c r="C49" s="1754"/>
      <c r="D49" s="1754"/>
      <c r="E49" s="1755"/>
      <c r="F49" s="1756"/>
      <c r="G49" s="1754"/>
      <c r="H49" s="1757"/>
      <c r="I49" s="1756"/>
      <c r="J49" s="1754"/>
      <c r="K49" s="1755"/>
      <c r="L49" s="373"/>
    </row>
    <row r="50" spans="1:12" ht="5.0999999999999996" customHeight="1">
      <c r="A50" s="831"/>
      <c r="B50" s="183"/>
      <c r="C50" s="204"/>
      <c r="D50" s="204"/>
      <c r="E50" s="205"/>
      <c r="F50" s="206"/>
      <c r="G50" s="204"/>
      <c r="H50" s="203"/>
      <c r="I50" s="206"/>
      <c r="J50" s="204"/>
      <c r="K50" s="205"/>
      <c r="L50" s="373"/>
    </row>
    <row r="51" spans="1:12" ht="17.25" customHeight="1">
      <c r="A51" s="823" t="s">
        <v>1048</v>
      </c>
      <c r="B51" s="183"/>
      <c r="C51" s="219">
        <f>SUM(C52:C63)</f>
        <v>11459666</v>
      </c>
      <c r="D51" s="219">
        <f t="shared" ref="D51:K51" si="9">SUM(D52:D63)</f>
        <v>0</v>
      </c>
      <c r="E51" s="220">
        <f t="shared" si="9"/>
        <v>0</v>
      </c>
      <c r="F51" s="221">
        <f t="shared" si="9"/>
        <v>0</v>
      </c>
      <c r="G51" s="219">
        <f t="shared" si="9"/>
        <v>1590000</v>
      </c>
      <c r="H51" s="218">
        <f t="shared" si="9"/>
        <v>1590000</v>
      </c>
      <c r="I51" s="221">
        <f t="shared" si="9"/>
        <v>55900000</v>
      </c>
      <c r="J51" s="219">
        <f t="shared" si="9"/>
        <v>25869000</v>
      </c>
      <c r="K51" s="220">
        <f t="shared" si="9"/>
        <v>20000000</v>
      </c>
      <c r="L51" s="373"/>
    </row>
    <row r="52" spans="1:12" ht="11.25" customHeight="1">
      <c r="A52" s="255" t="s">
        <v>667</v>
      </c>
      <c r="B52" s="183"/>
      <c r="C52" s="1713"/>
      <c r="D52" s="1713"/>
      <c r="E52" s="1964"/>
      <c r="F52" s="2030"/>
      <c r="G52" s="1713"/>
      <c r="H52" s="2050"/>
      <c r="I52" s="2030"/>
      <c r="J52" s="1713"/>
      <c r="K52" s="1964"/>
      <c r="L52" s="1648"/>
    </row>
    <row r="53" spans="1:12" ht="11.25" customHeight="1">
      <c r="A53" s="255" t="s">
        <v>32</v>
      </c>
      <c r="B53" s="183">
        <v>10</v>
      </c>
      <c r="C53" s="1708"/>
      <c r="D53" s="1708"/>
      <c r="E53" s="1730"/>
      <c r="F53" s="1731"/>
      <c r="G53" s="1708"/>
      <c r="H53" s="1732"/>
      <c r="I53" s="1731"/>
      <c r="J53" s="1708"/>
      <c r="K53" s="1730"/>
      <c r="L53" s="373"/>
    </row>
    <row r="54" spans="1:12" ht="11.25" customHeight="1">
      <c r="A54" s="255" t="s">
        <v>1349</v>
      </c>
      <c r="B54" s="183"/>
      <c r="C54" s="1708"/>
      <c r="D54" s="1708"/>
      <c r="E54" s="1730"/>
      <c r="F54" s="1731"/>
      <c r="G54" s="1708"/>
      <c r="H54" s="1732"/>
      <c r="I54" s="1731"/>
      <c r="J54" s="1708"/>
      <c r="K54" s="1730"/>
      <c r="L54" s="1648"/>
    </row>
    <row r="55" spans="1:12" ht="11.25" customHeight="1">
      <c r="A55" s="255" t="s">
        <v>668</v>
      </c>
      <c r="B55" s="183"/>
      <c r="C55" s="1708"/>
      <c r="D55" s="1708"/>
      <c r="E55" s="1730"/>
      <c r="F55" s="1731"/>
      <c r="G55" s="1708">
        <v>1590000</v>
      </c>
      <c r="H55" s="1732">
        <v>1590000</v>
      </c>
      <c r="I55" s="1731"/>
      <c r="J55" s="1708"/>
      <c r="K55" s="1730"/>
      <c r="L55" s="1648"/>
    </row>
    <row r="56" spans="1:12" ht="11.25" customHeight="1">
      <c r="A56" s="255" t="s">
        <v>669</v>
      </c>
      <c r="B56" s="183"/>
      <c r="C56" s="1708"/>
      <c r="D56" s="1708"/>
      <c r="E56" s="1730"/>
      <c r="F56" s="1731"/>
      <c r="G56" s="1708"/>
      <c r="H56" s="1732"/>
      <c r="I56" s="1731"/>
      <c r="J56" s="1708"/>
      <c r="K56" s="1730"/>
      <c r="L56" s="1648"/>
    </row>
    <row r="57" spans="1:12" ht="11.25" customHeight="1">
      <c r="A57" s="255" t="s">
        <v>1350</v>
      </c>
      <c r="B57" s="183"/>
      <c r="C57" s="1708"/>
      <c r="D57" s="1708"/>
      <c r="E57" s="1730"/>
      <c r="F57" s="1731"/>
      <c r="G57" s="1708"/>
      <c r="H57" s="1732"/>
      <c r="I57" s="1731"/>
      <c r="J57" s="1708"/>
      <c r="K57" s="1730"/>
      <c r="L57" s="1648"/>
    </row>
    <row r="58" spans="1:12" ht="11.25" customHeight="1">
      <c r="A58" s="255" t="s">
        <v>1351</v>
      </c>
      <c r="B58" s="183"/>
      <c r="C58" s="1708"/>
      <c r="D58" s="1708"/>
      <c r="E58" s="1730"/>
      <c r="F58" s="1731"/>
      <c r="G58" s="1708"/>
      <c r="H58" s="1732"/>
      <c r="I58" s="1731"/>
      <c r="J58" s="1708"/>
      <c r="K58" s="1730"/>
      <c r="L58" s="1647"/>
    </row>
    <row r="59" spans="1:12" ht="11.25" customHeight="1">
      <c r="A59" s="255" t="s">
        <v>1662</v>
      </c>
      <c r="B59" s="183"/>
      <c r="C59" s="1708"/>
      <c r="D59" s="1708"/>
      <c r="E59" s="1730"/>
      <c r="F59" s="1731"/>
      <c r="G59" s="1708"/>
      <c r="H59" s="1732"/>
      <c r="I59" s="1731">
        <v>10600000</v>
      </c>
      <c r="J59" s="1708">
        <v>6869000</v>
      </c>
      <c r="K59" s="1730"/>
      <c r="L59" s="1648"/>
    </row>
    <row r="60" spans="1:12" ht="11.25" customHeight="1">
      <c r="A60" s="255" t="s">
        <v>334</v>
      </c>
      <c r="B60" s="183"/>
      <c r="C60" s="1708"/>
      <c r="D60" s="1708"/>
      <c r="E60" s="1730"/>
      <c r="F60" s="1731"/>
      <c r="G60" s="1708"/>
      <c r="H60" s="1732"/>
      <c r="I60" s="1731"/>
      <c r="J60" s="1708"/>
      <c r="K60" s="1730"/>
      <c r="L60" s="1648"/>
    </row>
    <row r="61" spans="1:12" ht="11.25" customHeight="1">
      <c r="A61" s="255" t="s">
        <v>333</v>
      </c>
      <c r="B61" s="183"/>
      <c r="C61" s="1708"/>
      <c r="D61" s="1708"/>
      <c r="E61" s="1730"/>
      <c r="F61" s="1731"/>
      <c r="G61" s="1708"/>
      <c r="H61" s="1732"/>
      <c r="I61" s="1731"/>
      <c r="J61" s="1708"/>
      <c r="K61" s="1730"/>
      <c r="L61" s="1648"/>
    </row>
    <row r="62" spans="1:12" ht="11.25" customHeight="1">
      <c r="A62" s="255" t="s">
        <v>670</v>
      </c>
      <c r="B62" s="183"/>
      <c r="C62" s="1708"/>
      <c r="D62" s="1708"/>
      <c r="E62" s="1730"/>
      <c r="F62" s="1731"/>
      <c r="G62" s="1708"/>
      <c r="H62" s="1732"/>
      <c r="I62" s="1731"/>
      <c r="J62" s="1708"/>
      <c r="K62" s="1730"/>
      <c r="L62" s="1648"/>
    </row>
    <row r="63" spans="1:12" ht="11.25" customHeight="1">
      <c r="A63" s="251" t="s">
        <v>301</v>
      </c>
      <c r="B63" s="183"/>
      <c r="C63" s="1755">
        <v>11459666</v>
      </c>
      <c r="D63" s="1754"/>
      <c r="E63" s="1755"/>
      <c r="F63" s="1756"/>
      <c r="G63" s="1754"/>
      <c r="H63" s="1757"/>
      <c r="I63" s="1756">
        <f>29300000+16000000</f>
        <v>45300000</v>
      </c>
      <c r="J63" s="1754">
        <v>19000000</v>
      </c>
      <c r="K63" s="1755">
        <v>20000000</v>
      </c>
      <c r="L63" s="1648"/>
    </row>
    <row r="64" spans="1:12" ht="5.0999999999999996" customHeight="1">
      <c r="A64" s="858"/>
      <c r="B64" s="183"/>
      <c r="C64" s="204"/>
      <c r="D64" s="204"/>
      <c r="E64" s="205"/>
      <c r="F64" s="206"/>
      <c r="G64" s="204"/>
      <c r="H64" s="203"/>
      <c r="I64" s="206"/>
      <c r="J64" s="204"/>
      <c r="K64" s="205"/>
      <c r="L64" s="373"/>
    </row>
    <row r="65" spans="1:12" ht="13.5" customHeight="1">
      <c r="A65" s="250" t="s">
        <v>1681</v>
      </c>
      <c r="B65" s="183"/>
      <c r="C65" s="204">
        <f>SUM(C66:C67)</f>
        <v>0</v>
      </c>
      <c r="D65" s="204">
        <f t="shared" ref="D65:K65" si="10">SUM(D66:D67)</f>
        <v>0</v>
      </c>
      <c r="E65" s="205">
        <f t="shared" si="10"/>
        <v>0</v>
      </c>
      <c r="F65" s="206">
        <f t="shared" si="10"/>
        <v>0</v>
      </c>
      <c r="G65" s="204">
        <f t="shared" si="10"/>
        <v>0</v>
      </c>
      <c r="H65" s="203">
        <f t="shared" si="10"/>
        <v>0</v>
      </c>
      <c r="I65" s="206">
        <f t="shared" si="10"/>
        <v>0</v>
      </c>
      <c r="J65" s="204">
        <f t="shared" si="10"/>
        <v>0</v>
      </c>
      <c r="K65" s="205">
        <f t="shared" si="10"/>
        <v>0</v>
      </c>
      <c r="L65" s="373"/>
    </row>
    <row r="66" spans="1:12" ht="11.25" customHeight="1">
      <c r="A66" s="2016" t="s">
        <v>1364</v>
      </c>
      <c r="B66" s="183"/>
      <c r="C66" s="1713"/>
      <c r="D66" s="1713"/>
      <c r="E66" s="1964"/>
      <c r="F66" s="2030"/>
      <c r="G66" s="1713"/>
      <c r="H66" s="2050"/>
      <c r="I66" s="2030"/>
      <c r="J66" s="1713"/>
      <c r="K66" s="1964"/>
      <c r="L66" s="373"/>
    </row>
    <row r="67" spans="1:12" ht="11.25" customHeight="1">
      <c r="A67" s="2016"/>
      <c r="B67" s="183"/>
      <c r="C67" s="1754"/>
      <c r="D67" s="1754"/>
      <c r="E67" s="1755"/>
      <c r="F67" s="1756"/>
      <c r="G67" s="1754"/>
      <c r="H67" s="1757"/>
      <c r="I67" s="1756"/>
      <c r="J67" s="1754"/>
      <c r="K67" s="1755"/>
      <c r="L67" s="373"/>
    </row>
    <row r="68" spans="1:12" ht="5.0999999999999996" customHeight="1">
      <c r="A68" s="858"/>
      <c r="B68" s="183"/>
      <c r="C68" s="204"/>
      <c r="D68" s="204"/>
      <c r="E68" s="205"/>
      <c r="F68" s="206"/>
      <c r="G68" s="204"/>
      <c r="H68" s="203"/>
      <c r="I68" s="206"/>
      <c r="J68" s="204"/>
      <c r="K68" s="205"/>
      <c r="L68" s="373"/>
    </row>
    <row r="69" spans="1:12" ht="13.5" customHeight="1">
      <c r="A69" s="250" t="s">
        <v>138</v>
      </c>
      <c r="B69" s="183"/>
      <c r="C69" s="204">
        <f>SUM(C70:C71)</f>
        <v>0</v>
      </c>
      <c r="D69" s="204">
        <f t="shared" ref="D69:K69" si="11">SUM(D70:D71)</f>
        <v>0</v>
      </c>
      <c r="E69" s="205">
        <f t="shared" si="11"/>
        <v>0</v>
      </c>
      <c r="F69" s="206">
        <f t="shared" si="11"/>
        <v>0</v>
      </c>
      <c r="G69" s="204">
        <f t="shared" si="11"/>
        <v>0</v>
      </c>
      <c r="H69" s="203">
        <f t="shared" si="11"/>
        <v>0</v>
      </c>
      <c r="I69" s="206">
        <f t="shared" si="11"/>
        <v>0</v>
      </c>
      <c r="J69" s="204">
        <f t="shared" si="11"/>
        <v>0</v>
      </c>
      <c r="K69" s="205">
        <f t="shared" si="11"/>
        <v>0</v>
      </c>
      <c r="L69" s="373"/>
    </row>
    <row r="70" spans="1:12" ht="11.25" customHeight="1">
      <c r="A70" s="2016" t="s">
        <v>1364</v>
      </c>
      <c r="B70" s="183"/>
      <c r="C70" s="1713"/>
      <c r="D70" s="1713"/>
      <c r="E70" s="1964"/>
      <c r="F70" s="2030"/>
      <c r="G70" s="1713"/>
      <c r="H70" s="2050"/>
      <c r="I70" s="2030"/>
      <c r="J70" s="1713"/>
      <c r="K70" s="1964"/>
      <c r="L70" s="373"/>
    </row>
    <row r="71" spans="1:12" ht="11.25" customHeight="1">
      <c r="A71" s="2016"/>
      <c r="B71" s="183"/>
      <c r="C71" s="1754"/>
      <c r="D71" s="1754"/>
      <c r="E71" s="1755"/>
      <c r="F71" s="1756"/>
      <c r="G71" s="1754"/>
      <c r="H71" s="1757"/>
      <c r="I71" s="1756"/>
      <c r="J71" s="1754"/>
      <c r="K71" s="1755"/>
      <c r="L71" s="373"/>
    </row>
    <row r="72" spans="1:12" ht="5.0999999999999996" customHeight="1">
      <c r="A72" s="274"/>
      <c r="B72" s="183"/>
      <c r="C72" s="204"/>
      <c r="D72" s="204"/>
      <c r="E72" s="205"/>
      <c r="F72" s="206"/>
      <c r="G72" s="204"/>
      <c r="H72" s="203"/>
      <c r="I72" s="206"/>
      <c r="J72" s="204"/>
      <c r="K72" s="205"/>
      <c r="L72" s="373"/>
    </row>
    <row r="73" spans="1:12" ht="17.25" customHeight="1">
      <c r="A73" s="250" t="s">
        <v>951</v>
      </c>
      <c r="B73" s="183"/>
      <c r="C73" s="204">
        <f>SUM(C74:C75)</f>
        <v>0</v>
      </c>
      <c r="D73" s="204">
        <f t="shared" ref="D73:K73" si="12">SUM(D74:D75)</f>
        <v>0</v>
      </c>
      <c r="E73" s="205">
        <f t="shared" si="12"/>
        <v>0</v>
      </c>
      <c r="F73" s="206">
        <f t="shared" si="12"/>
        <v>0</v>
      </c>
      <c r="G73" s="204">
        <f t="shared" si="12"/>
        <v>0</v>
      </c>
      <c r="H73" s="203">
        <f t="shared" si="12"/>
        <v>0</v>
      </c>
      <c r="I73" s="206">
        <f t="shared" si="12"/>
        <v>0</v>
      </c>
      <c r="J73" s="204">
        <f t="shared" si="12"/>
        <v>0</v>
      </c>
      <c r="K73" s="205">
        <f t="shared" si="12"/>
        <v>0</v>
      </c>
      <c r="L73" s="373"/>
    </row>
    <row r="74" spans="1:12" ht="11.25" customHeight="1">
      <c r="A74" s="255" t="s">
        <v>1055</v>
      </c>
      <c r="B74" s="183"/>
      <c r="C74" s="1713"/>
      <c r="D74" s="1713"/>
      <c r="E74" s="1964"/>
      <c r="F74" s="2030"/>
      <c r="G74" s="1713"/>
      <c r="H74" s="2050"/>
      <c r="I74" s="2030"/>
      <c r="J74" s="1713"/>
      <c r="K74" s="1964"/>
      <c r="L74" s="373"/>
    </row>
    <row r="75" spans="1:12" ht="11.25" customHeight="1">
      <c r="A75" s="1989" t="s">
        <v>648</v>
      </c>
      <c r="B75" s="183"/>
      <c r="C75" s="1754"/>
      <c r="D75" s="1754"/>
      <c r="E75" s="1755"/>
      <c r="F75" s="1756"/>
      <c r="G75" s="1754"/>
      <c r="H75" s="1757"/>
      <c r="I75" s="1756"/>
      <c r="J75" s="1754"/>
      <c r="K75" s="1755"/>
      <c r="L75" s="373"/>
    </row>
    <row r="76" spans="1:12" ht="5.0999999999999996" customHeight="1">
      <c r="A76" s="274"/>
      <c r="B76" s="183"/>
      <c r="C76" s="219"/>
      <c r="D76" s="219"/>
      <c r="E76" s="220"/>
      <c r="F76" s="221"/>
      <c r="G76" s="219"/>
      <c r="H76" s="218"/>
      <c r="I76" s="221"/>
      <c r="J76" s="219"/>
      <c r="K76" s="220"/>
      <c r="L76" s="373"/>
    </row>
    <row r="77" spans="1:12">
      <c r="A77" s="282" t="s">
        <v>1325</v>
      </c>
      <c r="B77" s="226">
        <v>1</v>
      </c>
      <c r="C77" s="231">
        <f t="shared" ref="C77:K77" si="13">C6+C27+C43+C47+C51+C73+C65+C69</f>
        <v>13213941</v>
      </c>
      <c r="D77" s="231">
        <f>D6+D27+D43+D47+D51+D73+D65+D69</f>
        <v>76982173</v>
      </c>
      <c r="E77" s="229">
        <f t="shared" si="13"/>
        <v>95810000</v>
      </c>
      <c r="F77" s="230">
        <f t="shared" si="13"/>
        <v>28087000</v>
      </c>
      <c r="G77" s="231">
        <f t="shared" si="13"/>
        <v>34040673</v>
      </c>
      <c r="H77" s="232">
        <f t="shared" si="13"/>
        <v>34040673</v>
      </c>
      <c r="I77" s="230">
        <f>I6+I27+I43+I47+I51+I73+I65+I69</f>
        <v>152603300</v>
      </c>
      <c r="J77" s="231">
        <f t="shared" si="13"/>
        <v>146319300</v>
      </c>
      <c r="K77" s="229">
        <f t="shared" si="13"/>
        <v>182215000</v>
      </c>
      <c r="L77" s="373"/>
    </row>
    <row r="78" spans="1:12">
      <c r="A78" s="1650"/>
      <c r="B78" s="665"/>
      <c r="C78" s="218"/>
      <c r="D78" s="218"/>
      <c r="E78" s="218"/>
      <c r="F78" s="218"/>
      <c r="G78" s="218"/>
      <c r="H78" s="218"/>
      <c r="I78" s="218"/>
      <c r="J78" s="218"/>
      <c r="K78" s="218"/>
      <c r="L78" s="373"/>
    </row>
    <row r="79" spans="1:12">
      <c r="A79" s="1651" t="s">
        <v>32</v>
      </c>
      <c r="B79" s="1652"/>
      <c r="C79" s="1345">
        <f t="shared" ref="C79:K79" si="14">SUM(C80:C83)</f>
        <v>0</v>
      </c>
      <c r="D79" s="1341">
        <f t="shared" si="14"/>
        <v>0</v>
      </c>
      <c r="E79" s="1653">
        <f t="shared" si="14"/>
        <v>0</v>
      </c>
      <c r="F79" s="1345">
        <f t="shared" si="14"/>
        <v>0</v>
      </c>
      <c r="G79" s="1341">
        <f t="shared" si="14"/>
        <v>0</v>
      </c>
      <c r="H79" s="1653">
        <f t="shared" si="14"/>
        <v>0</v>
      </c>
      <c r="I79" s="1345">
        <f t="shared" si="14"/>
        <v>0</v>
      </c>
      <c r="J79" s="1341">
        <f t="shared" si="14"/>
        <v>0</v>
      </c>
      <c r="K79" s="1653">
        <f t="shared" si="14"/>
        <v>0</v>
      </c>
      <c r="L79" s="373"/>
    </row>
    <row r="80" spans="1:12">
      <c r="A80" s="191" t="s">
        <v>1412</v>
      </c>
      <c r="B80" s="1654"/>
      <c r="C80" s="1710"/>
      <c r="D80" s="1708"/>
      <c r="E80" s="1711"/>
      <c r="F80" s="1710"/>
      <c r="G80" s="1708"/>
      <c r="H80" s="1711"/>
      <c r="I80" s="1710"/>
      <c r="J80" s="1708"/>
      <c r="K80" s="1711"/>
      <c r="L80" s="373"/>
    </row>
    <row r="81" spans="1:12">
      <c r="A81" s="191" t="s">
        <v>1663</v>
      </c>
      <c r="B81" s="1654"/>
      <c r="C81" s="1710"/>
      <c r="D81" s="1708"/>
      <c r="E81" s="1711"/>
      <c r="F81" s="1710"/>
      <c r="G81" s="1708"/>
      <c r="H81" s="1711"/>
      <c r="I81" s="1710"/>
      <c r="J81" s="1708"/>
      <c r="K81" s="1711"/>
      <c r="L81" s="373"/>
    </row>
    <row r="82" spans="1:12">
      <c r="A82" s="191" t="s">
        <v>1878</v>
      </c>
      <c r="B82" s="1654"/>
      <c r="C82" s="1710"/>
      <c r="D82" s="1708"/>
      <c r="E82" s="1711"/>
      <c r="F82" s="1710"/>
      <c r="G82" s="1708"/>
      <c r="H82" s="1711"/>
      <c r="I82" s="1710"/>
      <c r="J82" s="1708"/>
      <c r="K82" s="1711"/>
      <c r="L82" s="373"/>
    </row>
    <row r="83" spans="1:12">
      <c r="A83" s="1358" t="s">
        <v>1879</v>
      </c>
      <c r="B83" s="1655"/>
      <c r="C83" s="1787"/>
      <c r="D83" s="1783"/>
      <c r="E83" s="2057"/>
      <c r="F83" s="1787"/>
      <c r="G83" s="1783"/>
      <c r="H83" s="2057"/>
      <c r="I83" s="1787"/>
      <c r="J83" s="1783"/>
      <c r="K83" s="2057"/>
      <c r="L83" s="373"/>
    </row>
    <row r="84" spans="1:12" s="722" customFormat="1">
      <c r="A84" s="1305" t="str">
        <f>head27a</f>
        <v>References</v>
      </c>
      <c r="B84" s="1065"/>
      <c r="C84" s="1069"/>
      <c r="D84" s="1069"/>
      <c r="E84" s="1069"/>
      <c r="F84" s="1069"/>
      <c r="G84" s="1069"/>
      <c r="H84" s="1069"/>
      <c r="I84" s="1069"/>
      <c r="J84" s="1069"/>
      <c r="K84" s="1069"/>
      <c r="L84" s="1649"/>
    </row>
    <row r="85" spans="1:12" s="722" customFormat="1" ht="11.25" customHeight="1">
      <c r="A85" s="1306" t="s">
        <v>1326</v>
      </c>
      <c r="B85" s="1065"/>
      <c r="C85" s="1068"/>
      <c r="D85" s="1068"/>
      <c r="E85" s="1069"/>
      <c r="F85" s="1069"/>
      <c r="G85" s="1069"/>
      <c r="H85" s="1069"/>
      <c r="I85" s="1069"/>
      <c r="J85" s="1069"/>
      <c r="K85" s="1069"/>
      <c r="L85" s="1114"/>
    </row>
    <row r="86" spans="1:12" s="722" customFormat="1" ht="11.25" customHeight="1">
      <c r="A86" s="1306" t="s">
        <v>331</v>
      </c>
      <c r="B86" s="1065"/>
      <c r="C86" s="1068"/>
      <c r="D86" s="1068"/>
      <c r="E86" s="1069"/>
      <c r="F86" s="1069"/>
      <c r="G86" s="1069"/>
      <c r="H86" s="1069"/>
      <c r="I86" s="1069"/>
      <c r="J86" s="1069"/>
      <c r="K86" s="1069"/>
    </row>
    <row r="87" spans="1:12" s="722" customFormat="1" ht="11.25" customHeight="1">
      <c r="A87" s="1306" t="s">
        <v>985</v>
      </c>
      <c r="B87" s="1065"/>
      <c r="C87" s="1068"/>
      <c r="D87" s="1068"/>
      <c r="E87" s="1069"/>
      <c r="F87" s="1069"/>
      <c r="G87" s="1069"/>
      <c r="H87" s="1069"/>
      <c r="I87" s="1069"/>
      <c r="J87" s="1069"/>
      <c r="K87" s="1069"/>
    </row>
    <row r="88" spans="1:12" s="722" customFormat="1" ht="11.25" customHeight="1">
      <c r="A88" s="1306" t="s">
        <v>335</v>
      </c>
      <c r="B88" s="1065"/>
      <c r="C88" s="1068"/>
      <c r="D88" s="1068"/>
      <c r="E88" s="1069"/>
      <c r="F88" s="1069"/>
      <c r="G88" s="1069"/>
      <c r="H88" s="1069"/>
      <c r="I88" s="1069"/>
      <c r="J88" s="1069"/>
      <c r="K88" s="1069"/>
    </row>
    <row r="89" spans="1:12" s="722" customFormat="1" ht="11.25" customHeight="1">
      <c r="A89" s="1306" t="s">
        <v>135</v>
      </c>
      <c r="B89" s="1065"/>
      <c r="C89" s="1068"/>
      <c r="D89" s="1068"/>
      <c r="E89" s="1069"/>
      <c r="F89" s="1069"/>
      <c r="G89" s="1069"/>
      <c r="H89" s="1069"/>
      <c r="I89" s="1069"/>
      <c r="J89" s="1069"/>
      <c r="K89" s="1069"/>
    </row>
    <row r="90" spans="1:12" s="722" customFormat="1" ht="11.25" customHeight="1">
      <c r="A90" s="1306" t="s">
        <v>1819</v>
      </c>
      <c r="B90" s="1065"/>
      <c r="C90" s="1068"/>
      <c r="D90" s="1068"/>
      <c r="E90" s="1069"/>
      <c r="F90" s="1069"/>
      <c r="G90" s="1069"/>
      <c r="H90" s="1069"/>
      <c r="I90" s="1069"/>
      <c r="J90" s="1069"/>
      <c r="K90" s="1069"/>
    </row>
    <row r="91" spans="1:12" s="722" customFormat="1" ht="11.25" customHeight="1">
      <c r="A91" s="1600" t="s">
        <v>33</v>
      </c>
      <c r="B91" s="1065"/>
      <c r="C91" s="1068"/>
      <c r="D91" s="1068"/>
      <c r="E91" s="1069"/>
      <c r="F91" s="1069"/>
      <c r="G91" s="1069"/>
      <c r="H91" s="1069"/>
      <c r="I91" s="1069"/>
      <c r="J91" s="1069"/>
      <c r="K91" s="1069"/>
    </row>
    <row r="92" spans="1:12" s="722" customFormat="1" ht="11.25" customHeight="1">
      <c r="A92" s="1600" t="s">
        <v>1460</v>
      </c>
      <c r="B92" s="1065"/>
      <c r="C92" s="1068"/>
      <c r="D92" s="1068"/>
      <c r="E92" s="1069"/>
      <c r="F92" s="1069"/>
      <c r="G92" s="1069"/>
      <c r="H92" s="1069"/>
      <c r="I92" s="1069"/>
      <c r="J92" s="1069"/>
      <c r="K92" s="1069"/>
    </row>
    <row r="93" spans="1:12" s="722" customFormat="1" ht="11.25" customHeight="1">
      <c r="A93" s="1600" t="s">
        <v>1461</v>
      </c>
      <c r="B93" s="1065"/>
      <c r="C93" s="1068"/>
      <c r="D93" s="1068"/>
      <c r="E93" s="1069"/>
      <c r="F93" s="1069"/>
      <c r="G93" s="1069"/>
      <c r="H93" s="1069"/>
      <c r="I93" s="1069"/>
      <c r="J93" s="1069"/>
      <c r="K93" s="1069"/>
    </row>
    <row r="94" spans="1:12" s="722" customFormat="1" ht="11.25" customHeight="1">
      <c r="A94" s="1600" t="s">
        <v>407</v>
      </c>
      <c r="B94" s="1065"/>
      <c r="C94" s="1068"/>
      <c r="D94" s="1068"/>
      <c r="E94" s="1069"/>
      <c r="F94" s="1069"/>
      <c r="G94" s="1069"/>
      <c r="H94" s="1069"/>
      <c r="I94" s="1069"/>
      <c r="J94" s="1069"/>
      <c r="K94" s="1069"/>
    </row>
    <row r="95" spans="1:12" s="722" customFormat="1" ht="11.25" customHeight="1">
      <c r="A95" s="1087"/>
      <c r="B95" s="1065"/>
      <c r="C95" s="1068"/>
      <c r="D95" s="1068"/>
      <c r="E95" s="1069"/>
      <c r="F95" s="1069"/>
      <c r="G95" s="1069"/>
      <c r="H95" s="1069"/>
      <c r="I95" s="1069"/>
      <c r="J95" s="1069"/>
      <c r="K95" s="1069"/>
    </row>
    <row r="96" spans="1:12" ht="11.25" customHeight="1">
      <c r="A96" s="247"/>
      <c r="B96" s="237"/>
      <c r="C96" s="241"/>
      <c r="D96" s="241"/>
      <c r="E96" s="242"/>
      <c r="F96" s="242"/>
      <c r="G96" s="242"/>
      <c r="H96" s="242"/>
      <c r="I96" s="242"/>
      <c r="J96" s="242"/>
      <c r="K96" s="242"/>
    </row>
    <row r="97" spans="1:11" ht="11.25" customHeight="1">
      <c r="A97" s="289" t="s">
        <v>304</v>
      </c>
      <c r="B97" s="244"/>
      <c r="C97" s="450">
        <f>C77-'A5-Capex'!C40</f>
        <v>13213941</v>
      </c>
      <c r="D97" s="450">
        <f>D77-'A5-Capex'!D40</f>
        <v>76982173</v>
      </c>
      <c r="E97" s="450">
        <f>E77-'A5-Capex'!E40</f>
        <v>-80223492</v>
      </c>
      <c r="F97" s="450">
        <f>F77-'A5-Capex'!F40</f>
        <v>-267850266</v>
      </c>
      <c r="G97" s="450">
        <f>G77-'A5-Capex'!G40</f>
        <v>-360507334</v>
      </c>
      <c r="H97" s="450">
        <f>H77-'A5-Capex'!H40</f>
        <v>-360507334</v>
      </c>
      <c r="I97" s="450">
        <f>I77-'A5-Capex'!I40</f>
        <v>-241944707</v>
      </c>
      <c r="J97" s="450">
        <f>J77-'A5-Capex'!J40</f>
        <v>-264994000</v>
      </c>
      <c r="K97" s="450">
        <f>K77-'A5-Capex'!K40</f>
        <v>-128604300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mergeCells count="2">
    <mergeCell ref="F2:H2"/>
    <mergeCell ref="I2:K2"/>
  </mergeCells>
  <phoneticPr fontId="2"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2"/>
  <sheetViews>
    <sheetView showGridLines="0" workbookViewId="0">
      <pane xSplit="2" ySplit="3" topLeftCell="C70" activePane="bottomRight" state="frozen"/>
      <selection pane="topRight" activeCell="C1" sqref="C1"/>
      <selection pane="bottomLeft" activeCell="A4" sqref="A4"/>
      <selection pane="bottomRight" activeCell="K18" sqref="K18"/>
    </sheetView>
  </sheetViews>
  <sheetFormatPr defaultRowHeight="12.75"/>
  <cols>
    <col min="1" max="1" width="30.7109375" style="150" customWidth="1"/>
    <col min="2" max="2" width="3" style="248" customWidth="1"/>
    <col min="3" max="11" width="9.28515625" style="150" customWidth="1"/>
    <col min="12" max="12" width="9.7109375" style="150" customWidth="1"/>
    <col min="13" max="13" width="9.5703125" style="150" customWidth="1"/>
    <col min="14" max="14" width="9.85546875" style="150" customWidth="1"/>
    <col min="15" max="17" width="9.5703125" style="150" customWidth="1"/>
    <col min="18" max="18" width="9.85546875" style="150" customWidth="1"/>
    <col min="19" max="21" width="9.5703125" style="150" customWidth="1"/>
    <col min="22" max="23" width="9.85546875" style="150" customWidth="1"/>
    <col min="24" max="16384" width="9.140625" style="150"/>
  </cols>
  <sheetData>
    <row r="1" spans="1:12" ht="13.5" customHeight="1">
      <c r="A1" s="148" t="str">
        <f>muni&amp;" - "&amp;TableA34c</f>
        <v>KZN225 Msunduzi - Supporting Table SA34c Repairs and maintenance expenditure by asset class</v>
      </c>
      <c r="B1" s="148"/>
      <c r="C1" s="148"/>
      <c r="D1" s="148"/>
      <c r="E1" s="148"/>
      <c r="F1" s="148"/>
      <c r="G1" s="148"/>
      <c r="H1" s="148"/>
      <c r="I1" s="148"/>
      <c r="J1" s="148"/>
      <c r="K1" s="148"/>
    </row>
    <row r="2" spans="1:12" ht="28.5" customHeight="1">
      <c r="A2" s="1011" t="str">
        <f>desc</f>
        <v>Description</v>
      </c>
      <c r="B2" s="422" t="str">
        <f>head27</f>
        <v>Ref</v>
      </c>
      <c r="C2" s="151" t="str">
        <f>head1b</f>
        <v>2007/8</v>
      </c>
      <c r="D2" s="769" t="str">
        <f>head1A</f>
        <v>2008/9</v>
      </c>
      <c r="E2" s="147" t="str">
        <f>Head1</f>
        <v>2009/10</v>
      </c>
      <c r="F2" s="2415" t="str">
        <f>Head2</f>
        <v>Current Year 2010/11</v>
      </c>
      <c r="G2" s="2416"/>
      <c r="H2" s="2416"/>
      <c r="I2" s="2412" t="str">
        <f>Head3</f>
        <v>2011/12 Medium Term Revenue &amp; Expenditure Framework</v>
      </c>
      <c r="J2" s="2413"/>
      <c r="K2" s="2414"/>
    </row>
    <row r="3" spans="1:12" ht="25.5">
      <c r="A3" s="181" t="s">
        <v>703</v>
      </c>
      <c r="B3" s="1012">
        <v>1</v>
      </c>
      <c r="C3" s="393" t="str">
        <f>Head5</f>
        <v>Audited Outcome</v>
      </c>
      <c r="D3" s="1025" t="str">
        <f>Head5</f>
        <v>Audited Outcome</v>
      </c>
      <c r="E3" s="394" t="str">
        <f>Head5</f>
        <v>Audited Outcome</v>
      </c>
      <c r="F3" s="300" t="str">
        <f>Head6</f>
        <v>Original Budget</v>
      </c>
      <c r="G3" s="393" t="str">
        <f>Head7</f>
        <v>Adjusted Budget</v>
      </c>
      <c r="H3" s="392" t="str">
        <f>Head8</f>
        <v>Full Year Forecast</v>
      </c>
      <c r="I3" s="300" t="str">
        <f>Head9</f>
        <v>Budget Year 2011/12</v>
      </c>
      <c r="J3" s="393" t="str">
        <f>Head10</f>
        <v>Budget Year +1 2012/13</v>
      </c>
      <c r="K3" s="394" t="str">
        <f>Head11</f>
        <v>Budget Year +2 2013/14</v>
      </c>
    </row>
    <row r="4" spans="1:12" ht="11.25" customHeight="1">
      <c r="A4" s="875" t="s">
        <v>1321</v>
      </c>
      <c r="B4" s="762"/>
      <c r="C4" s="1127"/>
      <c r="D4" s="312"/>
      <c r="E4" s="315"/>
      <c r="F4" s="314"/>
      <c r="G4" s="312"/>
      <c r="H4" s="313"/>
      <c r="I4" s="314"/>
      <c r="J4" s="312"/>
      <c r="K4" s="315"/>
      <c r="L4" s="373"/>
    </row>
    <row r="5" spans="1:12" ht="5.0999999999999996" customHeight="1">
      <c r="A5" s="250"/>
      <c r="B5" s="183"/>
      <c r="C5" s="316"/>
      <c r="D5" s="316"/>
      <c r="E5" s="319"/>
      <c r="F5" s="318"/>
      <c r="G5" s="316"/>
      <c r="H5" s="317"/>
      <c r="I5" s="318"/>
      <c r="J5" s="316"/>
      <c r="K5" s="319"/>
      <c r="L5" s="373"/>
    </row>
    <row r="6" spans="1:12" ht="11.25" customHeight="1">
      <c r="A6" s="250" t="s">
        <v>1059</v>
      </c>
      <c r="B6" s="183"/>
      <c r="C6" s="397">
        <f>C7+C10+C14+C18+C21</f>
        <v>27318326</v>
      </c>
      <c r="D6" s="397">
        <f t="shared" ref="D6:K6" si="0">D7+D10+D14+D18+D21</f>
        <v>51016775</v>
      </c>
      <c r="E6" s="346">
        <f t="shared" si="0"/>
        <v>84060618</v>
      </c>
      <c r="F6" s="398">
        <f t="shared" si="0"/>
        <v>54371000</v>
      </c>
      <c r="G6" s="397">
        <f t="shared" si="0"/>
        <v>54371000</v>
      </c>
      <c r="H6" s="399">
        <f t="shared" si="0"/>
        <v>54371000</v>
      </c>
      <c r="I6" s="398">
        <f t="shared" si="0"/>
        <v>24031108</v>
      </c>
      <c r="J6" s="397">
        <f t="shared" si="0"/>
        <v>24926344.783999998</v>
      </c>
      <c r="K6" s="346">
        <f t="shared" si="0"/>
        <v>26140617.381632</v>
      </c>
      <c r="L6" s="1647"/>
    </row>
    <row r="7" spans="1:12" s="1623" customFormat="1" ht="13.5">
      <c r="A7" s="251" t="s">
        <v>566</v>
      </c>
      <c r="B7" s="183"/>
      <c r="C7" s="1139">
        <f>SUM(C8:C9)</f>
        <v>2581671</v>
      </c>
      <c r="D7" s="1139">
        <f t="shared" ref="D7:K7" si="1">SUM(D8:D9)</f>
        <v>3857921</v>
      </c>
      <c r="E7" s="1467">
        <f t="shared" si="1"/>
        <v>32918500</v>
      </c>
      <c r="F7" s="1143">
        <f t="shared" si="1"/>
        <v>3869000</v>
      </c>
      <c r="G7" s="1139">
        <f t="shared" si="1"/>
        <v>3869000</v>
      </c>
      <c r="H7" s="1188">
        <f t="shared" si="1"/>
        <v>3869000</v>
      </c>
      <c r="I7" s="1468">
        <f t="shared" si="1"/>
        <v>4792516</v>
      </c>
      <c r="J7" s="1139">
        <f t="shared" si="1"/>
        <v>5034581.9519999996</v>
      </c>
      <c r="K7" s="1188">
        <f t="shared" si="1"/>
        <v>5293968.9896959998</v>
      </c>
      <c r="L7" s="373"/>
    </row>
    <row r="8" spans="1:12" s="1623" customFormat="1" ht="13.5">
      <c r="A8" s="1333" t="s">
        <v>567</v>
      </c>
      <c r="B8" s="183"/>
      <c r="C8" s="1080">
        <v>2579008</v>
      </c>
      <c r="D8" s="1082">
        <v>3836480</v>
      </c>
      <c r="E8" s="1082">
        <v>23229551</v>
      </c>
      <c r="F8" s="1080">
        <v>3820000</v>
      </c>
      <c r="G8" s="1708">
        <v>3820000</v>
      </c>
      <c r="H8" s="1732">
        <v>3820000</v>
      </c>
      <c r="I8" s="1081">
        <v>4779892</v>
      </c>
      <c r="J8" s="1708">
        <v>5021352</v>
      </c>
      <c r="K8" s="1730">
        <v>5280104</v>
      </c>
      <c r="L8" s="1647"/>
    </row>
    <row r="9" spans="1:12" s="1623" customFormat="1" ht="13.5">
      <c r="A9" s="1333" t="s">
        <v>568</v>
      </c>
      <c r="B9" s="183"/>
      <c r="C9" s="1080">
        <v>2663</v>
      </c>
      <c r="D9" s="1082">
        <v>21441</v>
      </c>
      <c r="E9" s="1082">
        <v>9688949</v>
      </c>
      <c r="F9" s="1080">
        <v>49000</v>
      </c>
      <c r="G9" s="1708">
        <v>49000</v>
      </c>
      <c r="H9" s="1732">
        <v>49000</v>
      </c>
      <c r="I9" s="1081">
        <v>12624</v>
      </c>
      <c r="J9" s="1708">
        <v>13229.952000000001</v>
      </c>
      <c r="K9" s="1730">
        <v>13864.989696000002</v>
      </c>
      <c r="L9" s="1648"/>
    </row>
    <row r="10" spans="1:12" s="1623" customFormat="1" ht="13.5">
      <c r="A10" s="251" t="s">
        <v>21</v>
      </c>
      <c r="B10" s="183"/>
      <c r="C10" s="1091">
        <f>SUM(C11:C13)</f>
        <v>24316770</v>
      </c>
      <c r="D10" s="1091">
        <f t="shared" ref="D10:K10" si="2">SUM(D11:D13)</f>
        <v>32729204</v>
      </c>
      <c r="E10" s="1469">
        <f t="shared" si="2"/>
        <v>23195034</v>
      </c>
      <c r="F10" s="1095">
        <f t="shared" si="2"/>
        <v>34537000</v>
      </c>
      <c r="G10" s="1091">
        <f t="shared" si="2"/>
        <v>34537000</v>
      </c>
      <c r="H10" s="1191">
        <f t="shared" si="2"/>
        <v>34537000</v>
      </c>
      <c r="I10" s="1470">
        <f t="shared" si="2"/>
        <v>17028588</v>
      </c>
      <c r="J10" s="1091">
        <f t="shared" si="2"/>
        <v>17575678.831999999</v>
      </c>
      <c r="K10" s="1191">
        <f t="shared" si="2"/>
        <v>18419311.391936</v>
      </c>
      <c r="L10" s="1648"/>
    </row>
    <row r="11" spans="1:12" s="1623" customFormat="1" ht="13.5">
      <c r="A11" s="1333" t="s">
        <v>22</v>
      </c>
      <c r="B11" s="183"/>
      <c r="C11" s="1080"/>
      <c r="D11" s="1084"/>
      <c r="E11" s="1712"/>
      <c r="F11" s="1710"/>
      <c r="G11" s="1708"/>
      <c r="H11" s="1711"/>
      <c r="I11" s="1711"/>
      <c r="J11" s="1708"/>
      <c r="K11" s="1711"/>
      <c r="L11" s="1648"/>
    </row>
    <row r="12" spans="1:12" s="1623" customFormat="1" ht="13.5">
      <c r="A12" s="1333" t="s">
        <v>23</v>
      </c>
      <c r="B12" s="183"/>
      <c r="C12" s="1080">
        <v>23632929</v>
      </c>
      <c r="D12" s="1084">
        <v>32729204</v>
      </c>
      <c r="E12" s="1712">
        <v>22629209</v>
      </c>
      <c r="F12" s="1080">
        <v>34537000</v>
      </c>
      <c r="G12" s="1708">
        <v>34537000</v>
      </c>
      <c r="H12" s="1711">
        <v>34537000</v>
      </c>
      <c r="I12" s="1711">
        <v>16402404</v>
      </c>
      <c r="J12" s="1708">
        <v>16919438</v>
      </c>
      <c r="K12" s="1711">
        <v>17731571</v>
      </c>
      <c r="L12" s="1648"/>
    </row>
    <row r="13" spans="1:12" s="1623" customFormat="1" ht="13.5">
      <c r="A13" s="1333" t="s">
        <v>139</v>
      </c>
      <c r="B13" s="183"/>
      <c r="C13" s="1080">
        <v>683841</v>
      </c>
      <c r="D13" s="1084"/>
      <c r="E13" s="1712">
        <v>565825</v>
      </c>
      <c r="F13" s="1710"/>
      <c r="G13" s="1708"/>
      <c r="H13" s="1711"/>
      <c r="I13" s="1711">
        <v>626184</v>
      </c>
      <c r="J13" s="1708">
        <v>656240.83200000005</v>
      </c>
      <c r="K13" s="1711">
        <v>687740.39193600009</v>
      </c>
      <c r="L13" s="1648"/>
    </row>
    <row r="14" spans="1:12" s="1623" customFormat="1" ht="13.5">
      <c r="A14" s="255" t="s">
        <v>24</v>
      </c>
      <c r="B14" s="351"/>
      <c r="C14" s="1091">
        <f>SUM(C15:C17)</f>
        <v>43318</v>
      </c>
      <c r="D14" s="1091">
        <f t="shared" ref="D14:K14" si="3">SUM(D15:D17)</f>
        <v>419341</v>
      </c>
      <c r="E14" s="1469">
        <f t="shared" si="3"/>
        <v>19258444</v>
      </c>
      <c r="F14" s="1095">
        <f t="shared" si="3"/>
        <v>498000</v>
      </c>
      <c r="G14" s="1091">
        <f t="shared" si="3"/>
        <v>498000</v>
      </c>
      <c r="H14" s="1191">
        <f t="shared" si="3"/>
        <v>498000</v>
      </c>
      <c r="I14" s="1470">
        <f t="shared" si="3"/>
        <v>2075760</v>
      </c>
      <c r="J14" s="1091">
        <f t="shared" si="3"/>
        <v>2175396</v>
      </c>
      <c r="K14" s="1191">
        <f t="shared" si="3"/>
        <v>2279896</v>
      </c>
      <c r="L14" s="1648"/>
    </row>
    <row r="15" spans="1:12" s="1623" customFormat="1" ht="13.5">
      <c r="A15" s="1333" t="s">
        <v>25</v>
      </c>
      <c r="B15" s="183"/>
      <c r="C15" s="1080"/>
      <c r="D15" s="1084"/>
      <c r="E15" s="1712"/>
      <c r="F15" s="1710"/>
      <c r="G15" s="1708"/>
      <c r="H15" s="1711"/>
      <c r="I15" s="1711"/>
      <c r="J15" s="1708"/>
      <c r="K15" s="1711"/>
      <c r="L15" s="1648"/>
    </row>
    <row r="16" spans="1:12" s="1623" customFormat="1" ht="13.5">
      <c r="A16" s="1333" t="s">
        <v>26</v>
      </c>
      <c r="B16" s="183"/>
      <c r="C16" s="1080"/>
      <c r="D16" s="1084"/>
      <c r="E16" s="1712"/>
      <c r="F16" s="1710"/>
      <c r="G16" s="1708"/>
      <c r="H16" s="1711"/>
      <c r="I16" s="1711"/>
      <c r="J16" s="1708"/>
      <c r="K16" s="1711"/>
      <c r="L16" s="1648"/>
    </row>
    <row r="17" spans="1:12" s="1623" customFormat="1" ht="13.5">
      <c r="A17" s="1333" t="s">
        <v>27</v>
      </c>
      <c r="B17" s="183"/>
      <c r="C17" s="1080">
        <v>43318</v>
      </c>
      <c r="D17" s="1084">
        <v>419341</v>
      </c>
      <c r="E17" s="1712">
        <v>19258444</v>
      </c>
      <c r="F17" s="1080">
        <v>498000</v>
      </c>
      <c r="G17" s="1708">
        <v>498000</v>
      </c>
      <c r="H17" s="1711">
        <v>498000</v>
      </c>
      <c r="I17" s="1711">
        <v>2075760</v>
      </c>
      <c r="J17" s="1708">
        <v>2175396</v>
      </c>
      <c r="K17" s="1711">
        <v>2279896</v>
      </c>
      <c r="L17" s="1648"/>
    </row>
    <row r="18" spans="1:12" s="1623" customFormat="1" ht="13.5">
      <c r="A18" s="255" t="s">
        <v>28</v>
      </c>
      <c r="B18" s="183"/>
      <c r="C18" s="1091">
        <f t="shared" ref="C18:K18" si="4">SUM(C19:C20)</f>
        <v>10717</v>
      </c>
      <c r="D18" s="1091">
        <f t="shared" si="4"/>
        <v>266187</v>
      </c>
      <c r="E18" s="1469">
        <f t="shared" si="4"/>
        <v>8253621</v>
      </c>
      <c r="F18" s="1095">
        <f t="shared" si="4"/>
        <v>6263000</v>
      </c>
      <c r="G18" s="1091">
        <f t="shared" si="4"/>
        <v>6263000</v>
      </c>
      <c r="H18" s="1191">
        <f t="shared" si="4"/>
        <v>6263000</v>
      </c>
      <c r="I18" s="1470">
        <f t="shared" si="4"/>
        <v>0</v>
      </c>
      <c r="J18" s="1091">
        <f t="shared" si="4"/>
        <v>0</v>
      </c>
      <c r="K18" s="1191">
        <f t="shared" si="4"/>
        <v>0</v>
      </c>
      <c r="L18" s="1648"/>
    </row>
    <row r="19" spans="1:12" s="1623" customFormat="1" ht="13.5">
      <c r="A19" s="1333" t="s">
        <v>27</v>
      </c>
      <c r="B19" s="183"/>
      <c r="C19" s="1080">
        <v>10717</v>
      </c>
      <c r="D19" s="1084">
        <v>266187</v>
      </c>
      <c r="E19" s="1712">
        <v>8253621</v>
      </c>
      <c r="F19" s="1080">
        <v>6263000</v>
      </c>
      <c r="G19" s="1708">
        <v>6263000</v>
      </c>
      <c r="H19" s="1711">
        <v>6263000</v>
      </c>
      <c r="I19" s="1711"/>
      <c r="J19" s="1708"/>
      <c r="K19" s="1711"/>
      <c r="L19" s="1648"/>
    </row>
    <row r="20" spans="1:12" s="1623" customFormat="1" ht="13.5">
      <c r="A20" s="1333" t="s">
        <v>29</v>
      </c>
      <c r="B20" s="183"/>
      <c r="C20" s="1080"/>
      <c r="D20" s="1084"/>
      <c r="E20" s="1712"/>
      <c r="F20" s="1710"/>
      <c r="G20" s="1708"/>
      <c r="H20" s="1711"/>
      <c r="I20" s="1711"/>
      <c r="J20" s="1708"/>
      <c r="K20" s="1711"/>
      <c r="L20" s="1648"/>
    </row>
    <row r="21" spans="1:12" s="1623" customFormat="1" ht="13.5">
      <c r="A21" s="251" t="s">
        <v>30</v>
      </c>
      <c r="B21" s="183"/>
      <c r="C21" s="1091">
        <f>SUM(C22:C25)</f>
        <v>365850</v>
      </c>
      <c r="D21" s="1091">
        <f t="shared" ref="D21:K21" si="5">SUM(D22:D25)</f>
        <v>13744122</v>
      </c>
      <c r="E21" s="1091">
        <f t="shared" si="5"/>
        <v>435019</v>
      </c>
      <c r="F21" s="1095">
        <f t="shared" si="5"/>
        <v>9204000</v>
      </c>
      <c r="G21" s="1091">
        <f t="shared" si="5"/>
        <v>9204000</v>
      </c>
      <c r="H21" s="1191">
        <f t="shared" si="5"/>
        <v>9204000</v>
      </c>
      <c r="I21" s="1470">
        <f t="shared" si="5"/>
        <v>134244</v>
      </c>
      <c r="J21" s="1091">
        <f t="shared" si="5"/>
        <v>140688</v>
      </c>
      <c r="K21" s="1191">
        <f t="shared" si="5"/>
        <v>147441</v>
      </c>
      <c r="L21" s="1648"/>
    </row>
    <row r="22" spans="1:12" s="1623" customFormat="1" ht="13.5">
      <c r="A22" s="1333" t="s">
        <v>1171</v>
      </c>
      <c r="B22" s="183"/>
      <c r="C22" s="1080">
        <v>47149</v>
      </c>
      <c r="D22" s="1082"/>
      <c r="E22" s="1082">
        <v>52609</v>
      </c>
      <c r="F22" s="1731"/>
      <c r="G22" s="1708"/>
      <c r="H22" s="1732"/>
      <c r="I22" s="1711">
        <v>134244</v>
      </c>
      <c r="J22" s="1708">
        <v>140688</v>
      </c>
      <c r="K22" s="1711">
        <v>147441</v>
      </c>
      <c r="L22" s="1647"/>
    </row>
    <row r="23" spans="1:12" s="1623" customFormat="1" ht="13.5">
      <c r="A23" s="1333" t="s">
        <v>332</v>
      </c>
      <c r="B23" s="183">
        <v>2</v>
      </c>
      <c r="C23" s="1080"/>
      <c r="D23" s="1082"/>
      <c r="E23" s="1082"/>
      <c r="F23" s="1731"/>
      <c r="G23" s="1708"/>
      <c r="H23" s="1732"/>
      <c r="I23" s="1711"/>
      <c r="J23" s="1708"/>
      <c r="K23" s="1711"/>
      <c r="L23" s="1648"/>
    </row>
    <row r="24" spans="1:12" s="1623" customFormat="1" ht="13.5">
      <c r="A24" s="1333" t="s">
        <v>140</v>
      </c>
      <c r="B24" s="183"/>
      <c r="C24" s="1080"/>
      <c r="D24" s="1082"/>
      <c r="E24" s="1082"/>
      <c r="F24" s="1731"/>
      <c r="G24" s="1708"/>
      <c r="H24" s="1732"/>
      <c r="I24" s="1081"/>
      <c r="J24" s="1708"/>
      <c r="K24" s="1730"/>
      <c r="L24" s="1648"/>
    </row>
    <row r="25" spans="1:12" s="1623" customFormat="1" ht="13.5">
      <c r="A25" s="1333" t="s">
        <v>301</v>
      </c>
      <c r="B25" s="183">
        <v>3</v>
      </c>
      <c r="C25" s="1080">
        <v>318701</v>
      </c>
      <c r="D25" s="1082">
        <v>13744122</v>
      </c>
      <c r="E25" s="1082">
        <v>382410</v>
      </c>
      <c r="F25" s="1080">
        <v>9204000</v>
      </c>
      <c r="G25" s="1708">
        <v>9204000</v>
      </c>
      <c r="H25" s="1732">
        <v>9204000</v>
      </c>
      <c r="I25" s="1081"/>
      <c r="J25" s="1708"/>
      <c r="K25" s="1730"/>
      <c r="L25" s="1648"/>
    </row>
    <row r="26" spans="1:12" ht="5.0999999999999996" customHeight="1">
      <c r="A26" s="274"/>
      <c r="B26" s="183"/>
      <c r="C26" s="204"/>
      <c r="D26" s="204"/>
      <c r="E26" s="205"/>
      <c r="F26" s="206"/>
      <c r="G26" s="204"/>
      <c r="H26" s="203"/>
      <c r="I26" s="206"/>
      <c r="J26" s="204"/>
      <c r="K26" s="205"/>
      <c r="L26" s="373"/>
    </row>
    <row r="27" spans="1:12" ht="17.25" customHeight="1">
      <c r="A27" s="250" t="s">
        <v>1713</v>
      </c>
      <c r="B27" s="183"/>
      <c r="C27" s="219">
        <f>SUM(C28:C41)</f>
        <v>1847713</v>
      </c>
      <c r="D27" s="219">
        <f t="shared" ref="D27:K27" si="6">SUM(D28:D41)</f>
        <v>8474447</v>
      </c>
      <c r="E27" s="220">
        <f t="shared" si="6"/>
        <v>1973762</v>
      </c>
      <c r="F27" s="221">
        <f>SUM(F28:F41)</f>
        <v>9062000</v>
      </c>
      <c r="G27" s="219">
        <f t="shared" si="6"/>
        <v>9062000</v>
      </c>
      <c r="H27" s="218">
        <f t="shared" si="6"/>
        <v>9062000</v>
      </c>
      <c r="I27" s="221">
        <f t="shared" si="6"/>
        <v>13804299</v>
      </c>
      <c r="J27" s="219">
        <f t="shared" si="6"/>
        <v>14417733.344000001</v>
      </c>
      <c r="K27" s="220">
        <f t="shared" si="6"/>
        <v>15109783.360512001</v>
      </c>
      <c r="L27" s="373"/>
    </row>
    <row r="28" spans="1:12" ht="11.25" customHeight="1">
      <c r="A28" s="251" t="s">
        <v>2</v>
      </c>
      <c r="B28" s="183"/>
      <c r="C28" s="1713">
        <v>714187</v>
      </c>
      <c r="D28" s="2030">
        <v>2731770</v>
      </c>
      <c r="E28" s="2030">
        <v>293322</v>
      </c>
      <c r="F28" s="2030"/>
      <c r="G28" s="1713"/>
      <c r="H28" s="2050"/>
      <c r="I28" s="1964"/>
      <c r="J28" s="1713"/>
      <c r="K28" s="1964"/>
      <c r="L28" s="1648"/>
    </row>
    <row r="29" spans="1:12" ht="11.25" customHeight="1">
      <c r="A29" s="251" t="s">
        <v>1734</v>
      </c>
      <c r="B29" s="183"/>
      <c r="C29" s="1080">
        <v>15350</v>
      </c>
      <c r="D29" s="1082">
        <v>1213244</v>
      </c>
      <c r="E29" s="1082">
        <v>192859</v>
      </c>
      <c r="F29" s="1712">
        <v>1680000</v>
      </c>
      <c r="G29" s="1708">
        <v>1680000</v>
      </c>
      <c r="H29" s="1732">
        <v>1680000</v>
      </c>
      <c r="I29" s="1081">
        <v>12347358</v>
      </c>
      <c r="J29" s="1708">
        <v>12940027</v>
      </c>
      <c r="K29" s="1730">
        <v>13561148</v>
      </c>
      <c r="L29" s="1648"/>
    </row>
    <row r="30" spans="1:12" ht="11.25" customHeight="1">
      <c r="A30" s="251" t="s">
        <v>534</v>
      </c>
      <c r="B30" s="183"/>
      <c r="C30" s="1080">
        <v>19643</v>
      </c>
      <c r="D30" s="1082"/>
      <c r="E30" s="1082">
        <v>20971</v>
      </c>
      <c r="F30" s="1731"/>
      <c r="G30" s="1708">
        <v>0</v>
      </c>
      <c r="H30" s="1732">
        <v>0</v>
      </c>
      <c r="I30" s="1081"/>
      <c r="J30" s="1708"/>
      <c r="K30" s="1730"/>
      <c r="L30" s="1648"/>
    </row>
    <row r="31" spans="1:12" ht="11.25" customHeight="1">
      <c r="A31" s="251" t="s">
        <v>1</v>
      </c>
      <c r="B31" s="183"/>
      <c r="C31" s="1080">
        <v>186948</v>
      </c>
      <c r="D31" s="1082">
        <v>209758</v>
      </c>
      <c r="E31" s="1082">
        <v>196522</v>
      </c>
      <c r="F31" s="1731"/>
      <c r="G31" s="1708">
        <v>0</v>
      </c>
      <c r="H31" s="1732">
        <v>0</v>
      </c>
      <c r="I31" s="1081"/>
      <c r="J31" s="1708"/>
      <c r="K31" s="1730"/>
      <c r="L31" s="1648"/>
    </row>
    <row r="32" spans="1:12" ht="11.25" customHeight="1">
      <c r="A32" s="251" t="s">
        <v>351</v>
      </c>
      <c r="B32" s="183"/>
      <c r="C32" s="1080">
        <v>338438</v>
      </c>
      <c r="D32" s="1082">
        <v>482999</v>
      </c>
      <c r="E32" s="1082">
        <v>485496</v>
      </c>
      <c r="F32" s="1712">
        <v>482000</v>
      </c>
      <c r="G32" s="1708">
        <v>482000</v>
      </c>
      <c r="H32" s="1732">
        <v>482000</v>
      </c>
      <c r="I32" s="1081">
        <v>473453</v>
      </c>
      <c r="J32" s="1708">
        <v>496178.74400000001</v>
      </c>
      <c r="K32" s="1730">
        <v>519995.32371200004</v>
      </c>
      <c r="L32" s="1648"/>
    </row>
    <row r="33" spans="1:15" ht="11.25" customHeight="1">
      <c r="A33" s="251" t="s">
        <v>0</v>
      </c>
      <c r="B33" s="183"/>
      <c r="C33" s="1080">
        <v>0</v>
      </c>
      <c r="D33" s="1082"/>
      <c r="E33" s="1082">
        <v>0</v>
      </c>
      <c r="F33" s="1731">
        <v>0</v>
      </c>
      <c r="G33" s="1708">
        <v>0</v>
      </c>
      <c r="H33" s="1732">
        <v>0</v>
      </c>
      <c r="I33" s="1081"/>
      <c r="J33" s="1708"/>
      <c r="K33" s="1730"/>
      <c r="L33" s="1648"/>
    </row>
    <row r="34" spans="1:15" ht="11.25" customHeight="1">
      <c r="A34" s="251" t="s">
        <v>1735</v>
      </c>
      <c r="B34" s="183"/>
      <c r="C34" s="1080">
        <v>310234</v>
      </c>
      <c r="D34" s="1082">
        <v>2357249</v>
      </c>
      <c r="E34" s="1082">
        <v>348838</v>
      </c>
      <c r="F34" s="1712">
        <v>1200000</v>
      </c>
      <c r="G34" s="1708">
        <v>1200000</v>
      </c>
      <c r="H34" s="1732">
        <v>1200000</v>
      </c>
      <c r="I34" s="1081">
        <v>405960</v>
      </c>
      <c r="J34" s="1708">
        <v>425446</v>
      </c>
      <c r="K34" s="1730">
        <v>445867</v>
      </c>
      <c r="L34" s="1648"/>
    </row>
    <row r="35" spans="1:15" ht="11.25" customHeight="1">
      <c r="A35" s="251" t="s">
        <v>1043</v>
      </c>
      <c r="B35" s="183"/>
      <c r="C35" s="1080">
        <v>8689</v>
      </c>
      <c r="D35" s="1082"/>
      <c r="E35" s="1082">
        <v>2282</v>
      </c>
      <c r="F35" s="1712">
        <v>1041000</v>
      </c>
      <c r="G35" s="1708">
        <v>1041000</v>
      </c>
      <c r="H35" s="1732">
        <v>1041000</v>
      </c>
      <c r="I35" s="1081">
        <v>97394</v>
      </c>
      <c r="J35" s="1708">
        <v>102069</v>
      </c>
      <c r="K35" s="1730">
        <v>106968</v>
      </c>
      <c r="L35" s="1648"/>
    </row>
    <row r="36" spans="1:15" ht="11.25" customHeight="1">
      <c r="A36" s="251" t="s">
        <v>1664</v>
      </c>
      <c r="B36" s="183">
        <v>7</v>
      </c>
      <c r="C36" s="1080">
        <v>0</v>
      </c>
      <c r="D36" s="1082"/>
      <c r="E36" s="1082">
        <v>0</v>
      </c>
      <c r="F36" s="1712">
        <v>0</v>
      </c>
      <c r="G36" s="1708"/>
      <c r="H36" s="1732"/>
      <c r="I36" s="1081"/>
      <c r="J36" s="1708"/>
      <c r="K36" s="1730"/>
      <c r="L36" s="1648"/>
    </row>
    <row r="37" spans="1:15" ht="11.25" customHeight="1">
      <c r="A37" s="251" t="s">
        <v>1393</v>
      </c>
      <c r="B37" s="183"/>
      <c r="C37" s="1080">
        <v>120561</v>
      </c>
      <c r="D37" s="1082">
        <v>232664</v>
      </c>
      <c r="E37" s="1082">
        <v>128969</v>
      </c>
      <c r="F37" s="1712">
        <v>299000</v>
      </c>
      <c r="G37" s="1708">
        <v>299000</v>
      </c>
      <c r="H37" s="1732">
        <v>299000</v>
      </c>
      <c r="I37" s="1081">
        <v>217184</v>
      </c>
      <c r="J37" s="1708">
        <v>178441</v>
      </c>
      <c r="K37" s="1730">
        <v>187006</v>
      </c>
      <c r="L37" s="1648"/>
      <c r="O37" s="373"/>
    </row>
    <row r="38" spans="1:15" ht="11.25" customHeight="1">
      <c r="A38" s="251" t="s">
        <v>764</v>
      </c>
      <c r="B38" s="183"/>
      <c r="C38" s="1080">
        <v>133123</v>
      </c>
      <c r="D38" s="1082">
        <v>197303</v>
      </c>
      <c r="E38" s="1082">
        <v>3598</v>
      </c>
      <c r="F38" s="1712"/>
      <c r="G38" s="1708"/>
      <c r="H38" s="1732"/>
      <c r="I38" s="1081">
        <v>1200</v>
      </c>
      <c r="J38" s="1708">
        <v>1257.6000000000001</v>
      </c>
      <c r="K38" s="1730">
        <v>1317.9648000000002</v>
      </c>
      <c r="L38" s="1648"/>
    </row>
    <row r="39" spans="1:15" ht="11.25" customHeight="1">
      <c r="A39" s="251" t="s">
        <v>532</v>
      </c>
      <c r="B39" s="183"/>
      <c r="C39" s="1080">
        <v>540</v>
      </c>
      <c r="D39" s="1082"/>
      <c r="E39" s="1082">
        <v>761</v>
      </c>
      <c r="F39" s="1712"/>
      <c r="G39" s="1708"/>
      <c r="H39" s="1732"/>
      <c r="I39" s="1081">
        <v>261750</v>
      </c>
      <c r="J39" s="1708">
        <v>274314</v>
      </c>
      <c r="K39" s="1730">
        <v>287481.07199999999</v>
      </c>
      <c r="L39" s="1648"/>
    </row>
    <row r="40" spans="1:15" ht="11.25" customHeight="1">
      <c r="A40" s="251" t="s">
        <v>31</v>
      </c>
      <c r="B40" s="183">
        <v>8</v>
      </c>
      <c r="C40" s="1080">
        <v>0</v>
      </c>
      <c r="D40" s="1082"/>
      <c r="E40" s="1082">
        <v>300144</v>
      </c>
      <c r="F40" s="1712"/>
      <c r="G40" s="1708"/>
      <c r="H40" s="1732"/>
      <c r="I40" s="1081"/>
      <c r="J40" s="1708"/>
      <c r="K40" s="1730"/>
      <c r="L40" s="373"/>
    </row>
    <row r="41" spans="1:15" ht="11.25" customHeight="1">
      <c r="A41" s="251" t="s">
        <v>301</v>
      </c>
      <c r="B41" s="183"/>
      <c r="C41" s="1754"/>
      <c r="D41" s="1756">
        <v>1049460</v>
      </c>
      <c r="E41" s="1756"/>
      <c r="F41" s="1712">
        <v>4360000</v>
      </c>
      <c r="G41" s="1754">
        <v>4360000</v>
      </c>
      <c r="H41" s="1757">
        <v>4360000</v>
      </c>
      <c r="I41" s="1755"/>
      <c r="J41" s="1754"/>
      <c r="K41" s="1755"/>
      <c r="L41" s="1648"/>
    </row>
    <row r="42" spans="1:15" ht="5.0999999999999996" customHeight="1">
      <c r="A42" s="274"/>
      <c r="B42" s="183"/>
      <c r="C42" s="204"/>
      <c r="D42" s="204"/>
      <c r="E42" s="205"/>
      <c r="F42" s="206"/>
      <c r="G42" s="204"/>
      <c r="H42" s="203"/>
      <c r="I42" s="206"/>
      <c r="J42" s="204"/>
      <c r="K42" s="205"/>
      <c r="L42" s="373"/>
    </row>
    <row r="43" spans="1:15" ht="17.25" customHeight="1">
      <c r="A43" s="250" t="s">
        <v>1046</v>
      </c>
      <c r="B43" s="183"/>
      <c r="C43" s="204">
        <f>SUM(C44:C45)</f>
        <v>0</v>
      </c>
      <c r="D43" s="204">
        <f t="shared" ref="D43:K43" si="7">SUM(D44:D45)</f>
        <v>0</v>
      </c>
      <c r="E43" s="205">
        <f t="shared" si="7"/>
        <v>0</v>
      </c>
      <c r="F43" s="206">
        <f t="shared" si="7"/>
        <v>0</v>
      </c>
      <c r="G43" s="204">
        <f t="shared" si="7"/>
        <v>0</v>
      </c>
      <c r="H43" s="203">
        <f t="shared" si="7"/>
        <v>0</v>
      </c>
      <c r="I43" s="206">
        <f t="shared" si="7"/>
        <v>0</v>
      </c>
      <c r="J43" s="204">
        <f t="shared" si="7"/>
        <v>0</v>
      </c>
      <c r="K43" s="205">
        <f t="shared" si="7"/>
        <v>0</v>
      </c>
      <c r="L43" s="373"/>
    </row>
    <row r="44" spans="1:15" ht="11.25" customHeight="1">
      <c r="A44" s="251" t="s">
        <v>1363</v>
      </c>
      <c r="B44" s="183"/>
      <c r="C44" s="1717"/>
      <c r="D44" s="1717"/>
      <c r="E44" s="2051"/>
      <c r="F44" s="2052"/>
      <c r="G44" s="1717"/>
      <c r="H44" s="2053"/>
      <c r="I44" s="2052"/>
      <c r="J44" s="1717"/>
      <c r="K44" s="2051"/>
      <c r="L44" s="373"/>
    </row>
    <row r="45" spans="1:15" ht="11.25" customHeight="1">
      <c r="A45" s="255" t="s">
        <v>301</v>
      </c>
      <c r="B45" s="183">
        <v>9</v>
      </c>
      <c r="C45" s="1747"/>
      <c r="D45" s="1747"/>
      <c r="E45" s="2054"/>
      <c r="F45" s="2055"/>
      <c r="G45" s="1747"/>
      <c r="H45" s="2056"/>
      <c r="I45" s="2055"/>
      <c r="J45" s="1747"/>
      <c r="K45" s="2054"/>
      <c r="L45" s="373"/>
    </row>
    <row r="46" spans="1:15" ht="5.0999999999999996" customHeight="1">
      <c r="A46" s="274"/>
      <c r="B46" s="183"/>
      <c r="C46" s="204"/>
      <c r="D46" s="204"/>
      <c r="E46" s="205"/>
      <c r="F46" s="206"/>
      <c r="G46" s="204"/>
      <c r="H46" s="203"/>
      <c r="I46" s="206"/>
      <c r="J46" s="204"/>
      <c r="K46" s="205"/>
      <c r="L46" s="373"/>
    </row>
    <row r="47" spans="1:15" ht="17.25" customHeight="1">
      <c r="A47" s="250" t="s">
        <v>1047</v>
      </c>
      <c r="B47" s="183"/>
      <c r="C47" s="219">
        <f>SUM(C48:C49)</f>
        <v>0</v>
      </c>
      <c r="D47" s="219">
        <f t="shared" ref="D47:K47" si="8">SUM(D48:D49)</f>
        <v>0</v>
      </c>
      <c r="E47" s="220">
        <f t="shared" si="8"/>
        <v>0</v>
      </c>
      <c r="F47" s="221">
        <f t="shared" si="8"/>
        <v>0</v>
      </c>
      <c r="G47" s="219">
        <f t="shared" si="8"/>
        <v>0</v>
      </c>
      <c r="H47" s="218">
        <f t="shared" si="8"/>
        <v>0</v>
      </c>
      <c r="I47" s="221">
        <f t="shared" si="8"/>
        <v>0</v>
      </c>
      <c r="J47" s="219">
        <f t="shared" si="8"/>
        <v>0</v>
      </c>
      <c r="K47" s="220">
        <f t="shared" si="8"/>
        <v>0</v>
      </c>
      <c r="L47" s="373"/>
    </row>
    <row r="48" spans="1:15" ht="11.25" customHeight="1">
      <c r="A48" s="251" t="s">
        <v>533</v>
      </c>
      <c r="B48" s="183"/>
      <c r="C48" s="1713"/>
      <c r="D48" s="1713"/>
      <c r="E48" s="1964"/>
      <c r="F48" s="2030"/>
      <c r="G48" s="1713"/>
      <c r="H48" s="2050"/>
      <c r="I48" s="2030"/>
      <c r="J48" s="1713"/>
      <c r="K48" s="1964"/>
      <c r="L48" s="1648"/>
    </row>
    <row r="49" spans="1:12" ht="11.25" customHeight="1">
      <c r="A49" s="251" t="s">
        <v>301</v>
      </c>
      <c r="B49" s="183"/>
      <c r="C49" s="1754"/>
      <c r="D49" s="1754"/>
      <c r="E49" s="1755"/>
      <c r="F49" s="1756"/>
      <c r="G49" s="1754"/>
      <c r="H49" s="1757"/>
      <c r="I49" s="1756"/>
      <c r="J49" s="1754"/>
      <c r="K49" s="1755"/>
      <c r="L49" s="373"/>
    </row>
    <row r="50" spans="1:12" ht="5.0999999999999996" customHeight="1">
      <c r="A50" s="274"/>
      <c r="B50" s="183"/>
      <c r="C50" s="204"/>
      <c r="D50" s="204"/>
      <c r="E50" s="205"/>
      <c r="F50" s="206"/>
      <c r="G50" s="204"/>
      <c r="H50" s="203"/>
      <c r="I50" s="206"/>
      <c r="J50" s="204"/>
      <c r="K50" s="205"/>
      <c r="L50" s="373"/>
    </row>
    <row r="51" spans="1:12" ht="17.25" customHeight="1">
      <c r="A51" s="250" t="s">
        <v>1048</v>
      </c>
      <c r="B51" s="183"/>
      <c r="C51" s="219">
        <f>SUM(C52:C63)</f>
        <v>31315496</v>
      </c>
      <c r="D51" s="219">
        <f t="shared" ref="D51:K51" si="9">SUM(D52:D63)</f>
        <v>12209949</v>
      </c>
      <c r="E51" s="220">
        <f t="shared" si="9"/>
        <v>40412763</v>
      </c>
      <c r="F51" s="221">
        <f t="shared" si="9"/>
        <v>9076000</v>
      </c>
      <c r="G51" s="219">
        <f t="shared" si="9"/>
        <v>9076000</v>
      </c>
      <c r="H51" s="218">
        <f t="shared" si="9"/>
        <v>9076000</v>
      </c>
      <c r="I51" s="221">
        <f t="shared" si="9"/>
        <v>61378304</v>
      </c>
      <c r="J51" s="219">
        <f t="shared" si="9"/>
        <v>74065338</v>
      </c>
      <c r="K51" s="220">
        <f t="shared" si="9"/>
        <v>77620475</v>
      </c>
      <c r="L51" s="373"/>
    </row>
    <row r="52" spans="1:12" ht="11.25" customHeight="1">
      <c r="A52" s="255" t="s">
        <v>667</v>
      </c>
      <c r="B52" s="183"/>
      <c r="C52" s="1080">
        <v>7569033</v>
      </c>
      <c r="D52" s="1080">
        <v>271642</v>
      </c>
      <c r="E52" s="1080">
        <v>8786005</v>
      </c>
      <c r="F52" s="1712">
        <v>282000</v>
      </c>
      <c r="G52" s="1713">
        <v>282000</v>
      </c>
      <c r="H52" s="2050">
        <v>282000</v>
      </c>
      <c r="I52" s="1080">
        <v>17750940</v>
      </c>
      <c r="J52" s="1713">
        <v>18602985</v>
      </c>
      <c r="K52" s="1964">
        <v>19495928</v>
      </c>
      <c r="L52" s="1648"/>
    </row>
    <row r="53" spans="1:12" ht="11.25" customHeight="1">
      <c r="A53" s="255" t="s">
        <v>32</v>
      </c>
      <c r="B53" s="183">
        <v>10</v>
      </c>
      <c r="C53" s="1080">
        <v>4035973</v>
      </c>
      <c r="D53" s="1082"/>
      <c r="E53" s="1082">
        <v>4348693</v>
      </c>
      <c r="F53" s="1731"/>
      <c r="G53" s="1708">
        <v>0</v>
      </c>
      <c r="H53" s="1732">
        <v>0</v>
      </c>
      <c r="I53" s="1081"/>
      <c r="J53" s="1708"/>
      <c r="K53" s="1730"/>
      <c r="L53" s="373"/>
    </row>
    <row r="54" spans="1:12" ht="11.25" customHeight="1">
      <c r="A54" s="255" t="s">
        <v>1349</v>
      </c>
      <c r="B54" s="183"/>
      <c r="C54" s="1080">
        <v>11130033</v>
      </c>
      <c r="D54" s="1082"/>
      <c r="E54" s="1082">
        <v>11429170</v>
      </c>
      <c r="F54" s="1712">
        <v>148000</v>
      </c>
      <c r="G54" s="1708">
        <v>148000</v>
      </c>
      <c r="H54" s="1732">
        <v>148000</v>
      </c>
      <c r="I54" s="1081">
        <v>23173875</v>
      </c>
      <c r="J54" s="1708">
        <v>34033792</v>
      </c>
      <c r="K54" s="1730">
        <v>35667414</v>
      </c>
      <c r="L54" s="1648"/>
    </row>
    <row r="55" spans="1:12" ht="11.25" customHeight="1">
      <c r="A55" s="255" t="s">
        <v>668</v>
      </c>
      <c r="B55" s="183"/>
      <c r="C55" s="1080"/>
      <c r="D55" s="1082"/>
      <c r="E55" s="1082"/>
      <c r="F55" s="1731"/>
      <c r="G55" s="1708">
        <v>0</v>
      </c>
      <c r="H55" s="1732">
        <v>0</v>
      </c>
      <c r="I55" s="1081"/>
      <c r="J55" s="1708"/>
      <c r="K55" s="1730"/>
      <c r="L55" s="1648"/>
    </row>
    <row r="56" spans="1:12" ht="11.25" customHeight="1">
      <c r="A56" s="255" t="s">
        <v>669</v>
      </c>
      <c r="B56" s="183"/>
      <c r="C56" s="1080"/>
      <c r="D56" s="1082"/>
      <c r="E56" s="1082"/>
      <c r="F56" s="1731"/>
      <c r="G56" s="1708">
        <v>0</v>
      </c>
      <c r="H56" s="1732">
        <v>0</v>
      </c>
      <c r="I56" s="1081"/>
      <c r="J56" s="1708"/>
      <c r="K56" s="1730"/>
      <c r="L56" s="1648"/>
    </row>
    <row r="57" spans="1:12" ht="11.25" customHeight="1">
      <c r="A57" s="255" t="s">
        <v>1350</v>
      </c>
      <c r="B57" s="183"/>
      <c r="C57" s="1080"/>
      <c r="D57" s="1082"/>
      <c r="E57" s="1082"/>
      <c r="F57" s="1731"/>
      <c r="G57" s="1708">
        <v>0</v>
      </c>
      <c r="H57" s="1732">
        <v>0</v>
      </c>
      <c r="I57" s="1081"/>
      <c r="J57" s="1708"/>
      <c r="K57" s="1730"/>
      <c r="L57" s="1648"/>
    </row>
    <row r="58" spans="1:12" ht="11.25" customHeight="1">
      <c r="A58" s="255" t="s">
        <v>1351</v>
      </c>
      <c r="B58" s="183"/>
      <c r="C58" s="1080">
        <v>497428</v>
      </c>
      <c r="D58" s="1082">
        <v>1012666</v>
      </c>
      <c r="E58" s="1082">
        <v>601762</v>
      </c>
      <c r="F58" s="1731"/>
      <c r="G58" s="1708">
        <v>0</v>
      </c>
      <c r="H58" s="1732">
        <v>0</v>
      </c>
      <c r="I58" s="1081">
        <v>648440</v>
      </c>
      <c r="J58" s="1708">
        <v>679565</v>
      </c>
      <c r="K58" s="1730">
        <v>712184</v>
      </c>
      <c r="L58" s="1647"/>
    </row>
    <row r="59" spans="1:12" ht="11.25" customHeight="1">
      <c r="A59" s="255" t="s">
        <v>1662</v>
      </c>
      <c r="B59" s="183"/>
      <c r="C59" s="1080">
        <v>2850360</v>
      </c>
      <c r="D59" s="1082">
        <v>10925641</v>
      </c>
      <c r="E59" s="1082">
        <v>3458602</v>
      </c>
      <c r="F59" s="1712">
        <v>8646000</v>
      </c>
      <c r="G59" s="1708">
        <v>8646000</v>
      </c>
      <c r="H59" s="1732">
        <v>8646000</v>
      </c>
      <c r="I59" s="1081">
        <v>8939885</v>
      </c>
      <c r="J59" s="1708">
        <v>9362305</v>
      </c>
      <c r="K59" s="1730">
        <v>9811696</v>
      </c>
      <c r="L59" s="1648"/>
    </row>
    <row r="60" spans="1:12" ht="11.25" customHeight="1">
      <c r="A60" s="255" t="s">
        <v>334</v>
      </c>
      <c r="B60" s="183"/>
      <c r="C60" s="1080"/>
      <c r="D60" s="1082"/>
      <c r="E60" s="1082"/>
      <c r="F60" s="1731"/>
      <c r="G60" s="1708"/>
      <c r="H60" s="1732"/>
      <c r="I60" s="1081"/>
      <c r="J60" s="1708"/>
      <c r="K60" s="1730"/>
      <c r="L60" s="1648"/>
    </row>
    <row r="61" spans="1:12" ht="11.25" customHeight="1">
      <c r="A61" s="255" t="s">
        <v>333</v>
      </c>
      <c r="B61" s="183"/>
      <c r="C61" s="1080"/>
      <c r="D61" s="1082"/>
      <c r="E61" s="1082"/>
      <c r="F61" s="1731"/>
      <c r="G61" s="1708"/>
      <c r="H61" s="1732"/>
      <c r="I61" s="1081"/>
      <c r="J61" s="1708"/>
      <c r="K61" s="1730"/>
      <c r="L61" s="1648"/>
    </row>
    <row r="62" spans="1:12" ht="11.25" customHeight="1">
      <c r="A62" s="255" t="s">
        <v>670</v>
      </c>
      <c r="B62" s="183"/>
      <c r="C62" s="1080"/>
      <c r="D62" s="1082"/>
      <c r="E62" s="1082"/>
      <c r="F62" s="1731"/>
      <c r="G62" s="1708"/>
      <c r="H62" s="1732"/>
      <c r="I62" s="1081"/>
      <c r="J62" s="1708"/>
      <c r="K62" s="1730"/>
      <c r="L62" s="1648"/>
    </row>
    <row r="63" spans="1:12" ht="11.25" customHeight="1">
      <c r="A63" s="251" t="s">
        <v>301</v>
      </c>
      <c r="B63" s="183"/>
      <c r="C63" s="1754">
        <v>5232669</v>
      </c>
      <c r="D63" s="1756"/>
      <c r="E63" s="1756">
        <v>11788531</v>
      </c>
      <c r="F63" s="1756"/>
      <c r="G63" s="1754"/>
      <c r="H63" s="1757"/>
      <c r="I63" s="1755">
        <f>10185566+4569+386736+3000+285293</f>
        <v>10865164</v>
      </c>
      <c r="J63" s="1754">
        <f>10674473+4788+405299+3144+298987</f>
        <v>11386691</v>
      </c>
      <c r="K63" s="1755">
        <f>11186848+5018+424754+3295+313338</f>
        <v>11933253</v>
      </c>
      <c r="L63" s="1648"/>
    </row>
    <row r="64" spans="1:12" ht="5.0999999999999996" customHeight="1">
      <c r="A64" s="858"/>
      <c r="B64" s="183"/>
      <c r="C64" s="204"/>
      <c r="D64" s="204"/>
      <c r="E64" s="205"/>
      <c r="F64" s="206"/>
      <c r="G64" s="204"/>
      <c r="H64" s="203"/>
      <c r="I64" s="206"/>
      <c r="J64" s="204"/>
      <c r="K64" s="205"/>
      <c r="L64" s="373"/>
    </row>
    <row r="65" spans="1:12" ht="13.5" customHeight="1">
      <c r="A65" s="250" t="s">
        <v>1681</v>
      </c>
      <c r="B65" s="183"/>
      <c r="C65" s="204">
        <f>SUM(C66:C67)</f>
        <v>0</v>
      </c>
      <c r="D65" s="204">
        <f t="shared" ref="D65:K65" si="10">SUM(D66:D67)</f>
        <v>0</v>
      </c>
      <c r="E65" s="205">
        <f t="shared" si="10"/>
        <v>0</v>
      </c>
      <c r="F65" s="206">
        <f t="shared" si="10"/>
        <v>0</v>
      </c>
      <c r="G65" s="204">
        <f t="shared" si="10"/>
        <v>0</v>
      </c>
      <c r="H65" s="203">
        <f t="shared" si="10"/>
        <v>0</v>
      </c>
      <c r="I65" s="206">
        <f t="shared" si="10"/>
        <v>0</v>
      </c>
      <c r="J65" s="204">
        <f t="shared" si="10"/>
        <v>0</v>
      </c>
      <c r="K65" s="205">
        <f t="shared" si="10"/>
        <v>0</v>
      </c>
      <c r="L65" s="373"/>
    </row>
    <row r="66" spans="1:12" ht="11.25" customHeight="1">
      <c r="A66" s="2016" t="s">
        <v>1364</v>
      </c>
      <c r="B66" s="183"/>
      <c r="C66" s="1713"/>
      <c r="D66" s="1713"/>
      <c r="E66" s="1964"/>
      <c r="F66" s="2030"/>
      <c r="G66" s="1713"/>
      <c r="H66" s="2050"/>
      <c r="I66" s="2030"/>
      <c r="J66" s="1713"/>
      <c r="K66" s="1964"/>
      <c r="L66" s="373"/>
    </row>
    <row r="67" spans="1:12" ht="11.25" customHeight="1">
      <c r="A67" s="2016"/>
      <c r="B67" s="183"/>
      <c r="C67" s="1754"/>
      <c r="D67" s="1754"/>
      <c r="E67" s="1755"/>
      <c r="F67" s="1756"/>
      <c r="G67" s="1754"/>
      <c r="H67" s="1757"/>
      <c r="I67" s="1756"/>
      <c r="J67" s="1754"/>
      <c r="K67" s="1755"/>
      <c r="L67" s="373"/>
    </row>
    <row r="68" spans="1:12" ht="5.0999999999999996" customHeight="1">
      <c r="A68" s="858"/>
      <c r="B68" s="183"/>
      <c r="C68" s="204"/>
      <c r="D68" s="204"/>
      <c r="E68" s="205"/>
      <c r="F68" s="206"/>
      <c r="G68" s="204"/>
      <c r="H68" s="203"/>
      <c r="I68" s="206"/>
      <c r="J68" s="204"/>
      <c r="K68" s="205"/>
      <c r="L68" s="373"/>
    </row>
    <row r="69" spans="1:12" ht="13.5" customHeight="1">
      <c r="A69" s="250" t="s">
        <v>138</v>
      </c>
      <c r="B69" s="183"/>
      <c r="C69" s="204">
        <f>SUM(C70:C71)</f>
        <v>0</v>
      </c>
      <c r="D69" s="204">
        <f t="shared" ref="D69:K69" si="11">SUM(D70:D71)</f>
        <v>0</v>
      </c>
      <c r="E69" s="205">
        <f t="shared" si="11"/>
        <v>0</v>
      </c>
      <c r="F69" s="206">
        <f t="shared" si="11"/>
        <v>0</v>
      </c>
      <c r="G69" s="204">
        <f t="shared" si="11"/>
        <v>0</v>
      </c>
      <c r="H69" s="203">
        <f t="shared" si="11"/>
        <v>0</v>
      </c>
      <c r="I69" s="206">
        <f t="shared" si="11"/>
        <v>0</v>
      </c>
      <c r="J69" s="204">
        <f t="shared" si="11"/>
        <v>0</v>
      </c>
      <c r="K69" s="205">
        <f t="shared" si="11"/>
        <v>0</v>
      </c>
      <c r="L69" s="373"/>
    </row>
    <row r="70" spans="1:12" ht="11.25" customHeight="1">
      <c r="A70" s="2016" t="s">
        <v>1364</v>
      </c>
      <c r="B70" s="183"/>
      <c r="C70" s="1713"/>
      <c r="D70" s="1713"/>
      <c r="E70" s="1964"/>
      <c r="F70" s="2030"/>
      <c r="G70" s="1713"/>
      <c r="H70" s="2050"/>
      <c r="I70" s="2030"/>
      <c r="J70" s="1713"/>
      <c r="K70" s="1964"/>
      <c r="L70" s="373"/>
    </row>
    <row r="71" spans="1:12" ht="11.25" customHeight="1">
      <c r="A71" s="2016"/>
      <c r="B71" s="183"/>
      <c r="C71" s="1754"/>
      <c r="D71" s="1754"/>
      <c r="E71" s="1755"/>
      <c r="F71" s="1756"/>
      <c r="G71" s="1754"/>
      <c r="H71" s="1757"/>
      <c r="I71" s="1756"/>
      <c r="J71" s="1754"/>
      <c r="K71" s="1755"/>
      <c r="L71" s="373"/>
    </row>
    <row r="72" spans="1:12" ht="5.0999999999999996" customHeight="1">
      <c r="A72" s="274"/>
      <c r="B72" s="183"/>
      <c r="C72" s="204"/>
      <c r="D72" s="204"/>
      <c r="E72" s="205"/>
      <c r="F72" s="206"/>
      <c r="G72" s="204"/>
      <c r="H72" s="203"/>
      <c r="I72" s="206"/>
      <c r="J72" s="204"/>
      <c r="K72" s="205"/>
      <c r="L72" s="373"/>
    </row>
    <row r="73" spans="1:12" ht="17.25" customHeight="1">
      <c r="A73" s="250" t="s">
        <v>951</v>
      </c>
      <c r="B73" s="183"/>
      <c r="C73" s="204">
        <f>SUM(C74:C75)</f>
        <v>0</v>
      </c>
      <c r="D73" s="204">
        <f t="shared" ref="D73:K73" si="12">SUM(D74:D75)</f>
        <v>0</v>
      </c>
      <c r="E73" s="205">
        <f t="shared" si="12"/>
        <v>0</v>
      </c>
      <c r="F73" s="206">
        <f t="shared" si="12"/>
        <v>0</v>
      </c>
      <c r="G73" s="204">
        <f t="shared" si="12"/>
        <v>0</v>
      </c>
      <c r="H73" s="203">
        <f t="shared" si="12"/>
        <v>0</v>
      </c>
      <c r="I73" s="206">
        <f t="shared" si="12"/>
        <v>0</v>
      </c>
      <c r="J73" s="204">
        <f t="shared" si="12"/>
        <v>0</v>
      </c>
      <c r="K73" s="205">
        <f t="shared" si="12"/>
        <v>0</v>
      </c>
      <c r="L73" s="373"/>
    </row>
    <row r="74" spans="1:12" ht="11.25" customHeight="1">
      <c r="A74" s="255" t="s">
        <v>1055</v>
      </c>
      <c r="B74" s="183"/>
      <c r="C74" s="1713"/>
      <c r="D74" s="1713"/>
      <c r="E74" s="1964"/>
      <c r="F74" s="2030"/>
      <c r="G74" s="1713"/>
      <c r="H74" s="2050"/>
      <c r="I74" s="2030"/>
      <c r="J74" s="1713"/>
      <c r="K74" s="1964"/>
      <c r="L74" s="373"/>
    </row>
    <row r="75" spans="1:12" ht="11.25" customHeight="1">
      <c r="A75" s="1989" t="s">
        <v>648</v>
      </c>
      <c r="B75" s="183"/>
      <c r="C75" s="1754"/>
      <c r="D75" s="1754"/>
      <c r="E75" s="1755"/>
      <c r="F75" s="1756"/>
      <c r="G75" s="1754"/>
      <c r="H75" s="1757"/>
      <c r="I75" s="1756"/>
      <c r="J75" s="1754"/>
      <c r="K75" s="1755"/>
      <c r="L75" s="373"/>
    </row>
    <row r="76" spans="1:12" ht="5.0999999999999996" customHeight="1">
      <c r="A76" s="274"/>
      <c r="B76" s="183"/>
      <c r="C76" s="219"/>
      <c r="D76" s="219"/>
      <c r="E76" s="220"/>
      <c r="F76" s="221"/>
      <c r="G76" s="219"/>
      <c r="H76" s="218"/>
      <c r="I76" s="221"/>
      <c r="J76" s="219"/>
      <c r="K76" s="220"/>
      <c r="L76" s="373"/>
    </row>
    <row r="77" spans="1:12">
      <c r="A77" s="282" t="s">
        <v>1322</v>
      </c>
      <c r="B77" s="226">
        <v>1</v>
      </c>
      <c r="C77" s="231">
        <f t="shared" ref="C77:K77" si="13">C6+C27+C43+C47+C51+C73+C65+C69</f>
        <v>60481535</v>
      </c>
      <c r="D77" s="231">
        <f t="shared" si="13"/>
        <v>71701171</v>
      </c>
      <c r="E77" s="229">
        <f t="shared" si="13"/>
        <v>126447143</v>
      </c>
      <c r="F77" s="230">
        <f t="shared" si="13"/>
        <v>72509000</v>
      </c>
      <c r="G77" s="231">
        <f t="shared" si="13"/>
        <v>72509000</v>
      </c>
      <c r="H77" s="232">
        <f t="shared" si="13"/>
        <v>72509000</v>
      </c>
      <c r="I77" s="230">
        <f t="shared" si="13"/>
        <v>99213711</v>
      </c>
      <c r="J77" s="231">
        <f t="shared" si="13"/>
        <v>113409416.12799999</v>
      </c>
      <c r="K77" s="229">
        <f t="shared" si="13"/>
        <v>118870875.742144</v>
      </c>
      <c r="L77" s="373"/>
    </row>
    <row r="78" spans="1:12">
      <c r="A78" s="1650"/>
      <c r="B78" s="665"/>
      <c r="C78" s="218"/>
      <c r="D78" s="218"/>
      <c r="E78" s="218"/>
      <c r="F78" s="218"/>
      <c r="G78" s="218"/>
      <c r="H78" s="218"/>
      <c r="I78" s="218"/>
      <c r="J78" s="218"/>
      <c r="K78" s="218"/>
      <c r="L78" s="373"/>
    </row>
    <row r="79" spans="1:12">
      <c r="A79" s="1651" t="s">
        <v>32</v>
      </c>
      <c r="B79" s="1652"/>
      <c r="C79" s="1345">
        <f>SUM(C80:C83)</f>
        <v>4035973</v>
      </c>
      <c r="D79" s="1341">
        <f t="shared" ref="D79:K79" si="14">SUM(D80:D83)</f>
        <v>0</v>
      </c>
      <c r="E79" s="1653">
        <f>SUM(E80:E83)</f>
        <v>4348693</v>
      </c>
      <c r="F79" s="1345">
        <f t="shared" si="14"/>
        <v>0</v>
      </c>
      <c r="G79" s="1341">
        <f t="shared" si="14"/>
        <v>0</v>
      </c>
      <c r="H79" s="1653">
        <f t="shared" si="14"/>
        <v>0</v>
      </c>
      <c r="I79" s="1345">
        <f>SUM(I80:I83)</f>
        <v>0</v>
      </c>
      <c r="J79" s="1341">
        <f t="shared" si="14"/>
        <v>0</v>
      </c>
      <c r="K79" s="1653">
        <f t="shared" si="14"/>
        <v>0</v>
      </c>
      <c r="L79" s="373"/>
    </row>
    <row r="80" spans="1:12">
      <c r="A80" s="191" t="s">
        <v>1412</v>
      </c>
      <c r="B80" s="1654"/>
      <c r="C80" s="1080">
        <v>3644856</v>
      </c>
      <c r="D80" s="1084"/>
      <c r="E80" s="1084">
        <v>3931454</v>
      </c>
      <c r="F80" s="1710"/>
      <c r="G80" s="1708"/>
      <c r="H80" s="1711"/>
      <c r="I80" s="1711"/>
      <c r="J80" s="1708"/>
      <c r="K80" s="1711"/>
      <c r="L80" s="373"/>
    </row>
    <row r="81" spans="1:12">
      <c r="A81" s="191" t="s">
        <v>1663</v>
      </c>
      <c r="B81" s="1654"/>
      <c r="C81" s="1080">
        <v>391117</v>
      </c>
      <c r="D81" s="1084"/>
      <c r="E81" s="1084">
        <v>417239</v>
      </c>
      <c r="F81" s="1710"/>
      <c r="G81" s="1708"/>
      <c r="H81" s="1711"/>
      <c r="I81" s="1711"/>
      <c r="J81" s="1708"/>
      <c r="K81" s="1711"/>
      <c r="L81" s="373"/>
    </row>
    <row r="82" spans="1:12">
      <c r="A82" s="191" t="s">
        <v>1878</v>
      </c>
      <c r="B82" s="1654"/>
      <c r="C82" s="1080"/>
      <c r="D82" s="1084"/>
      <c r="E82" s="1084"/>
      <c r="F82" s="1710"/>
      <c r="G82" s="1708"/>
      <c r="H82" s="1711"/>
      <c r="I82" s="1711"/>
      <c r="J82" s="1708"/>
      <c r="K82" s="1711"/>
      <c r="L82" s="373"/>
    </row>
    <row r="83" spans="1:12">
      <c r="A83" s="1358" t="s">
        <v>1879</v>
      </c>
      <c r="B83" s="1655"/>
      <c r="C83" s="2330"/>
      <c r="D83" s="2331"/>
      <c r="E83" s="2331"/>
      <c r="F83" s="1787"/>
      <c r="G83" s="1783"/>
      <c r="H83" s="2057"/>
      <c r="I83" s="2332"/>
      <c r="J83" s="1783"/>
      <c r="K83" s="2057"/>
      <c r="L83" s="373"/>
    </row>
    <row r="84" spans="1:12" s="722" customFormat="1">
      <c r="A84" s="1305" t="str">
        <f>head27a</f>
        <v>References</v>
      </c>
      <c r="B84" s="1065"/>
      <c r="C84" s="1069"/>
      <c r="D84" s="1069"/>
      <c r="E84" s="1069"/>
      <c r="F84" s="1069"/>
      <c r="G84" s="1069"/>
      <c r="H84" s="1069"/>
      <c r="I84" s="1069"/>
      <c r="J84" s="1069"/>
      <c r="K84" s="1069"/>
      <c r="L84" s="1649"/>
    </row>
    <row r="85" spans="1:12" s="722" customFormat="1" ht="11.25" customHeight="1">
      <c r="A85" s="1306" t="s">
        <v>1323</v>
      </c>
      <c r="B85" s="1065"/>
      <c r="C85" s="1068"/>
      <c r="D85" s="1068"/>
      <c r="E85" s="1069"/>
      <c r="F85" s="1069"/>
      <c r="G85" s="1069"/>
      <c r="H85" s="1069"/>
      <c r="I85" s="1069"/>
      <c r="J85" s="1069"/>
      <c r="K85" s="1069"/>
    </row>
    <row r="86" spans="1:12" s="722" customFormat="1" ht="11.25" customHeight="1">
      <c r="A86" s="1306" t="s">
        <v>331</v>
      </c>
      <c r="B86" s="1065"/>
      <c r="C86" s="1068"/>
      <c r="D86" s="1068"/>
      <c r="E86" s="1069"/>
      <c r="F86" s="1069"/>
      <c r="G86" s="1069"/>
      <c r="H86" s="1069"/>
      <c r="I86" s="1069"/>
      <c r="J86" s="1069"/>
      <c r="K86" s="1069"/>
    </row>
    <row r="87" spans="1:12" s="722" customFormat="1" ht="11.25" customHeight="1">
      <c r="A87" s="1306" t="s">
        <v>985</v>
      </c>
      <c r="B87" s="1065"/>
      <c r="C87" s="1068"/>
      <c r="D87" s="1068"/>
      <c r="E87" s="1069"/>
      <c r="F87" s="1069"/>
      <c r="G87" s="1069"/>
      <c r="H87" s="1069"/>
      <c r="I87" s="1069"/>
      <c r="J87" s="1069"/>
      <c r="K87" s="1069"/>
    </row>
    <row r="88" spans="1:12" s="722" customFormat="1" ht="11.25" customHeight="1">
      <c r="A88" s="1306" t="s">
        <v>335</v>
      </c>
      <c r="B88" s="1065"/>
      <c r="C88" s="1068"/>
      <c r="D88" s="1068"/>
      <c r="E88" s="1069"/>
      <c r="F88" s="1069"/>
      <c r="G88" s="1069"/>
      <c r="H88" s="1069"/>
      <c r="I88" s="1069"/>
      <c r="J88" s="1069"/>
      <c r="K88" s="1069"/>
    </row>
    <row r="89" spans="1:12" s="722" customFormat="1" ht="11.25" customHeight="1">
      <c r="A89" s="1306" t="s">
        <v>135</v>
      </c>
      <c r="B89" s="1065"/>
      <c r="C89" s="1068"/>
      <c r="D89" s="1068"/>
      <c r="E89" s="1069"/>
      <c r="F89" s="1069"/>
      <c r="G89" s="1069"/>
      <c r="H89" s="1069"/>
      <c r="I89" s="1069"/>
      <c r="J89" s="1069"/>
      <c r="K89" s="1069"/>
    </row>
    <row r="90" spans="1:12" s="722" customFormat="1" ht="11.25" customHeight="1">
      <c r="A90" s="1306" t="s">
        <v>1819</v>
      </c>
      <c r="B90" s="1065"/>
      <c r="C90" s="1068"/>
      <c r="D90" s="1068"/>
      <c r="E90" s="1069"/>
      <c r="F90" s="1069"/>
      <c r="G90" s="1069"/>
      <c r="H90" s="1069"/>
      <c r="I90" s="1069"/>
      <c r="J90" s="1069"/>
      <c r="K90" s="1069"/>
    </row>
    <row r="91" spans="1:12" s="722" customFormat="1" ht="11.25" customHeight="1">
      <c r="A91" s="1600" t="s">
        <v>33</v>
      </c>
      <c r="B91" s="1065"/>
      <c r="C91" s="1068"/>
      <c r="D91" s="1068"/>
      <c r="E91" s="1069"/>
      <c r="F91" s="1069"/>
      <c r="G91" s="1069"/>
      <c r="H91" s="1069"/>
      <c r="I91" s="1069"/>
      <c r="J91" s="1069"/>
      <c r="K91" s="1069"/>
    </row>
    <row r="92" spans="1:12" s="722" customFormat="1" ht="11.25" customHeight="1">
      <c r="A92" s="1600" t="s">
        <v>1460</v>
      </c>
      <c r="B92" s="1065"/>
      <c r="C92" s="1068"/>
      <c r="D92" s="1068"/>
      <c r="E92" s="1069"/>
      <c r="F92" s="1069"/>
      <c r="G92" s="1069"/>
      <c r="H92" s="1069"/>
      <c r="I92" s="1069"/>
      <c r="J92" s="1069"/>
      <c r="K92" s="1069"/>
    </row>
    <row r="93" spans="1:12" s="722" customFormat="1" ht="11.25" customHeight="1">
      <c r="A93" s="1600" t="s">
        <v>1461</v>
      </c>
      <c r="B93" s="1065"/>
      <c r="C93" s="1068"/>
      <c r="D93" s="1068"/>
      <c r="E93" s="1069"/>
      <c r="F93" s="1069"/>
      <c r="G93" s="1069"/>
      <c r="H93" s="1069"/>
      <c r="I93" s="1069"/>
      <c r="J93" s="1069"/>
      <c r="K93" s="1069"/>
    </row>
    <row r="94" spans="1:12" s="722" customFormat="1" ht="11.25" customHeight="1">
      <c r="A94" s="1600" t="s">
        <v>407</v>
      </c>
      <c r="B94" s="1065"/>
      <c r="C94" s="1068"/>
      <c r="D94" s="1068"/>
      <c r="E94" s="1069"/>
      <c r="F94" s="1069"/>
      <c r="G94" s="1069"/>
      <c r="H94" s="1069"/>
      <c r="I94" s="1069"/>
      <c r="J94" s="1069"/>
      <c r="K94" s="1069"/>
    </row>
    <row r="95" spans="1:12" s="722" customFormat="1" ht="11.25" customHeight="1">
      <c r="A95" s="1087"/>
      <c r="B95" s="1065"/>
      <c r="C95" s="1068"/>
      <c r="D95" s="1068"/>
      <c r="E95" s="1069"/>
      <c r="F95" s="1069"/>
      <c r="G95" s="1069"/>
      <c r="H95" s="1069"/>
      <c r="I95" s="1069"/>
      <c r="J95" s="1069"/>
      <c r="K95" s="1069"/>
    </row>
    <row r="96" spans="1:12" ht="11.25" customHeight="1">
      <c r="A96" s="247"/>
      <c r="B96" s="237"/>
      <c r="C96" s="241"/>
      <c r="D96" s="241"/>
      <c r="E96" s="242"/>
      <c r="F96" s="242"/>
      <c r="G96" s="242"/>
      <c r="H96" s="242"/>
      <c r="I96" s="242"/>
      <c r="J96" s="242"/>
      <c r="K96" s="242"/>
    </row>
    <row r="97" spans="1:11" ht="11.25" customHeight="1">
      <c r="A97" s="289" t="s">
        <v>304</v>
      </c>
      <c r="B97" s="244"/>
      <c r="C97" s="450">
        <f>C77-'A5-Capex'!C40</f>
        <v>60481535</v>
      </c>
      <c r="D97" s="450">
        <f>D77-'A5-Capex'!D40</f>
        <v>71701171</v>
      </c>
      <c r="E97" s="450">
        <f>E77-'A5-Capex'!E40</f>
        <v>-49586349</v>
      </c>
      <c r="F97" s="450">
        <f>F77-'A5-Capex'!F40</f>
        <v>-223428266</v>
      </c>
      <c r="G97" s="450">
        <f>G77-'A5-Capex'!G40</f>
        <v>-322039007</v>
      </c>
      <c r="H97" s="450">
        <f>H77-'A5-Capex'!H40</f>
        <v>-322039007</v>
      </c>
      <c r="I97" s="450">
        <f>I77-'A5-Capex'!I40</f>
        <v>-295334296</v>
      </c>
      <c r="J97" s="450">
        <f>J77-'A5-Capex'!J40</f>
        <v>-297903883.87199998</v>
      </c>
      <c r="K97" s="450">
        <f>K77-'A5-Capex'!K40</f>
        <v>-191948424.25785601</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mergeCells count="2">
    <mergeCell ref="F2:H2"/>
    <mergeCell ref="I2:K2"/>
  </mergeCells>
  <phoneticPr fontId="2" type="noConversion"/>
  <pageMargins left="0.75" right="0.75" top="1" bottom="1" header="0.5" footer="0.5"/>
  <pageSetup paperSize="9"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workbookViewId="0">
      <pane xSplit="2" ySplit="3" topLeftCell="C46" activePane="bottomRight" state="frozen"/>
      <selection activeCell="O37" sqref="A1:IV65536"/>
      <selection pane="topRight" activeCell="O37" sqref="A1:IV65536"/>
      <selection pane="bottomLeft" activeCell="O37" sqref="A1:IV65536"/>
      <selection pane="bottomRight" activeCell="E27" sqref="E27"/>
    </sheetView>
  </sheetViews>
  <sheetFormatPr defaultRowHeight="12.75"/>
  <cols>
    <col min="1" max="1" width="30.7109375" style="150" customWidth="1"/>
    <col min="2" max="2" width="3" style="248" customWidth="1"/>
    <col min="3" max="9" width="9.28515625" style="150" customWidth="1"/>
    <col min="10" max="10" width="9.5703125" style="150" customWidth="1"/>
    <col min="11" max="11" width="9.85546875" style="150" customWidth="1"/>
    <col min="12" max="14" width="9.5703125" style="150" customWidth="1"/>
    <col min="15" max="15" width="9.85546875" style="150" customWidth="1"/>
    <col min="16" max="18" width="9.5703125" style="150" customWidth="1"/>
    <col min="19" max="20" width="9.85546875" style="150" customWidth="1"/>
    <col min="21" max="16384" width="9.140625" style="150"/>
  </cols>
  <sheetData>
    <row r="1" spans="1:10" ht="13.5" customHeight="1">
      <c r="A1" s="949" t="str">
        <f>muni&amp;" - "&amp;TableA35</f>
        <v>KZN225 Msunduzi - Supporting Table SA35 Future financial implications of the capital budget</v>
      </c>
      <c r="B1" s="949"/>
      <c r="C1" s="949"/>
      <c r="D1" s="949"/>
      <c r="E1" s="949"/>
      <c r="F1" s="949"/>
      <c r="G1" s="949"/>
      <c r="H1" s="949"/>
      <c r="I1" s="949"/>
    </row>
    <row r="2" spans="1:10" ht="33.75" customHeight="1">
      <c r="A2" s="1011" t="str">
        <f>Vdesc</f>
        <v>Vote Description</v>
      </c>
      <c r="B2" s="422" t="str">
        <f>head27</f>
        <v>Ref</v>
      </c>
      <c r="C2" s="2461" t="str">
        <f>Head3</f>
        <v>2011/12 Medium Term Revenue &amp; Expenditure Framework</v>
      </c>
      <c r="D2" s="2413"/>
      <c r="E2" s="2413"/>
      <c r="F2" s="2450" t="s">
        <v>947</v>
      </c>
      <c r="G2" s="2468"/>
      <c r="H2" s="2468"/>
      <c r="I2" s="2469"/>
    </row>
    <row r="3" spans="1:10" ht="25.5">
      <c r="A3" s="181" t="s">
        <v>703</v>
      </c>
      <c r="B3" s="1016"/>
      <c r="C3" s="1013" t="str">
        <f>Head9</f>
        <v>Budget Year 2011/12</v>
      </c>
      <c r="D3" s="393" t="str">
        <f>Head10</f>
        <v>Budget Year +1 2012/13</v>
      </c>
      <c r="E3" s="392" t="str">
        <f>Head11</f>
        <v>Budget Year +2 2013/14</v>
      </c>
      <c r="F3" s="1031" t="str">
        <f>Head12</f>
        <v>Forecast 2014/15</v>
      </c>
      <c r="G3" s="1032" t="str">
        <f>Head13</f>
        <v>Forecast 2015/16</v>
      </c>
      <c r="H3" s="1032" t="str">
        <f>Head14</f>
        <v>Forecast 2016/17</v>
      </c>
      <c r="I3" s="1033" t="str">
        <f>Head48</f>
        <v>Present value</v>
      </c>
    </row>
    <row r="4" spans="1:10">
      <c r="A4" s="250" t="s">
        <v>1649</v>
      </c>
      <c r="B4" s="762">
        <v>1</v>
      </c>
      <c r="C4" s="950"/>
      <c r="D4" s="950"/>
      <c r="E4" s="951"/>
      <c r="F4" s="314"/>
      <c r="G4" s="312"/>
      <c r="H4" s="312"/>
      <c r="I4" s="315"/>
      <c r="J4" s="373"/>
    </row>
    <row r="5" spans="1:10" ht="11.25" customHeight="1">
      <c r="A5" s="1214" t="str">
        <f>'A5-Capex'!A6</f>
        <v>Vote 1 - Corporate Services and Planning</v>
      </c>
      <c r="B5" s="183"/>
      <c r="C5" s="1556">
        <f>'A5-Capex'!J6+'A5-Capex'!J24</f>
        <v>36560000</v>
      </c>
      <c r="D5" s="1556">
        <f>'A5-Capex'!K6+'A5-Capex'!K24</f>
        <v>29600000</v>
      </c>
      <c r="E5" s="1557">
        <f>'A5-Capex'!L6+'A5-Capex'!L24</f>
        <v>20000000</v>
      </c>
      <c r="F5" s="1723"/>
      <c r="G5" s="1721"/>
      <c r="H5" s="1721"/>
      <c r="I5" s="1722"/>
      <c r="J5" s="373"/>
    </row>
    <row r="6" spans="1:10" ht="11.25" customHeight="1">
      <c r="A6" s="1214" t="str">
        <f>'A5-Capex'!A7</f>
        <v>Vote 2 - Financial Management Area</v>
      </c>
      <c r="B6" s="183"/>
      <c r="C6" s="1556">
        <f>'A5-Capex'!J7+'A5-Capex'!J25</f>
        <v>0</v>
      </c>
      <c r="D6" s="1556">
        <f>'A5-Capex'!K7+'A5-Capex'!K25</f>
        <v>0</v>
      </c>
      <c r="E6" s="1557">
        <f>'A5-Capex'!L7+'A5-Capex'!L25</f>
        <v>0</v>
      </c>
      <c r="F6" s="1723"/>
      <c r="G6" s="1721"/>
      <c r="H6" s="1721"/>
      <c r="I6" s="1722"/>
      <c r="J6" s="373"/>
    </row>
    <row r="7" spans="1:10" ht="11.25" customHeight="1">
      <c r="A7" s="1214" t="str">
        <f>'A5-Capex'!A8</f>
        <v>Vote 3 - Infrastructure Development, Service Delivery and Maintenance Management</v>
      </c>
      <c r="B7" s="183"/>
      <c r="C7" s="1556">
        <f>'A5-Capex'!J8+'A5-Capex'!J26</f>
        <v>316516300</v>
      </c>
      <c r="D7" s="1556">
        <f>'A5-Capex'!K8+'A5-Capex'!K26</f>
        <v>263470300</v>
      </c>
      <c r="E7" s="1557">
        <f>'A5-Capex'!L8+'A5-Capex'!L26</f>
        <v>194215000</v>
      </c>
      <c r="F7" s="1723"/>
      <c r="G7" s="1721"/>
      <c r="H7" s="1721"/>
      <c r="I7" s="1722"/>
      <c r="J7" s="373"/>
    </row>
    <row r="8" spans="1:10" ht="11.25" customHeight="1">
      <c r="A8" s="1214" t="str">
        <f>'A5-Capex'!A9</f>
        <v>Vote 4 - Sustainable Community Service Delivery Provision Management</v>
      </c>
      <c r="B8" s="183"/>
      <c r="C8" s="1556">
        <f>'A5-Capex'!J9+'A5-Capex'!J27</f>
        <v>58237000</v>
      </c>
      <c r="D8" s="1556">
        <f>'A5-Capex'!K9+'A5-Capex'!K27</f>
        <v>17749000</v>
      </c>
      <c r="E8" s="1557">
        <f>'A5-Capex'!L9+'A5-Capex'!L27</f>
        <v>0</v>
      </c>
      <c r="F8" s="1723"/>
      <c r="G8" s="1721"/>
      <c r="H8" s="1721"/>
      <c r="I8" s="1722"/>
      <c r="J8" s="373"/>
    </row>
    <row r="9" spans="1:10" ht="11.25" customHeight="1">
      <c r="A9" s="1214" t="str">
        <f>'A5-Capex'!A10</f>
        <v>Example 5 - Vote5</v>
      </c>
      <c r="B9" s="183"/>
      <c r="C9" s="1556">
        <f>'A5-Capex'!J10+'A5-Capex'!J28</f>
        <v>0</v>
      </c>
      <c r="D9" s="1556">
        <f>'A5-Capex'!K10+'A5-Capex'!K28</f>
        <v>0</v>
      </c>
      <c r="E9" s="1557">
        <f>'A5-Capex'!L10+'A5-Capex'!L28</f>
        <v>0</v>
      </c>
      <c r="F9" s="1723"/>
      <c r="G9" s="1721"/>
      <c r="H9" s="1721"/>
      <c r="I9" s="1722"/>
      <c r="J9" s="373"/>
    </row>
    <row r="10" spans="1:10" ht="11.25" customHeight="1">
      <c r="A10" s="1214" t="str">
        <f>'A5-Capex'!A11</f>
        <v>Example 6 - Vote6</v>
      </c>
      <c r="B10" s="183"/>
      <c r="C10" s="1556">
        <f>'A5-Capex'!J11+'A5-Capex'!J29</f>
        <v>0</v>
      </c>
      <c r="D10" s="1556">
        <f>'A5-Capex'!K11+'A5-Capex'!K29</f>
        <v>0</v>
      </c>
      <c r="E10" s="1557">
        <f>'A5-Capex'!L11+'A5-Capex'!L29</f>
        <v>0</v>
      </c>
      <c r="F10" s="1723"/>
      <c r="G10" s="1721"/>
      <c r="H10" s="1721"/>
      <c r="I10" s="1722"/>
      <c r="J10" s="373"/>
    </row>
    <row r="11" spans="1:10" ht="11.25" customHeight="1">
      <c r="A11" s="1214" t="str">
        <f>'A5-Capex'!A12</f>
        <v>Example 7 - Vote7</v>
      </c>
      <c r="B11" s="183"/>
      <c r="C11" s="1556">
        <f>'A5-Capex'!J12+'A5-Capex'!J30</f>
        <v>0</v>
      </c>
      <c r="D11" s="1556">
        <f>'A5-Capex'!K12+'A5-Capex'!K30</f>
        <v>0</v>
      </c>
      <c r="E11" s="1557">
        <f>'A5-Capex'!L12+'A5-Capex'!L30</f>
        <v>0</v>
      </c>
      <c r="F11" s="1723"/>
      <c r="G11" s="1721"/>
      <c r="H11" s="1721"/>
      <c r="I11" s="1722"/>
      <c r="J11" s="373"/>
    </row>
    <row r="12" spans="1:10" ht="11.25" customHeight="1">
      <c r="A12" s="1214" t="str">
        <f>'A5-Capex'!A13</f>
        <v>Example 8 - Vote8</v>
      </c>
      <c r="B12" s="183"/>
      <c r="C12" s="1556">
        <f>'A5-Capex'!J13+'A5-Capex'!J31</f>
        <v>0</v>
      </c>
      <c r="D12" s="1556">
        <f>'A5-Capex'!K13+'A5-Capex'!K31</f>
        <v>0</v>
      </c>
      <c r="E12" s="1557">
        <f>'A5-Capex'!L13+'A5-Capex'!L31</f>
        <v>0</v>
      </c>
      <c r="F12" s="1723"/>
      <c r="G12" s="1721"/>
      <c r="H12" s="1721"/>
      <c r="I12" s="1722"/>
      <c r="J12" s="373"/>
    </row>
    <row r="13" spans="1:10" ht="11.25" customHeight="1">
      <c r="A13" s="1214" t="str">
        <f>'A5-Capex'!A14</f>
        <v>Example 9 - Vote9</v>
      </c>
      <c r="B13" s="183"/>
      <c r="C13" s="1556">
        <f>'A5-Capex'!J14+'A5-Capex'!J32</f>
        <v>0</v>
      </c>
      <c r="D13" s="1556">
        <f>'A5-Capex'!K14+'A5-Capex'!K32</f>
        <v>0</v>
      </c>
      <c r="E13" s="1557">
        <f>'A5-Capex'!L14+'A5-Capex'!L32</f>
        <v>0</v>
      </c>
      <c r="F13" s="1723"/>
      <c r="G13" s="1721"/>
      <c r="H13" s="1721"/>
      <c r="I13" s="1722"/>
      <c r="J13" s="373"/>
    </row>
    <row r="14" spans="1:10" ht="11.25" customHeight="1">
      <c r="A14" s="1214" t="str">
        <f>'A5-Capex'!A15</f>
        <v>Example 10 - Vote10</v>
      </c>
      <c r="B14" s="183"/>
      <c r="C14" s="1556">
        <f>'A5-Capex'!J15+'A5-Capex'!J33</f>
        <v>0</v>
      </c>
      <c r="D14" s="1556">
        <f>'A5-Capex'!K15+'A5-Capex'!K33</f>
        <v>0</v>
      </c>
      <c r="E14" s="1557">
        <f>'A5-Capex'!L15+'A5-Capex'!L33</f>
        <v>0</v>
      </c>
      <c r="F14" s="1723"/>
      <c r="G14" s="1721"/>
      <c r="H14" s="1721"/>
      <c r="I14" s="1722"/>
      <c r="J14" s="373"/>
    </row>
    <row r="15" spans="1:10" ht="11.25" customHeight="1">
      <c r="A15" s="1214" t="str">
        <f>'A5-Capex'!A16</f>
        <v>Example 11 - Vote11</v>
      </c>
      <c r="B15" s="183"/>
      <c r="C15" s="1556">
        <f>'A5-Capex'!J16+'A5-Capex'!J34</f>
        <v>0</v>
      </c>
      <c r="D15" s="1556">
        <f>'A5-Capex'!K16+'A5-Capex'!K34</f>
        <v>0</v>
      </c>
      <c r="E15" s="1557">
        <f>'A5-Capex'!L16+'A5-Capex'!L34</f>
        <v>0</v>
      </c>
      <c r="F15" s="1723"/>
      <c r="G15" s="1721"/>
      <c r="H15" s="1721"/>
      <c r="I15" s="1722"/>
      <c r="J15" s="373"/>
    </row>
    <row r="16" spans="1:10" ht="11.25" customHeight="1">
      <c r="A16" s="1214" t="str">
        <f>'A5-Capex'!A17</f>
        <v>Example 12 - Vote12</v>
      </c>
      <c r="B16" s="183"/>
      <c r="C16" s="1556">
        <f>'A5-Capex'!J17+'A5-Capex'!J35</f>
        <v>0</v>
      </c>
      <c r="D16" s="1556">
        <f>'A5-Capex'!K17+'A5-Capex'!K35</f>
        <v>0</v>
      </c>
      <c r="E16" s="1557">
        <f>'A5-Capex'!L17+'A5-Capex'!L35</f>
        <v>0</v>
      </c>
      <c r="F16" s="1723"/>
      <c r="G16" s="1721"/>
      <c r="H16" s="1721"/>
      <c r="I16" s="1722"/>
      <c r="J16" s="373"/>
    </row>
    <row r="17" spans="1:10" ht="11.25" customHeight="1">
      <c r="A17" s="1214" t="str">
        <f>'A5-Capex'!A18</f>
        <v>Example 13 - Vote13</v>
      </c>
      <c r="B17" s="183"/>
      <c r="C17" s="1556">
        <f>'A5-Capex'!J18+'A5-Capex'!J36</f>
        <v>0</v>
      </c>
      <c r="D17" s="1556">
        <f>'A5-Capex'!K18+'A5-Capex'!K36</f>
        <v>0</v>
      </c>
      <c r="E17" s="1557">
        <f>'A5-Capex'!L18+'A5-Capex'!L36</f>
        <v>0</v>
      </c>
      <c r="F17" s="1723"/>
      <c r="G17" s="1721"/>
      <c r="H17" s="1721"/>
      <c r="I17" s="1722"/>
      <c r="J17" s="373"/>
    </row>
    <row r="18" spans="1:10" ht="11.25" customHeight="1">
      <c r="A18" s="1214" t="str">
        <f>'A5-Capex'!A19</f>
        <v>Example 14 - Vote14</v>
      </c>
      <c r="B18" s="183"/>
      <c r="C18" s="1556">
        <f>'A5-Capex'!J19+'A5-Capex'!J37</f>
        <v>0</v>
      </c>
      <c r="D18" s="1556">
        <f>'A5-Capex'!K19+'A5-Capex'!K37</f>
        <v>0</v>
      </c>
      <c r="E18" s="1557">
        <f>'A5-Capex'!L19+'A5-Capex'!L37</f>
        <v>0</v>
      </c>
      <c r="F18" s="1723"/>
      <c r="G18" s="1721"/>
      <c r="H18" s="1721"/>
      <c r="I18" s="1722"/>
      <c r="J18" s="373"/>
    </row>
    <row r="19" spans="1:10" ht="11.25" customHeight="1">
      <c r="A19" s="1214" t="str">
        <f>'A5-Capex'!A20</f>
        <v>Example 15 - Vote15</v>
      </c>
      <c r="B19" s="183"/>
      <c r="C19" s="1556">
        <f>'A5-Capex'!J20+'A5-Capex'!J38</f>
        <v>0</v>
      </c>
      <c r="D19" s="1556">
        <f>'A5-Capex'!K20+'A5-Capex'!K38</f>
        <v>0</v>
      </c>
      <c r="E19" s="1557">
        <f>'A5-Capex'!L20+'A5-Capex'!L38</f>
        <v>0</v>
      </c>
      <c r="F19" s="1723"/>
      <c r="G19" s="1721"/>
      <c r="H19" s="1721"/>
      <c r="I19" s="1722"/>
      <c r="J19" s="373"/>
    </row>
    <row r="20" spans="1:10" ht="11.25" customHeight="1">
      <c r="A20" s="2016" t="s">
        <v>1622</v>
      </c>
      <c r="B20" s="183"/>
      <c r="C20" s="1721"/>
      <c r="D20" s="1721"/>
      <c r="E20" s="1724"/>
      <c r="F20" s="1723"/>
      <c r="G20" s="1721"/>
      <c r="H20" s="1721"/>
      <c r="I20" s="1722"/>
      <c r="J20" s="373"/>
    </row>
    <row r="21" spans="1:10" ht="11.25" customHeight="1">
      <c r="A21" s="1332" t="s">
        <v>38</v>
      </c>
      <c r="B21" s="183"/>
      <c r="C21" s="1396">
        <f>SUM(C5:C20)</f>
        <v>411313300</v>
      </c>
      <c r="D21" s="1396">
        <f t="shared" ref="D21:I21" si="0">SUM(D5:D20)</f>
        <v>310819300</v>
      </c>
      <c r="E21" s="1397">
        <f t="shared" si="0"/>
        <v>214215000</v>
      </c>
      <c r="F21" s="1395">
        <f t="shared" si="0"/>
        <v>0</v>
      </c>
      <c r="G21" s="1396">
        <f t="shared" si="0"/>
        <v>0</v>
      </c>
      <c r="H21" s="1396">
        <f t="shared" si="0"/>
        <v>0</v>
      </c>
      <c r="I21" s="1394">
        <f t="shared" si="0"/>
        <v>0</v>
      </c>
      <c r="J21" s="373"/>
    </row>
    <row r="22" spans="1:10" ht="4.5" customHeight="1">
      <c r="A22" s="274"/>
      <c r="B22" s="183"/>
      <c r="C22" s="956"/>
      <c r="D22" s="956"/>
      <c r="E22" s="957"/>
      <c r="F22" s="958"/>
      <c r="G22" s="956"/>
      <c r="H22" s="956"/>
      <c r="I22" s="959"/>
      <c r="J22" s="373"/>
    </row>
    <row r="23" spans="1:10" ht="11.25" customHeight="1">
      <c r="A23" s="250" t="s">
        <v>948</v>
      </c>
      <c r="B23" s="183">
        <v>2</v>
      </c>
      <c r="C23" s="952"/>
      <c r="D23" s="952"/>
      <c r="E23" s="953"/>
      <c r="F23" s="954"/>
      <c r="G23" s="952"/>
      <c r="H23" s="952"/>
      <c r="I23" s="955"/>
      <c r="J23" s="373"/>
    </row>
    <row r="24" spans="1:10" ht="11.25" customHeight="1">
      <c r="A24" s="1214" t="str">
        <f>A5</f>
        <v>Vote 1 - Corporate Services and Planning</v>
      </c>
      <c r="B24" s="183"/>
      <c r="C24" s="1721"/>
      <c r="D24" s="1721"/>
      <c r="E24" s="1724"/>
      <c r="F24" s="1723"/>
      <c r="G24" s="1721"/>
      <c r="H24" s="1721"/>
      <c r="I24" s="1722"/>
      <c r="J24" s="373"/>
    </row>
    <row r="25" spans="1:10" ht="11.25" customHeight="1">
      <c r="A25" s="1214" t="str">
        <f t="shared" ref="A25:A38" si="1">A6</f>
        <v>Vote 2 - Financial Management Area</v>
      </c>
      <c r="B25" s="183"/>
      <c r="C25" s="1721"/>
      <c r="D25" s="1721"/>
      <c r="E25" s="1724"/>
      <c r="F25" s="1723"/>
      <c r="G25" s="1721"/>
      <c r="H25" s="1721"/>
      <c r="I25" s="1722"/>
      <c r="J25" s="373"/>
    </row>
    <row r="26" spans="1:10" ht="11.25" customHeight="1">
      <c r="A26" s="1214" t="str">
        <f t="shared" si="1"/>
        <v>Vote 3 - Infrastructure Development, Service Delivery and Maintenance Management</v>
      </c>
      <c r="B26" s="183"/>
      <c r="C26" s="1721">
        <v>5816000</v>
      </c>
      <c r="D26" s="1721">
        <v>6124248</v>
      </c>
      <c r="E26" s="1724">
        <v>6461081.6399999997</v>
      </c>
      <c r="F26" s="1723"/>
      <c r="G26" s="1721"/>
      <c r="H26" s="1721"/>
      <c r="I26" s="1722"/>
      <c r="J26" s="373"/>
    </row>
    <row r="27" spans="1:10" ht="11.25" customHeight="1">
      <c r="A27" s="1214" t="str">
        <f t="shared" si="1"/>
        <v>Vote 4 - Sustainable Community Service Delivery Provision Management</v>
      </c>
      <c r="B27" s="183"/>
      <c r="C27" s="1721"/>
      <c r="D27" s="1721"/>
      <c r="E27" s="1724"/>
      <c r="F27" s="1723"/>
      <c r="G27" s="1721"/>
      <c r="H27" s="1721"/>
      <c r="I27" s="1722"/>
      <c r="J27" s="373"/>
    </row>
    <row r="28" spans="1:10" ht="11.25" customHeight="1">
      <c r="A28" s="1214" t="str">
        <f t="shared" si="1"/>
        <v>Example 5 - Vote5</v>
      </c>
      <c r="B28" s="183"/>
      <c r="C28" s="1721"/>
      <c r="D28" s="1721"/>
      <c r="E28" s="1724"/>
      <c r="F28" s="1723"/>
      <c r="G28" s="1721"/>
      <c r="H28" s="1721"/>
      <c r="I28" s="1722"/>
      <c r="J28" s="373"/>
    </row>
    <row r="29" spans="1:10" ht="11.25" customHeight="1">
      <c r="A29" s="1214" t="str">
        <f t="shared" si="1"/>
        <v>Example 6 - Vote6</v>
      </c>
      <c r="B29" s="183"/>
      <c r="C29" s="1721"/>
      <c r="D29" s="1721"/>
      <c r="E29" s="1724"/>
      <c r="F29" s="1723"/>
      <c r="G29" s="1721"/>
      <c r="H29" s="1721"/>
      <c r="I29" s="1722"/>
      <c r="J29" s="373"/>
    </row>
    <row r="30" spans="1:10" ht="11.25" customHeight="1">
      <c r="A30" s="1214" t="str">
        <f t="shared" si="1"/>
        <v>Example 7 - Vote7</v>
      </c>
      <c r="B30" s="183"/>
      <c r="C30" s="1721"/>
      <c r="D30" s="1721"/>
      <c r="E30" s="1724"/>
      <c r="F30" s="1723"/>
      <c r="G30" s="1721"/>
      <c r="H30" s="1721"/>
      <c r="I30" s="1722"/>
      <c r="J30" s="373"/>
    </row>
    <row r="31" spans="1:10" ht="11.25" customHeight="1">
      <c r="A31" s="1214" t="str">
        <f t="shared" si="1"/>
        <v>Example 8 - Vote8</v>
      </c>
      <c r="B31" s="183"/>
      <c r="C31" s="1721"/>
      <c r="D31" s="1721"/>
      <c r="E31" s="1724"/>
      <c r="F31" s="1723"/>
      <c r="G31" s="1721"/>
      <c r="H31" s="1721"/>
      <c r="I31" s="1722"/>
      <c r="J31" s="373"/>
    </row>
    <row r="32" spans="1:10" ht="11.25" customHeight="1">
      <c r="A32" s="1214" t="str">
        <f t="shared" si="1"/>
        <v>Example 9 - Vote9</v>
      </c>
      <c r="B32" s="183"/>
      <c r="C32" s="1721"/>
      <c r="D32" s="1721"/>
      <c r="E32" s="1724"/>
      <c r="F32" s="1723"/>
      <c r="G32" s="1721"/>
      <c r="H32" s="1721"/>
      <c r="I32" s="1722"/>
      <c r="J32" s="373"/>
    </row>
    <row r="33" spans="1:15" ht="11.25" customHeight="1">
      <c r="A33" s="1214" t="str">
        <f t="shared" si="1"/>
        <v>Example 10 - Vote10</v>
      </c>
      <c r="B33" s="183"/>
      <c r="C33" s="1721"/>
      <c r="D33" s="1721"/>
      <c r="E33" s="1724"/>
      <c r="F33" s="1723"/>
      <c r="G33" s="1721"/>
      <c r="H33" s="1721"/>
      <c r="I33" s="1722"/>
      <c r="J33" s="373"/>
    </row>
    <row r="34" spans="1:15" ht="11.25" customHeight="1">
      <c r="A34" s="1214" t="str">
        <f t="shared" si="1"/>
        <v>Example 11 - Vote11</v>
      </c>
      <c r="B34" s="183"/>
      <c r="C34" s="1721"/>
      <c r="D34" s="1721"/>
      <c r="E34" s="1724"/>
      <c r="F34" s="1723"/>
      <c r="G34" s="1721"/>
      <c r="H34" s="1721"/>
      <c r="I34" s="1722"/>
      <c r="J34" s="373"/>
    </row>
    <row r="35" spans="1:15" ht="11.25" customHeight="1">
      <c r="A35" s="1214" t="str">
        <f t="shared" si="1"/>
        <v>Example 12 - Vote12</v>
      </c>
      <c r="B35" s="183"/>
      <c r="C35" s="1721"/>
      <c r="D35" s="1721"/>
      <c r="E35" s="1724"/>
      <c r="F35" s="1723"/>
      <c r="G35" s="1721"/>
      <c r="H35" s="1721"/>
      <c r="I35" s="1722"/>
      <c r="J35" s="373"/>
    </row>
    <row r="36" spans="1:15" ht="11.25" customHeight="1">
      <c r="A36" s="1214" t="str">
        <f t="shared" si="1"/>
        <v>Example 13 - Vote13</v>
      </c>
      <c r="B36" s="183"/>
      <c r="C36" s="1721"/>
      <c r="D36" s="1721"/>
      <c r="E36" s="1724"/>
      <c r="F36" s="1723"/>
      <c r="G36" s="1721"/>
      <c r="H36" s="1721"/>
      <c r="I36" s="1722"/>
      <c r="J36" s="373"/>
    </row>
    <row r="37" spans="1:15" ht="11.25" customHeight="1">
      <c r="A37" s="1214" t="str">
        <f t="shared" si="1"/>
        <v>Example 14 - Vote14</v>
      </c>
      <c r="B37" s="183"/>
      <c r="C37" s="1721"/>
      <c r="D37" s="1721"/>
      <c r="E37" s="1724"/>
      <c r="F37" s="1723"/>
      <c r="G37" s="1721"/>
      <c r="H37" s="1721"/>
      <c r="I37" s="1722"/>
      <c r="J37" s="373"/>
      <c r="O37" s="373"/>
    </row>
    <row r="38" spans="1:15" ht="11.25" customHeight="1">
      <c r="A38" s="1214" t="str">
        <f t="shared" si="1"/>
        <v>Example 15 - Vote15</v>
      </c>
      <c r="B38" s="183"/>
      <c r="C38" s="1721"/>
      <c r="D38" s="1721"/>
      <c r="E38" s="1724"/>
      <c r="F38" s="1723"/>
      <c r="G38" s="1721"/>
      <c r="H38" s="1721"/>
      <c r="I38" s="1722"/>
      <c r="J38" s="373"/>
    </row>
    <row r="39" spans="1:15" ht="11.25" customHeight="1">
      <c r="A39" s="2016" t="s">
        <v>1622</v>
      </c>
      <c r="B39" s="183"/>
      <c r="C39" s="1721"/>
      <c r="D39" s="1721"/>
      <c r="E39" s="1724"/>
      <c r="F39" s="1723"/>
      <c r="G39" s="1721"/>
      <c r="H39" s="1721"/>
      <c r="I39" s="1722"/>
      <c r="J39" s="373"/>
    </row>
    <row r="40" spans="1:15">
      <c r="A40" s="266" t="s">
        <v>14</v>
      </c>
      <c r="B40" s="183"/>
      <c r="C40" s="1558">
        <f>SUM(C24:C39)</f>
        <v>5816000</v>
      </c>
      <c r="D40" s="1558">
        <f t="shared" ref="D40:I40" si="2">SUM(D24:D39)</f>
        <v>6124248</v>
      </c>
      <c r="E40" s="1559">
        <f t="shared" si="2"/>
        <v>6461081.6399999997</v>
      </c>
      <c r="F40" s="1560">
        <f t="shared" si="2"/>
        <v>0</v>
      </c>
      <c r="G40" s="1558">
        <f t="shared" si="2"/>
        <v>0</v>
      </c>
      <c r="H40" s="1558">
        <f t="shared" si="2"/>
        <v>0</v>
      </c>
      <c r="I40" s="1561">
        <f t="shared" si="2"/>
        <v>0</v>
      </c>
      <c r="J40" s="373"/>
    </row>
    <row r="41" spans="1:15" ht="4.5" customHeight="1">
      <c r="A41" s="274"/>
      <c r="B41" s="183"/>
      <c r="C41" s="952"/>
      <c r="D41" s="952"/>
      <c r="E41" s="953"/>
      <c r="F41" s="954"/>
      <c r="G41" s="952"/>
      <c r="H41" s="952"/>
      <c r="I41" s="955"/>
      <c r="J41" s="373"/>
    </row>
    <row r="42" spans="1:15" ht="11.25" customHeight="1">
      <c r="A42" s="250" t="s">
        <v>949</v>
      </c>
      <c r="B42" s="183">
        <v>3</v>
      </c>
      <c r="C42" s="952"/>
      <c r="D42" s="952"/>
      <c r="E42" s="953"/>
      <c r="F42" s="954"/>
      <c r="G42" s="952"/>
      <c r="H42" s="952"/>
      <c r="I42" s="955"/>
      <c r="J42" s="373"/>
    </row>
    <row r="43" spans="1:15" ht="11.25" customHeight="1">
      <c r="A43" s="1214" t="str">
        <f>'A4-FinPerf RE'!A5</f>
        <v>Property rates</v>
      </c>
      <c r="B43" s="183"/>
      <c r="C43" s="1721"/>
      <c r="D43" s="1721"/>
      <c r="E43" s="1724"/>
      <c r="F43" s="1723"/>
      <c r="G43" s="1721"/>
      <c r="H43" s="1721"/>
      <c r="I43" s="1722"/>
      <c r="J43" s="373"/>
    </row>
    <row r="44" spans="1:15" ht="11.25" customHeight="1">
      <c r="A44" s="1214" t="str">
        <f>'A4-FinPerf RE'!A6</f>
        <v>Property rates - penalties &amp; collection charges</v>
      </c>
      <c r="B44" s="183"/>
      <c r="C44" s="1721"/>
      <c r="D44" s="1721"/>
      <c r="E44" s="1724"/>
      <c r="F44" s="1723"/>
      <c r="G44" s="1721"/>
      <c r="H44" s="1721"/>
      <c r="I44" s="1722"/>
      <c r="J44" s="373"/>
    </row>
    <row r="45" spans="1:15" ht="11.25" customHeight="1">
      <c r="A45" s="1214" t="str">
        <f>'A4-FinPerf RE'!A7</f>
        <v>Service charges - electricity revenue</v>
      </c>
      <c r="B45" s="183"/>
      <c r="C45" s="1721"/>
      <c r="D45" s="1721"/>
      <c r="E45" s="1724"/>
      <c r="F45" s="1723"/>
      <c r="G45" s="1721"/>
      <c r="H45" s="1721"/>
      <c r="I45" s="1722"/>
      <c r="J45" s="373"/>
    </row>
    <row r="46" spans="1:15" ht="11.25" customHeight="1">
      <c r="A46" s="1214" t="str">
        <f>'A4-FinPerf RE'!A8</f>
        <v>Service charges - water revenue</v>
      </c>
      <c r="B46" s="183"/>
      <c r="C46" s="1721"/>
      <c r="D46" s="1721"/>
      <c r="E46" s="1724"/>
      <c r="F46" s="1723"/>
      <c r="G46" s="1721"/>
      <c r="H46" s="1721"/>
      <c r="I46" s="1722"/>
      <c r="J46" s="373"/>
    </row>
    <row r="47" spans="1:15" ht="11.25" customHeight="1">
      <c r="A47" s="1214" t="str">
        <f>'A4-FinPerf RE'!A9</f>
        <v>Service charges - sanitation revenue</v>
      </c>
      <c r="B47" s="183"/>
      <c r="C47" s="1721"/>
      <c r="D47" s="1721"/>
      <c r="E47" s="1724"/>
      <c r="F47" s="1723"/>
      <c r="G47" s="1721"/>
      <c r="H47" s="1721"/>
      <c r="I47" s="1722"/>
      <c r="J47" s="373"/>
    </row>
    <row r="48" spans="1:15" ht="11.25" customHeight="1">
      <c r="A48" s="1214" t="str">
        <f>'A4-FinPerf RE'!A10</f>
        <v>Service charges - refuse revenue</v>
      </c>
      <c r="B48" s="183"/>
      <c r="C48" s="1721"/>
      <c r="D48" s="1721"/>
      <c r="E48" s="1724"/>
      <c r="F48" s="1723"/>
      <c r="G48" s="1721"/>
      <c r="H48" s="1721"/>
      <c r="I48" s="1722"/>
      <c r="J48" s="373"/>
    </row>
    <row r="49" spans="1:10" ht="11.25" customHeight="1">
      <c r="A49" s="1214" t="str">
        <f>'A4-FinPerf RE'!A11</f>
        <v>Service charges - other</v>
      </c>
      <c r="B49" s="183"/>
      <c r="C49" s="1721"/>
      <c r="D49" s="1721"/>
      <c r="E49" s="1724"/>
      <c r="F49" s="1723"/>
      <c r="G49" s="1721"/>
      <c r="H49" s="1721"/>
      <c r="I49" s="1722"/>
      <c r="J49" s="373"/>
    </row>
    <row r="50" spans="1:10" ht="11.25" customHeight="1">
      <c r="A50" s="1214" t="str">
        <f>'A4-FinPerf RE'!A12</f>
        <v>Rental of facilities and equipment</v>
      </c>
      <c r="B50" s="183"/>
      <c r="C50" s="1721"/>
      <c r="D50" s="1721"/>
      <c r="E50" s="1724"/>
      <c r="F50" s="1723"/>
      <c r="G50" s="1721"/>
      <c r="H50" s="1721"/>
      <c r="I50" s="1722"/>
      <c r="J50" s="373"/>
    </row>
    <row r="51" spans="1:10" ht="11.25" customHeight="1">
      <c r="A51" s="2016" t="s">
        <v>308</v>
      </c>
      <c r="B51" s="183"/>
      <c r="C51" s="1721"/>
      <c r="D51" s="1721"/>
      <c r="E51" s="1724"/>
      <c r="F51" s="1723"/>
      <c r="G51" s="1721"/>
      <c r="H51" s="1721"/>
      <c r="I51" s="1722"/>
      <c r="J51" s="373"/>
    </row>
    <row r="52" spans="1:10" ht="11.25" customHeight="1">
      <c r="A52" s="2016" t="s">
        <v>1622</v>
      </c>
      <c r="B52" s="183"/>
      <c r="C52" s="1721"/>
      <c r="D52" s="1721"/>
      <c r="E52" s="1724"/>
      <c r="F52" s="1723"/>
      <c r="G52" s="1721"/>
      <c r="H52" s="1721"/>
      <c r="I52" s="1722"/>
      <c r="J52" s="373"/>
    </row>
    <row r="53" spans="1:10">
      <c r="A53" s="266" t="s">
        <v>125</v>
      </c>
      <c r="B53" s="183"/>
      <c r="C53" s="1558">
        <f>SUM(C43:C52)</f>
        <v>0</v>
      </c>
      <c r="D53" s="1558">
        <f t="shared" ref="D53:I53" si="3">SUM(D43:D52)</f>
        <v>0</v>
      </c>
      <c r="E53" s="1559">
        <f t="shared" si="3"/>
        <v>0</v>
      </c>
      <c r="F53" s="1560">
        <f t="shared" si="3"/>
        <v>0</v>
      </c>
      <c r="G53" s="1558">
        <f t="shared" si="3"/>
        <v>0</v>
      </c>
      <c r="H53" s="1558">
        <f t="shared" si="3"/>
        <v>0</v>
      </c>
      <c r="I53" s="1561">
        <f t="shared" si="3"/>
        <v>0</v>
      </c>
      <c r="J53" s="373"/>
    </row>
    <row r="54" spans="1:10">
      <c r="A54" s="282" t="s">
        <v>950</v>
      </c>
      <c r="B54" s="226"/>
      <c r="C54" s="228">
        <f t="shared" ref="C54:I54" si="4">C21+C40-C53</f>
        <v>417129300</v>
      </c>
      <c r="D54" s="228">
        <f t="shared" si="4"/>
        <v>316943548</v>
      </c>
      <c r="E54" s="227">
        <f t="shared" si="4"/>
        <v>220676081.63999999</v>
      </c>
      <c r="F54" s="355">
        <f t="shared" si="4"/>
        <v>0</v>
      </c>
      <c r="G54" s="228">
        <f t="shared" si="4"/>
        <v>0</v>
      </c>
      <c r="H54" s="228">
        <f t="shared" si="4"/>
        <v>0</v>
      </c>
      <c r="I54" s="354">
        <f t="shared" si="4"/>
        <v>0</v>
      </c>
      <c r="J54" s="373"/>
    </row>
    <row r="55" spans="1:10" s="722" customFormat="1" ht="11.25" customHeight="1">
      <c r="A55" s="1305" t="str">
        <f>head27a</f>
        <v>References</v>
      </c>
      <c r="B55" s="1110"/>
      <c r="C55" s="1106"/>
      <c r="D55" s="1106"/>
      <c r="E55" s="1106"/>
      <c r="F55" s="1106"/>
      <c r="G55" s="1106"/>
      <c r="H55" s="1106"/>
      <c r="I55" s="1106"/>
    </row>
    <row r="56" spans="1:10" s="722" customFormat="1" ht="11.25" customHeight="1">
      <c r="A56" s="1306" t="s">
        <v>19</v>
      </c>
      <c r="B56" s="1106"/>
      <c r="C56" s="1106"/>
      <c r="D56" s="1106"/>
      <c r="E56" s="1106"/>
      <c r="F56" s="1106"/>
      <c r="G56" s="1106"/>
      <c r="H56" s="1106"/>
      <c r="I56" s="1106"/>
    </row>
    <row r="57" spans="1:10" s="722" customFormat="1" ht="11.25" customHeight="1">
      <c r="A57" s="1306" t="s">
        <v>20</v>
      </c>
      <c r="B57" s="1106"/>
      <c r="C57" s="1106"/>
      <c r="D57" s="1106"/>
      <c r="E57" s="1106"/>
      <c r="F57" s="1106"/>
      <c r="G57" s="1106"/>
      <c r="H57" s="1106"/>
      <c r="I57" s="1106"/>
    </row>
    <row r="58" spans="1:10" s="722" customFormat="1" ht="11.25" customHeight="1">
      <c r="A58" s="1471" t="s">
        <v>1621</v>
      </c>
      <c r="B58" s="1116"/>
      <c r="C58" s="1116"/>
      <c r="D58" s="1116"/>
      <c r="E58" s="1116"/>
      <c r="F58" s="1116"/>
      <c r="G58" s="1116"/>
      <c r="H58" s="1116"/>
      <c r="I58" s="1116"/>
    </row>
    <row r="59" spans="1:10" ht="11.25" customHeight="1">
      <c r="B59" s="150"/>
    </row>
    <row r="60" spans="1:10">
      <c r="A60" s="440" t="s">
        <v>1661</v>
      </c>
      <c r="B60" s="150"/>
      <c r="C60" s="820">
        <f>C21-('A5-Capex'!J21+'A5-Capex'!J39)</f>
        <v>0</v>
      </c>
      <c r="D60" s="820">
        <f>D21-('A5-Capex'!K21+'A5-Capex'!K39)</f>
        <v>0</v>
      </c>
      <c r="E60" s="820">
        <f>E21-('A5-Capex'!L21+'A5-Capex'!L39)</f>
        <v>0</v>
      </c>
      <c r="F60" s="373"/>
    </row>
    <row r="61" spans="1:10" ht="11.25" customHeight="1">
      <c r="B61" s="150"/>
    </row>
    <row r="62" spans="1:10" ht="11.25" customHeight="1">
      <c r="B62" s="150"/>
    </row>
    <row r="63" spans="1:10" ht="11.25" customHeight="1">
      <c r="B63" s="150"/>
    </row>
    <row r="64" spans="1:10" ht="11.25" customHeight="1">
      <c r="B64" s="150"/>
    </row>
    <row r="65" spans="2:2" ht="11.25" customHeight="1">
      <c r="B65" s="150"/>
    </row>
    <row r="66" spans="2:2" ht="11.25" customHeight="1">
      <c r="B66" s="150"/>
    </row>
    <row r="67" spans="2:2" ht="11.25" customHeight="1">
      <c r="B67" s="150"/>
    </row>
    <row r="68" spans="2:2" ht="11.25" customHeight="1">
      <c r="B68" s="150"/>
    </row>
    <row r="69" spans="2:2" ht="11.25" customHeight="1">
      <c r="B69" s="150"/>
    </row>
    <row r="70" spans="2:2" ht="11.25" customHeight="1">
      <c r="B70" s="150"/>
    </row>
    <row r="71" spans="2:2" ht="11.25" customHeight="1">
      <c r="B71" s="150"/>
    </row>
    <row r="72" spans="2:2" ht="11.25" customHeight="1">
      <c r="B72" s="150"/>
    </row>
    <row r="73" spans="2:2" ht="11.25" customHeight="1">
      <c r="B73" s="150"/>
    </row>
    <row r="74" spans="2:2" ht="11.25" customHeight="1">
      <c r="B74" s="150"/>
    </row>
    <row r="75" spans="2:2" ht="11.25" customHeight="1">
      <c r="B75" s="150"/>
    </row>
    <row r="76" spans="2:2" ht="11.25" customHeight="1">
      <c r="B76" s="150"/>
    </row>
    <row r="77" spans="2:2" ht="11.25" customHeight="1">
      <c r="B77" s="150"/>
    </row>
    <row r="78" spans="2:2">
      <c r="B78" s="150"/>
    </row>
    <row r="79" spans="2:2" ht="11.25" customHeight="1">
      <c r="B79" s="150"/>
    </row>
    <row r="80" spans="2:2" ht="11.25" customHeight="1">
      <c r="B80" s="150"/>
    </row>
    <row r="81" spans="2:9" ht="11.25" customHeight="1">
      <c r="B81" s="150"/>
    </row>
    <row r="82" spans="2:9" ht="11.25" customHeight="1">
      <c r="B82" s="150"/>
    </row>
    <row r="83" spans="2:9" ht="11.25" customHeight="1">
      <c r="B83" s="150"/>
    </row>
    <row r="84" spans="2:9" ht="11.25" customHeight="1">
      <c r="B84" s="150"/>
    </row>
    <row r="85" spans="2:9" ht="6" customHeight="1">
      <c r="B85" s="150"/>
    </row>
    <row r="86" spans="2:9" ht="11.25" customHeight="1">
      <c r="B86" s="150"/>
    </row>
    <row r="87" spans="2:9" ht="11.25" customHeight="1">
      <c r="B87" s="150"/>
    </row>
    <row r="88" spans="2:9" ht="11.25" customHeight="1">
      <c r="B88" s="150"/>
    </row>
    <row r="89" spans="2:9" ht="11.25" customHeight="1">
      <c r="B89" s="150"/>
    </row>
    <row r="90" spans="2:9" ht="11.25" customHeight="1">
      <c r="B90" s="150"/>
    </row>
    <row r="91" spans="2:9" ht="11.25" customHeight="1">
      <c r="B91" s="150"/>
    </row>
    <row r="92" spans="2:9" ht="11.25" customHeight="1">
      <c r="B92" s="150"/>
    </row>
    <row r="93" spans="2:9" ht="11.25" customHeight="1">
      <c r="B93" s="150"/>
    </row>
    <row r="94" spans="2:9" ht="11.25" customHeight="1">
      <c r="B94" s="150"/>
    </row>
    <row r="95" spans="2:9" ht="11.25" customHeight="1">
      <c r="B95" s="150"/>
    </row>
    <row r="96" spans="2:9" ht="11.25" customHeight="1">
      <c r="B96" s="150"/>
      <c r="I96" s="335"/>
    </row>
    <row r="97" spans="1:8" ht="11.25" customHeight="1">
      <c r="B97" s="150"/>
    </row>
    <row r="98" spans="1:8" ht="11.25" customHeight="1">
      <c r="B98" s="150"/>
    </row>
    <row r="99" spans="1:8" ht="11.25" customHeight="1">
      <c r="B99" s="150"/>
    </row>
    <row r="100" spans="1:8">
      <c r="B100" s="150"/>
    </row>
    <row r="101" spans="1:8">
      <c r="B101" s="150"/>
    </row>
    <row r="102" spans="1:8" ht="11.25" customHeight="1">
      <c r="B102" s="150"/>
    </row>
    <row r="103" spans="1:8">
      <c r="B103" s="150"/>
    </row>
    <row r="104" spans="1:8">
      <c r="B104" s="150"/>
    </row>
    <row r="105" spans="1:8">
      <c r="B105" s="150"/>
    </row>
    <row r="106" spans="1:8">
      <c r="B106" s="150"/>
    </row>
    <row r="107" spans="1:8" ht="11.25" customHeight="1">
      <c r="B107" s="150"/>
    </row>
    <row r="108" spans="1:8" s="336" customFormat="1" ht="11.25" customHeight="1">
      <c r="A108" s="150"/>
      <c r="B108" s="150"/>
      <c r="C108" s="150"/>
      <c r="D108" s="150"/>
      <c r="E108" s="150"/>
      <c r="F108" s="150"/>
      <c r="G108" s="150"/>
      <c r="H108" s="150"/>
    </row>
    <row r="109" spans="1:8" ht="11.25" customHeight="1">
      <c r="B109" s="150"/>
    </row>
    <row r="110" spans="1:8" ht="11.25" customHeight="1">
      <c r="B110" s="150"/>
    </row>
    <row r="111" spans="1:8" ht="11.25" customHeight="1">
      <c r="B111" s="150"/>
    </row>
    <row r="112" spans="1:8" ht="11.25" customHeight="1">
      <c r="B112" s="150"/>
    </row>
    <row r="113" spans="2:2" ht="11.25" customHeight="1">
      <c r="B113" s="150"/>
    </row>
    <row r="114" spans="2:2" ht="11.25" customHeight="1">
      <c r="B114" s="150"/>
    </row>
    <row r="115" spans="2:2" ht="11.25" customHeight="1">
      <c r="B115" s="150"/>
    </row>
    <row r="116" spans="2:2" ht="11.25" customHeight="1">
      <c r="B116" s="150"/>
    </row>
    <row r="117" spans="2:2" ht="11.25" customHeight="1">
      <c r="B117" s="150"/>
    </row>
    <row r="118" spans="2:2" ht="11.25" customHeight="1">
      <c r="B118" s="150"/>
    </row>
    <row r="119" spans="2:2" ht="11.25" customHeight="1">
      <c r="B119" s="150"/>
    </row>
    <row r="120" spans="2:2" ht="11.25" customHeight="1">
      <c r="B120" s="150"/>
    </row>
    <row r="121" spans="2:2" ht="11.25" customHeight="1">
      <c r="B121" s="150"/>
    </row>
    <row r="122" spans="2:2" ht="11.25" customHeight="1">
      <c r="B122" s="150"/>
    </row>
    <row r="123" spans="2:2" ht="11.25" customHeight="1">
      <c r="B123" s="150"/>
    </row>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O132"/>
  <sheetViews>
    <sheetView showGridLines="0" workbookViewId="0">
      <pane xSplit="3" ySplit="3" topLeftCell="D4" activePane="bottomRight" state="frozen"/>
      <selection activeCell="O37" sqref="A1:IV65536"/>
      <selection pane="topRight" activeCell="O37" sqref="A1:IV65536"/>
      <selection pane="bottomLeft" activeCell="O37" sqref="A1:IV65536"/>
      <selection pane="bottomRight" activeCell="A7" sqref="A7"/>
    </sheetView>
  </sheetViews>
  <sheetFormatPr defaultRowHeight="12.75"/>
  <cols>
    <col min="1" max="1" width="23.5703125" style="150" customWidth="1"/>
    <col min="2" max="2" width="3" style="248" customWidth="1"/>
    <col min="3" max="3" width="23.5703125" style="150" customWidth="1"/>
    <col min="4" max="4" width="6.5703125" style="150" bestFit="1" customWidth="1"/>
    <col min="5" max="5" width="4.42578125" style="150" customWidth="1"/>
    <col min="6" max="7" width="23.5703125" style="150" customWidth="1"/>
    <col min="8" max="13" width="9.28515625" style="150" customWidth="1"/>
    <col min="14" max="14" width="12.140625" style="150" customWidth="1"/>
    <col min="15" max="15" width="9.28515625" style="150" customWidth="1"/>
    <col min="16" max="16" width="9.85546875" style="150" customWidth="1"/>
    <col min="17" max="17" width="9.5703125" style="150" customWidth="1"/>
    <col min="18" max="18" width="9.85546875" style="150" customWidth="1"/>
    <col min="19" max="21" width="9.5703125" style="150" customWidth="1"/>
    <col min="22" max="22" width="9.85546875" style="150" customWidth="1"/>
    <col min="23" max="25" width="9.5703125" style="150" customWidth="1"/>
    <col min="26" max="27" width="9.85546875" style="150" customWidth="1"/>
    <col min="28" max="16384" width="9.140625" style="150"/>
  </cols>
  <sheetData>
    <row r="1" spans="1:15" ht="13.5" customHeight="1">
      <c r="A1" s="148" t="str">
        <f>muni&amp;" - "&amp;TableA36</f>
        <v>KZN225 Msunduzi - Supporting Table SA36 Detailed capital budget</v>
      </c>
      <c r="B1" s="148"/>
      <c r="C1" s="148"/>
      <c r="D1" s="148"/>
      <c r="E1" s="148"/>
      <c r="F1" s="148"/>
      <c r="G1" s="148"/>
      <c r="H1" s="148"/>
      <c r="I1" s="148"/>
      <c r="J1" s="148"/>
      <c r="K1" s="148"/>
      <c r="L1" s="148"/>
      <c r="M1" s="148"/>
      <c r="N1" s="148"/>
      <c r="O1" s="148"/>
    </row>
    <row r="2" spans="1:15" ht="33.75" customHeight="1">
      <c r="A2" s="1011" t="s">
        <v>1049</v>
      </c>
      <c r="B2" s="422" t="str">
        <f>head27</f>
        <v>Ref</v>
      </c>
      <c r="C2" s="2457" t="s">
        <v>1151</v>
      </c>
      <c r="D2" s="2457" t="s">
        <v>1492</v>
      </c>
      <c r="E2" s="2457" t="s">
        <v>1015</v>
      </c>
      <c r="F2" s="2457" t="s">
        <v>1012</v>
      </c>
      <c r="G2" s="2455" t="s">
        <v>1013</v>
      </c>
      <c r="H2" s="2470" t="s">
        <v>1152</v>
      </c>
      <c r="I2" s="2457" t="s">
        <v>1496</v>
      </c>
      <c r="J2" s="2455"/>
      <c r="K2" s="2412" t="str">
        <f>Head3</f>
        <v>2011/12 Medium Term Revenue &amp; Expenditure Framework</v>
      </c>
      <c r="L2" s="2413"/>
      <c r="M2" s="2414"/>
      <c r="N2" s="2468" t="s">
        <v>1494</v>
      </c>
      <c r="O2" s="2469"/>
    </row>
    <row r="3" spans="1:15" ht="50.25" customHeight="1">
      <c r="A3" s="181" t="s">
        <v>703</v>
      </c>
      <c r="B3" s="385">
        <v>5</v>
      </c>
      <c r="C3" s="2458"/>
      <c r="D3" s="2458" t="s">
        <v>1960</v>
      </c>
      <c r="E3" s="2458"/>
      <c r="F3" s="2458"/>
      <c r="G3" s="2456"/>
      <c r="H3" s="2471"/>
      <c r="I3" s="942" t="str">
        <f>Head5&amp;"    "&amp;Head1</f>
        <v>Audited Outcome    2009/10</v>
      </c>
      <c r="J3" s="943" t="str">
        <f>Head2 &amp; "        "&amp;Head8</f>
        <v>Current Year 2010/11        Full Year Forecast</v>
      </c>
      <c r="K3" s="300" t="str">
        <f>Head9</f>
        <v>Budget Year 2011/12</v>
      </c>
      <c r="L3" s="393" t="str">
        <f>Head10</f>
        <v>Budget Year +1 2012/13</v>
      </c>
      <c r="M3" s="394" t="str">
        <f>Head11</f>
        <v>Budget Year +2 2013/14</v>
      </c>
      <c r="N3" s="1034" t="s">
        <v>1495</v>
      </c>
      <c r="O3" s="943" t="s">
        <v>1493</v>
      </c>
    </row>
    <row r="4" spans="1:15">
      <c r="A4" s="960" t="s">
        <v>1623</v>
      </c>
      <c r="B4" s="961"/>
      <c r="C4" s="962"/>
      <c r="D4" s="963"/>
      <c r="E4" s="963"/>
      <c r="F4" s="964"/>
      <c r="G4" s="965"/>
      <c r="H4" s="342"/>
      <c r="I4" s="312"/>
      <c r="J4" s="313"/>
      <c r="K4" s="314"/>
      <c r="L4" s="312"/>
      <c r="M4" s="315"/>
      <c r="N4" s="966"/>
      <c r="O4" s="967"/>
    </row>
    <row r="5" spans="1:15" s="722" customFormat="1">
      <c r="A5" s="1472" t="s">
        <v>1150</v>
      </c>
      <c r="B5" s="1117"/>
      <c r="C5" s="1118"/>
      <c r="D5" s="1119"/>
      <c r="E5" s="1119"/>
      <c r="F5" s="1473" t="s">
        <v>1050</v>
      </c>
      <c r="G5" s="1474" t="s">
        <v>1050</v>
      </c>
      <c r="H5" s="1120"/>
      <c r="I5" s="1121"/>
      <c r="J5" s="1122"/>
      <c r="K5" s="1123"/>
      <c r="L5" s="1121"/>
      <c r="M5" s="1124"/>
      <c r="N5" s="1125"/>
      <c r="O5" s="1126"/>
    </row>
    <row r="6" spans="1:15" ht="5.0999999999999996" customHeight="1">
      <c r="A6" s="972"/>
      <c r="B6" s="351"/>
      <c r="C6" s="609"/>
      <c r="D6" s="968"/>
      <c r="E6" s="968"/>
      <c r="F6" s="969"/>
      <c r="G6" s="970"/>
      <c r="H6" s="207"/>
      <c r="I6" s="204"/>
      <c r="J6" s="203"/>
      <c r="K6" s="206"/>
      <c r="L6" s="204"/>
      <c r="M6" s="205"/>
      <c r="N6" s="666"/>
      <c r="O6" s="973"/>
    </row>
    <row r="7" spans="1:15">
      <c r="A7" s="2016" t="s">
        <v>2149</v>
      </c>
      <c r="B7" s="1921"/>
      <c r="C7" s="1926" t="s">
        <v>2177</v>
      </c>
      <c r="D7" s="2019"/>
      <c r="E7" s="2019"/>
      <c r="F7" s="2058"/>
      <c r="G7" s="2059"/>
      <c r="H7" s="1710"/>
      <c r="I7" s="1708"/>
      <c r="J7" s="2229">
        <v>15000000</v>
      </c>
      <c r="K7" s="1731"/>
      <c r="L7" s="1708"/>
      <c r="M7" s="1730"/>
      <c r="N7" s="2060"/>
      <c r="O7" s="2061"/>
    </row>
    <row r="8" spans="1:15">
      <c r="A8" s="1989"/>
      <c r="B8" s="1921"/>
      <c r="C8" s="2062"/>
      <c r="D8" s="2018"/>
      <c r="E8" s="2018"/>
      <c r="F8" s="2062"/>
      <c r="G8" s="2060"/>
      <c r="H8" s="1710"/>
      <c r="I8" s="1708"/>
      <c r="J8" s="1732"/>
      <c r="K8" s="1731"/>
      <c r="L8" s="1708"/>
      <c r="M8" s="1730"/>
      <c r="N8" s="2060"/>
      <c r="O8" s="2061"/>
    </row>
    <row r="9" spans="1:15">
      <c r="A9" s="1989"/>
      <c r="B9" s="1921"/>
      <c r="C9" s="2062"/>
      <c r="D9" s="2018"/>
      <c r="E9" s="2018"/>
      <c r="F9" s="2062"/>
      <c r="G9" s="2060"/>
      <c r="H9" s="1710"/>
      <c r="I9" s="1708"/>
      <c r="J9" s="1732"/>
      <c r="K9" s="1731"/>
      <c r="L9" s="1708"/>
      <c r="M9" s="1730"/>
      <c r="N9" s="2060"/>
      <c r="O9" s="2061"/>
    </row>
    <row r="10" spans="1:15" ht="5.0999999999999996" customHeight="1">
      <c r="A10" s="2063"/>
      <c r="B10" s="1921"/>
      <c r="C10" s="2062"/>
      <c r="D10" s="2018"/>
      <c r="E10" s="2018"/>
      <c r="F10" s="2062"/>
      <c r="G10" s="2060"/>
      <c r="H10" s="1710"/>
      <c r="I10" s="1708"/>
      <c r="J10" s="1732"/>
      <c r="K10" s="1731"/>
      <c r="L10" s="1708"/>
      <c r="M10" s="1730"/>
      <c r="N10" s="2060"/>
      <c r="O10" s="2061"/>
    </row>
    <row r="11" spans="1:15">
      <c r="A11" s="2064"/>
      <c r="B11" s="1921"/>
      <c r="C11" s="2062"/>
      <c r="D11" s="2018"/>
      <c r="E11" s="2018"/>
      <c r="F11" s="2062"/>
      <c r="G11" s="2060"/>
      <c r="H11" s="1710"/>
      <c r="I11" s="1708"/>
      <c r="J11" s="1732"/>
      <c r="K11" s="1731"/>
      <c r="L11" s="1708"/>
      <c r="M11" s="1730"/>
      <c r="N11" s="2060"/>
      <c r="O11" s="2061"/>
    </row>
    <row r="12" spans="1:15">
      <c r="A12" s="1989"/>
      <c r="B12" s="1921"/>
      <c r="C12" s="2062"/>
      <c r="D12" s="2018"/>
      <c r="E12" s="2018"/>
      <c r="F12" s="2062"/>
      <c r="G12" s="2060"/>
      <c r="H12" s="1710"/>
      <c r="I12" s="1708"/>
      <c r="J12" s="1732"/>
      <c r="K12" s="1731"/>
      <c r="L12" s="1708"/>
      <c r="M12" s="1730"/>
      <c r="N12" s="2060"/>
      <c r="O12" s="2061"/>
    </row>
    <row r="13" spans="1:15">
      <c r="A13" s="1989"/>
      <c r="B13" s="1921"/>
      <c r="C13" s="2062"/>
      <c r="D13" s="2018"/>
      <c r="E13" s="2018"/>
      <c r="F13" s="2062"/>
      <c r="G13" s="2060"/>
      <c r="H13" s="1710"/>
      <c r="I13" s="1708"/>
      <c r="J13" s="1732"/>
      <c r="K13" s="1731"/>
      <c r="L13" s="1708"/>
      <c r="M13" s="1730"/>
      <c r="N13" s="2060"/>
      <c r="O13" s="2061"/>
    </row>
    <row r="14" spans="1:15">
      <c r="A14" s="1989"/>
      <c r="B14" s="1921"/>
      <c r="C14" s="2062"/>
      <c r="D14" s="2018"/>
      <c r="E14" s="2018"/>
      <c r="F14" s="2062"/>
      <c r="G14" s="2060"/>
      <c r="H14" s="1710"/>
      <c r="I14" s="1708"/>
      <c r="J14" s="1732"/>
      <c r="K14" s="1731"/>
      <c r="L14" s="1708"/>
      <c r="M14" s="1730"/>
      <c r="N14" s="2060"/>
      <c r="O14" s="2061"/>
    </row>
    <row r="15" spans="1:15" ht="5.0999999999999996" customHeight="1">
      <c r="A15" s="2063"/>
      <c r="B15" s="1921"/>
      <c r="C15" s="2062"/>
      <c r="D15" s="2018"/>
      <c r="E15" s="2018"/>
      <c r="F15" s="2062"/>
      <c r="G15" s="2060"/>
      <c r="H15" s="1710"/>
      <c r="I15" s="1708"/>
      <c r="J15" s="1732"/>
      <c r="K15" s="1731"/>
      <c r="L15" s="1708"/>
      <c r="M15" s="1730"/>
      <c r="N15" s="2060"/>
      <c r="O15" s="2061"/>
    </row>
    <row r="16" spans="1:15">
      <c r="A16" s="2064"/>
      <c r="B16" s="1921"/>
      <c r="C16" s="2062"/>
      <c r="D16" s="2018"/>
      <c r="E16" s="2018"/>
      <c r="F16" s="2062"/>
      <c r="G16" s="2060"/>
      <c r="H16" s="1710"/>
      <c r="I16" s="1708"/>
      <c r="J16" s="1732"/>
      <c r="K16" s="1731"/>
      <c r="L16" s="1708"/>
      <c r="M16" s="1730"/>
      <c r="N16" s="2060"/>
      <c r="O16" s="2061"/>
    </row>
    <row r="17" spans="1:15">
      <c r="A17" s="1989"/>
      <c r="B17" s="1921"/>
      <c r="C17" s="2062"/>
      <c r="D17" s="2018"/>
      <c r="E17" s="2018"/>
      <c r="F17" s="2062"/>
      <c r="G17" s="2060"/>
      <c r="H17" s="1710"/>
      <c r="I17" s="1708"/>
      <c r="J17" s="1732"/>
      <c r="K17" s="1731"/>
      <c r="L17" s="1708"/>
      <c r="M17" s="1730"/>
      <c r="N17" s="2060"/>
      <c r="O17" s="2061"/>
    </row>
    <row r="18" spans="1:15" ht="5.0999999999999996" customHeight="1">
      <c r="A18" s="2063"/>
      <c r="B18" s="1921"/>
      <c r="C18" s="2062"/>
      <c r="D18" s="2018"/>
      <c r="E18" s="2018"/>
      <c r="F18" s="2062"/>
      <c r="G18" s="2060"/>
      <c r="H18" s="1710"/>
      <c r="I18" s="1708"/>
      <c r="J18" s="1732"/>
      <c r="K18" s="1731"/>
      <c r="L18" s="1708"/>
      <c r="M18" s="1730"/>
      <c r="N18" s="2060"/>
      <c r="O18" s="2061"/>
    </row>
    <row r="19" spans="1:15">
      <c r="A19" s="2064"/>
      <c r="B19" s="1921"/>
      <c r="C19" s="2062"/>
      <c r="D19" s="2018"/>
      <c r="E19" s="2018"/>
      <c r="F19" s="2062"/>
      <c r="G19" s="2060"/>
      <c r="H19" s="1710"/>
      <c r="I19" s="1708"/>
      <c r="J19" s="1732"/>
      <c r="K19" s="1731"/>
      <c r="L19" s="1708"/>
      <c r="M19" s="1730"/>
      <c r="N19" s="2060"/>
      <c r="O19" s="2061"/>
    </row>
    <row r="20" spans="1:15">
      <c r="A20" s="1989"/>
      <c r="B20" s="1921"/>
      <c r="C20" s="2062"/>
      <c r="D20" s="2018"/>
      <c r="E20" s="2018"/>
      <c r="F20" s="2062"/>
      <c r="G20" s="2060"/>
      <c r="H20" s="1710"/>
      <c r="I20" s="1708"/>
      <c r="J20" s="1732"/>
      <c r="K20" s="1731"/>
      <c r="L20" s="1708"/>
      <c r="M20" s="1730"/>
      <c r="N20" s="2060"/>
      <c r="O20" s="2061"/>
    </row>
    <row r="21" spans="1:15" ht="5.0999999999999996" customHeight="1">
      <c r="A21" s="2063"/>
      <c r="B21" s="1921"/>
      <c r="C21" s="2062"/>
      <c r="D21" s="2018"/>
      <c r="E21" s="2018"/>
      <c r="F21" s="2062"/>
      <c r="G21" s="2060"/>
      <c r="H21" s="1710"/>
      <c r="I21" s="1708"/>
      <c r="J21" s="1732"/>
      <c r="K21" s="1731"/>
      <c r="L21" s="1708"/>
      <c r="M21" s="1730"/>
      <c r="N21" s="2060"/>
      <c r="O21" s="2061"/>
    </row>
    <row r="22" spans="1:15">
      <c r="A22" s="2063"/>
      <c r="B22" s="1921"/>
      <c r="C22" s="2062"/>
      <c r="D22" s="1760"/>
      <c r="E22" s="1760"/>
      <c r="F22" s="2062"/>
      <c r="G22" s="2060"/>
      <c r="H22" s="1710"/>
      <c r="I22" s="1708"/>
      <c r="J22" s="1732"/>
      <c r="K22" s="1731"/>
      <c r="L22" s="1708"/>
      <c r="M22" s="1730"/>
      <c r="N22" s="2060"/>
      <c r="O22" s="2061"/>
    </row>
    <row r="23" spans="1:15">
      <c r="A23" s="810" t="s">
        <v>997</v>
      </c>
      <c r="B23" s="811">
        <v>1</v>
      </c>
      <c r="C23" s="975">
        <f>SUM(C6:C22)</f>
        <v>0</v>
      </c>
      <c r="D23" s="976"/>
      <c r="E23" s="976"/>
      <c r="F23" s="977"/>
      <c r="G23" s="978"/>
      <c r="H23" s="280"/>
      <c r="I23" s="277"/>
      <c r="J23" s="276"/>
      <c r="K23" s="279">
        <f>SUM(K6:K22)</f>
        <v>0</v>
      </c>
      <c r="L23" s="277">
        <f>SUM(L6:L22)</f>
        <v>0</v>
      </c>
      <c r="M23" s="278">
        <f>SUM(M6:M22)</f>
        <v>0</v>
      </c>
      <c r="N23" s="979">
        <f>SUM(N6:N22)</f>
        <v>0</v>
      </c>
      <c r="O23" s="980">
        <f>SUM(O6:O22)</f>
        <v>0</v>
      </c>
    </row>
    <row r="24" spans="1:15">
      <c r="A24" s="972"/>
      <c r="B24" s="351"/>
      <c r="C24" s="609"/>
      <c r="D24" s="968"/>
      <c r="E24" s="968"/>
      <c r="F24" s="969"/>
      <c r="G24" s="970"/>
      <c r="H24" s="207"/>
      <c r="I24" s="204"/>
      <c r="J24" s="203"/>
      <c r="K24" s="206"/>
      <c r="L24" s="204"/>
      <c r="M24" s="205"/>
      <c r="N24" s="666"/>
      <c r="O24" s="973"/>
    </row>
    <row r="25" spans="1:15">
      <c r="A25" s="663" t="s">
        <v>16</v>
      </c>
      <c r="B25" s="351"/>
      <c r="C25" s="609"/>
      <c r="D25" s="968"/>
      <c r="E25" s="968"/>
      <c r="F25" s="969"/>
      <c r="G25" s="970"/>
      <c r="H25" s="207"/>
      <c r="I25" s="204"/>
      <c r="J25" s="203"/>
      <c r="K25" s="206"/>
      <c r="L25" s="204"/>
      <c r="M25" s="205"/>
      <c r="N25" s="666"/>
      <c r="O25" s="973"/>
    </row>
    <row r="26" spans="1:15" ht="11.25" customHeight="1">
      <c r="A26" s="374" t="s">
        <v>1624</v>
      </c>
      <c r="B26" s="351"/>
      <c r="C26" s="609"/>
      <c r="D26" s="968"/>
      <c r="E26" s="968"/>
      <c r="F26" s="969"/>
      <c r="G26" s="970"/>
      <c r="H26" s="409"/>
      <c r="I26" s="316"/>
      <c r="J26" s="317"/>
      <c r="K26" s="318"/>
      <c r="L26" s="316"/>
      <c r="M26" s="319"/>
      <c r="N26" s="971"/>
      <c r="O26" s="879"/>
    </row>
    <row r="27" spans="1:15" ht="5.0999999999999996" customHeight="1">
      <c r="A27" s="972"/>
      <c r="B27" s="351"/>
      <c r="C27" s="609"/>
      <c r="D27" s="968"/>
      <c r="E27" s="968"/>
      <c r="F27" s="969"/>
      <c r="G27" s="970"/>
      <c r="H27" s="207"/>
      <c r="I27" s="204"/>
      <c r="J27" s="203"/>
      <c r="K27" s="206"/>
      <c r="L27" s="204"/>
      <c r="M27" s="205"/>
      <c r="N27" s="666"/>
      <c r="O27" s="973"/>
    </row>
    <row r="28" spans="1:15" ht="11.25" customHeight="1">
      <c r="A28" s="2064" t="s">
        <v>1625</v>
      </c>
      <c r="B28" s="1921"/>
      <c r="C28" s="1926"/>
      <c r="D28" s="2019"/>
      <c r="E28" s="2019"/>
      <c r="F28" s="2058"/>
      <c r="G28" s="2059"/>
      <c r="H28" s="1710"/>
      <c r="I28" s="1708"/>
      <c r="J28" s="1732"/>
      <c r="K28" s="1731"/>
      <c r="L28" s="1708"/>
      <c r="M28" s="1730"/>
      <c r="N28" s="2060"/>
      <c r="O28" s="2061"/>
    </row>
    <row r="29" spans="1:15" ht="11.25" customHeight="1">
      <c r="A29" s="1989" t="s">
        <v>1626</v>
      </c>
      <c r="B29" s="1921"/>
      <c r="C29" s="2062"/>
      <c r="D29" s="2018"/>
      <c r="E29" s="2018"/>
      <c r="F29" s="2062"/>
      <c r="G29" s="2060"/>
      <c r="H29" s="1710"/>
      <c r="I29" s="1708"/>
      <c r="J29" s="1732"/>
      <c r="K29" s="1731"/>
      <c r="L29" s="1708"/>
      <c r="M29" s="1730"/>
      <c r="N29" s="2060"/>
      <c r="O29" s="2061"/>
    </row>
    <row r="30" spans="1:15" ht="5.0999999999999996" customHeight="1">
      <c r="A30" s="2063"/>
      <c r="B30" s="1921"/>
      <c r="C30" s="2062"/>
      <c r="D30" s="2018"/>
      <c r="E30" s="2018"/>
      <c r="F30" s="2062"/>
      <c r="G30" s="2060"/>
      <c r="H30" s="1710"/>
      <c r="I30" s="1708"/>
      <c r="J30" s="1732"/>
      <c r="K30" s="1731"/>
      <c r="L30" s="1708"/>
      <c r="M30" s="1730"/>
      <c r="N30" s="2060"/>
      <c r="O30" s="2061"/>
    </row>
    <row r="31" spans="1:15" ht="11.25" customHeight="1">
      <c r="A31" s="2064" t="s">
        <v>1627</v>
      </c>
      <c r="B31" s="1921"/>
      <c r="C31" s="2062"/>
      <c r="D31" s="2018"/>
      <c r="E31" s="2018"/>
      <c r="F31" s="2062"/>
      <c r="G31" s="2060"/>
      <c r="H31" s="1710"/>
      <c r="I31" s="1708"/>
      <c r="J31" s="1732"/>
      <c r="K31" s="1731"/>
      <c r="L31" s="1708"/>
      <c r="M31" s="1730"/>
      <c r="N31" s="2060"/>
      <c r="O31" s="2061"/>
    </row>
    <row r="32" spans="1:15" ht="11.25" customHeight="1">
      <c r="A32" s="1989" t="s">
        <v>1628</v>
      </c>
      <c r="B32" s="1921"/>
      <c r="C32" s="2062"/>
      <c r="D32" s="2018"/>
      <c r="E32" s="2018"/>
      <c r="F32" s="2062"/>
      <c r="G32" s="2060"/>
      <c r="H32" s="1710"/>
      <c r="I32" s="1708"/>
      <c r="J32" s="1732"/>
      <c r="K32" s="1731"/>
      <c r="L32" s="1708"/>
      <c r="M32" s="1730"/>
      <c r="N32" s="2060"/>
      <c r="O32" s="2061"/>
    </row>
    <row r="33" spans="1:15" ht="11.25" customHeight="1">
      <c r="A33" s="1989"/>
      <c r="B33" s="1921"/>
      <c r="C33" s="2062"/>
      <c r="D33" s="2018"/>
      <c r="E33" s="2018"/>
      <c r="F33" s="2062"/>
      <c r="G33" s="2060"/>
      <c r="H33" s="1710"/>
      <c r="I33" s="1708"/>
      <c r="J33" s="1732"/>
      <c r="K33" s="1731"/>
      <c r="L33" s="1708"/>
      <c r="M33" s="1730"/>
      <c r="N33" s="2060"/>
      <c r="O33" s="2061"/>
    </row>
    <row r="34" spans="1:15" ht="11.25" customHeight="1">
      <c r="A34" s="1989"/>
      <c r="B34" s="1921"/>
      <c r="C34" s="2062"/>
      <c r="D34" s="1760"/>
      <c r="E34" s="1760"/>
      <c r="F34" s="2062"/>
      <c r="G34" s="2060"/>
      <c r="H34" s="1710"/>
      <c r="I34" s="1708"/>
      <c r="J34" s="1732"/>
      <c r="K34" s="1731"/>
      <c r="L34" s="1708"/>
      <c r="M34" s="1730"/>
      <c r="N34" s="2060"/>
      <c r="O34" s="2061"/>
    </row>
    <row r="35" spans="1:15" ht="11.25" customHeight="1">
      <c r="A35" s="2063"/>
      <c r="B35" s="1921"/>
      <c r="C35" s="2065"/>
      <c r="D35" s="2066"/>
      <c r="E35" s="2066"/>
      <c r="F35" s="2065"/>
      <c r="G35" s="2067"/>
      <c r="H35" s="1710"/>
      <c r="I35" s="1708"/>
      <c r="J35" s="1732"/>
      <c r="K35" s="1731"/>
      <c r="L35" s="1708"/>
      <c r="M35" s="1730"/>
      <c r="N35" s="2067"/>
      <c r="O35" s="2068"/>
    </row>
    <row r="36" spans="1:15">
      <c r="A36" s="282" t="s">
        <v>997</v>
      </c>
      <c r="B36" s="981">
        <v>2</v>
      </c>
      <c r="C36" s="982">
        <f>SUM(C27:C35)</f>
        <v>0</v>
      </c>
      <c r="D36" s="242"/>
      <c r="E36" s="242"/>
      <c r="F36" s="242"/>
      <c r="G36" s="242"/>
      <c r="H36" s="233"/>
      <c r="I36" s="231"/>
      <c r="J36" s="232"/>
      <c r="K36" s="230">
        <f>SUM(K27:K35)</f>
        <v>0</v>
      </c>
      <c r="L36" s="231">
        <f>SUM(L27:L35)</f>
        <v>0</v>
      </c>
      <c r="M36" s="229">
        <f>SUM(M27:M35)</f>
        <v>0</v>
      </c>
      <c r="N36" s="242">
        <f>SUM(N27:N35)</f>
        <v>0</v>
      </c>
      <c r="O36" s="242">
        <f>SUM(O27:O35)</f>
        <v>0</v>
      </c>
    </row>
    <row r="37" spans="1:15" s="722" customFormat="1" ht="11.25" customHeight="1">
      <c r="A37" s="1276" t="str">
        <f>head27a</f>
        <v>References</v>
      </c>
      <c r="C37" s="1089"/>
      <c r="O37" s="1114"/>
    </row>
    <row r="38" spans="1:15" s="722" customFormat="1" ht="11.25" customHeight="1">
      <c r="A38" s="1238" t="s">
        <v>1692</v>
      </c>
    </row>
    <row r="39" spans="1:15" s="722" customFormat="1" ht="11.25" customHeight="1">
      <c r="A39" s="1238" t="s">
        <v>1758</v>
      </c>
    </row>
    <row r="40" spans="1:15" s="722" customFormat="1" ht="11.25" customHeight="1">
      <c r="A40" s="1238" t="s">
        <v>1732</v>
      </c>
    </row>
    <row r="41" spans="1:15" s="722" customFormat="1" ht="11.25" customHeight="1">
      <c r="A41" s="1238" t="s">
        <v>1014</v>
      </c>
    </row>
    <row r="42" spans="1:15" ht="11.25" customHeight="1">
      <c r="A42" s="150" t="s">
        <v>725</v>
      </c>
      <c r="B42" s="150"/>
    </row>
    <row r="43" spans="1:15">
      <c r="B43" s="150"/>
    </row>
    <row r="44" spans="1:15" ht="11.25" customHeight="1">
      <c r="B44" s="150"/>
    </row>
    <row r="45" spans="1:15" ht="11.25" customHeight="1">
      <c r="B45" s="150"/>
    </row>
    <row r="46" spans="1:15" ht="11.25" customHeight="1">
      <c r="B46" s="150"/>
    </row>
    <row r="47" spans="1:15" ht="11.25" customHeight="1">
      <c r="B47" s="150"/>
    </row>
    <row r="48" spans="1:15" ht="11.25" customHeight="1">
      <c r="B48" s="150"/>
    </row>
    <row r="49" spans="2:2" ht="11.25" customHeight="1">
      <c r="B49" s="150"/>
    </row>
    <row r="50" spans="2:2" ht="11.25" customHeight="1">
      <c r="B50" s="150"/>
    </row>
    <row r="51" spans="2:2" ht="11.25" customHeight="1">
      <c r="B51" s="150"/>
    </row>
    <row r="52" spans="2:2" ht="11.25" customHeight="1">
      <c r="B52" s="150"/>
    </row>
    <row r="53" spans="2:2" ht="11.25" customHeight="1">
      <c r="B53" s="150"/>
    </row>
    <row r="54" spans="2:2" ht="11.25" customHeight="1">
      <c r="B54" s="150"/>
    </row>
    <row r="55" spans="2:2" ht="11.25" customHeight="1">
      <c r="B55" s="150"/>
    </row>
    <row r="56" spans="2:2" ht="11.25" customHeight="1">
      <c r="B56" s="150"/>
    </row>
    <row r="57" spans="2:2" ht="11.25" customHeight="1">
      <c r="B57" s="150"/>
    </row>
    <row r="58" spans="2:2" ht="11.25" customHeight="1">
      <c r="B58" s="150"/>
    </row>
    <row r="59" spans="2:2" ht="11.25" customHeight="1">
      <c r="B59" s="150"/>
    </row>
    <row r="60" spans="2:2" ht="11.25" customHeight="1">
      <c r="B60" s="150"/>
    </row>
    <row r="61" spans="2:2" ht="11.25" customHeight="1">
      <c r="B61" s="150"/>
    </row>
    <row r="62" spans="2:2" ht="11.25" customHeight="1">
      <c r="B62" s="150"/>
    </row>
    <row r="63" spans="2:2" ht="11.25" customHeight="1">
      <c r="B63" s="150"/>
    </row>
    <row r="64" spans="2:2" ht="11.25" customHeight="1">
      <c r="B64" s="150"/>
    </row>
    <row r="65" spans="2:2" ht="11.25" customHeight="1">
      <c r="B65" s="150"/>
    </row>
    <row r="66" spans="2:2" ht="11.25" customHeight="1">
      <c r="B66" s="150"/>
    </row>
    <row r="67" spans="2:2">
      <c r="B67" s="150"/>
    </row>
    <row r="68" spans="2:2">
      <c r="B68" s="150"/>
    </row>
    <row r="69" spans="2:2" ht="11.25" customHeight="1">
      <c r="B69" s="150"/>
    </row>
    <row r="70" spans="2:2" ht="22.5" customHeight="1">
      <c r="B70" s="150"/>
    </row>
    <row r="71" spans="2:2">
      <c r="B71" s="150"/>
    </row>
    <row r="72" spans="2:2">
      <c r="B72" s="150"/>
    </row>
    <row r="73" spans="2:2" ht="11.25" customHeight="1">
      <c r="B73" s="150"/>
    </row>
    <row r="74" spans="2:2" ht="11.25" customHeight="1">
      <c r="B74" s="150"/>
    </row>
    <row r="75" spans="2:2" ht="11.25" customHeight="1">
      <c r="B75" s="150"/>
    </row>
    <row r="76" spans="2:2" ht="11.25" customHeight="1">
      <c r="B76" s="150"/>
    </row>
    <row r="77" spans="2:2" ht="11.25" customHeight="1">
      <c r="B77" s="150"/>
    </row>
    <row r="78" spans="2:2" ht="11.25" customHeight="1">
      <c r="B78" s="150"/>
    </row>
    <row r="79" spans="2:2" ht="11.25" customHeight="1">
      <c r="B79" s="150"/>
    </row>
    <row r="80" spans="2:2" ht="11.25" customHeight="1">
      <c r="B80" s="150"/>
    </row>
    <row r="81" spans="2:2" ht="11.25" customHeight="1">
      <c r="B81" s="150"/>
    </row>
    <row r="82" spans="2:2" ht="11.25" customHeight="1">
      <c r="B82" s="150"/>
    </row>
    <row r="83" spans="2:2" ht="11.25" customHeight="1">
      <c r="B83" s="150"/>
    </row>
    <row r="84" spans="2:2" ht="11.25" customHeight="1">
      <c r="B84" s="150"/>
    </row>
    <row r="85" spans="2:2" ht="11.25" customHeight="1">
      <c r="B85" s="150"/>
    </row>
    <row r="86" spans="2:2" ht="11.25" customHeight="1">
      <c r="B86" s="150"/>
    </row>
    <row r="87" spans="2:2" ht="11.25" customHeight="1">
      <c r="B87" s="150"/>
    </row>
    <row r="88" spans="2:2" ht="11.25" customHeight="1">
      <c r="B88" s="150"/>
    </row>
    <row r="89" spans="2:2" ht="11.25" customHeight="1">
      <c r="B89" s="150"/>
    </row>
    <row r="90" spans="2:2" ht="11.25" customHeight="1">
      <c r="B90" s="150"/>
    </row>
    <row r="91" spans="2:2" ht="11.25" customHeight="1">
      <c r="B91" s="150"/>
    </row>
    <row r="92" spans="2:2" ht="11.25" customHeight="1">
      <c r="B92" s="150"/>
    </row>
    <row r="93" spans="2:2" ht="11.25" customHeight="1">
      <c r="B93" s="150"/>
    </row>
    <row r="94" spans="2:2" ht="11.25" customHeight="1">
      <c r="B94" s="150"/>
    </row>
    <row r="95" spans="2:2" ht="11.25" customHeight="1">
      <c r="B95" s="150"/>
    </row>
    <row r="96" spans="2:2" ht="11.25" customHeight="1">
      <c r="B96" s="150"/>
    </row>
    <row r="97" spans="2:2" ht="11.25" customHeight="1">
      <c r="B97" s="150"/>
    </row>
    <row r="98" spans="2:2" ht="11.25" customHeight="1">
      <c r="B98" s="150"/>
    </row>
    <row r="99" spans="2:2" ht="11.25" customHeight="1">
      <c r="B99" s="150"/>
    </row>
    <row r="100" spans="2:2" ht="11.25" customHeight="1">
      <c r="B100" s="150"/>
    </row>
    <row r="101" spans="2:2" ht="11.25" customHeight="1">
      <c r="B101" s="150"/>
    </row>
    <row r="102" spans="2:2" ht="11.25" customHeight="1">
      <c r="B102" s="150"/>
    </row>
    <row r="103" spans="2:2" ht="11.25" customHeight="1">
      <c r="B103" s="150"/>
    </row>
    <row r="104" spans="2:2" ht="11.25" customHeight="1">
      <c r="B104" s="150"/>
    </row>
    <row r="105" spans="2:2" ht="11.25" customHeight="1">
      <c r="B105" s="150"/>
    </row>
    <row r="106" spans="2:2" ht="11.25" customHeight="1">
      <c r="B106" s="150"/>
    </row>
    <row r="107" spans="2:2" ht="11.25" customHeight="1">
      <c r="B107" s="150"/>
    </row>
    <row r="108" spans="2:2" ht="11.25" customHeight="1">
      <c r="B108" s="150"/>
    </row>
    <row r="109" spans="2:2" ht="11.25" customHeight="1">
      <c r="B109" s="150"/>
    </row>
    <row r="110" spans="2:2">
      <c r="B110" s="150"/>
    </row>
    <row r="111" spans="2:2">
      <c r="B111" s="150"/>
    </row>
    <row r="112" spans="2:2">
      <c r="B112" s="150"/>
    </row>
    <row r="113" spans="2:2">
      <c r="B113" s="150"/>
    </row>
    <row r="114" spans="2:2">
      <c r="B114" s="150"/>
    </row>
    <row r="115" spans="2:2">
      <c r="B115" s="150"/>
    </row>
    <row r="116" spans="2:2">
      <c r="B116" s="150"/>
    </row>
    <row r="117" spans="2:2">
      <c r="B117" s="150"/>
    </row>
    <row r="118" spans="2:2">
      <c r="B118" s="150"/>
    </row>
    <row r="119" spans="2:2">
      <c r="B119" s="150"/>
    </row>
    <row r="120" spans="2:2">
      <c r="B120" s="150"/>
    </row>
    <row r="121" spans="2:2">
      <c r="B121" s="150"/>
    </row>
    <row r="122" spans="2:2">
      <c r="B122" s="150"/>
    </row>
    <row r="123" spans="2:2">
      <c r="B123" s="150"/>
    </row>
    <row r="124" spans="2:2">
      <c r="B124" s="150"/>
    </row>
    <row r="125" spans="2:2">
      <c r="B125" s="150"/>
    </row>
    <row r="126" spans="2:2">
      <c r="B126" s="150"/>
    </row>
    <row r="127" spans="2:2">
      <c r="B127" s="150"/>
    </row>
    <row r="128" spans="2:2">
      <c r="B128" s="150"/>
    </row>
    <row r="129" spans="2:2">
      <c r="B129" s="150"/>
    </row>
    <row r="130" spans="2:2">
      <c r="B130" s="150"/>
    </row>
    <row r="131" spans="2:2">
      <c r="B131" s="150"/>
    </row>
    <row r="132" spans="2:2">
      <c r="B132" s="150"/>
    </row>
  </sheetData>
  <sheetProtection sheet="1" objects="1" scenarios="1"/>
  <mergeCells count="9">
    <mergeCell ref="N2:O2"/>
    <mergeCell ref="F2:F3"/>
    <mergeCell ref="G2:G3"/>
    <mergeCell ref="C2:C3"/>
    <mergeCell ref="D2:D3"/>
    <mergeCell ref="E2:E3"/>
    <mergeCell ref="I2:J2"/>
    <mergeCell ref="H2:H3"/>
    <mergeCell ref="K2:M2"/>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K80"/>
  <sheetViews>
    <sheetView showGridLines="0" workbookViewId="0">
      <pane xSplit="2" ySplit="4" topLeftCell="C5" activePane="bottomRight" state="frozen"/>
      <selection activeCell="O37" sqref="A1:IV65536"/>
      <selection pane="topRight" activeCell="O37" sqref="A1:IV65536"/>
      <selection pane="bottomLeft" activeCell="O37" sqref="A1:IV65536"/>
      <selection pane="bottomRight" activeCell="F45" sqref="F45"/>
    </sheetView>
  </sheetViews>
  <sheetFormatPr defaultRowHeight="12.75"/>
  <cols>
    <col min="1" max="2" width="26.42578125" style="150" customWidth="1"/>
    <col min="3" max="3" width="6.42578125" style="150" customWidth="1"/>
    <col min="4" max="5" width="26.42578125" style="150" customWidth="1"/>
    <col min="6" max="11" width="9.28515625" style="150" customWidth="1"/>
    <col min="12" max="12" width="7.42578125" style="150" bestFit="1" customWidth="1"/>
    <col min="13" max="13" width="9.85546875" style="150" customWidth="1"/>
    <col min="14" max="14" width="9.5703125" style="150" customWidth="1"/>
    <col min="15" max="15" width="9.85546875" style="150" customWidth="1"/>
    <col min="16" max="18" width="9.5703125" style="150" customWidth="1"/>
    <col min="19" max="19" width="9.85546875" style="150" customWidth="1"/>
    <col min="20" max="22" width="9.5703125" style="150" customWidth="1"/>
    <col min="23" max="24" width="9.85546875" style="150" customWidth="1"/>
    <col min="25" max="16384" width="9.140625" style="150"/>
  </cols>
  <sheetData>
    <row r="1" spans="1:11" ht="13.5" customHeight="1">
      <c r="A1" s="148" t="str">
        <f>muni&amp;" - "&amp;TableA37</f>
        <v>KZN225 Msunduzi - Supporting Table SA37 Projects delayed from previous financial year/s</v>
      </c>
      <c r="B1" s="148"/>
      <c r="C1" s="148"/>
      <c r="D1" s="148"/>
      <c r="E1" s="148"/>
      <c r="F1" s="148"/>
      <c r="G1" s="148"/>
      <c r="H1" s="148"/>
      <c r="I1" s="148"/>
      <c r="J1" s="148"/>
      <c r="K1" s="148"/>
    </row>
    <row r="2" spans="1:11" ht="23.25" customHeight="1">
      <c r="A2" s="2472" t="s">
        <v>1049</v>
      </c>
      <c r="B2" s="2457" t="s">
        <v>1491</v>
      </c>
      <c r="C2" s="2457" t="s">
        <v>1492</v>
      </c>
      <c r="D2" s="2457" t="s">
        <v>1631</v>
      </c>
      <c r="E2" s="2469" t="s">
        <v>1632</v>
      </c>
      <c r="F2" s="2450" t="str">
        <f>Head47</f>
        <v>Previous target year to complete</v>
      </c>
      <c r="G2" s="2461" t="str">
        <f>Head2</f>
        <v>Current Year 2010/11</v>
      </c>
      <c r="H2" s="2413"/>
      <c r="I2" s="2412" t="str">
        <f>Head3</f>
        <v>2011/12 Medium Term Revenue &amp; Expenditure Framework</v>
      </c>
      <c r="J2" s="2413"/>
      <c r="K2" s="2414"/>
    </row>
    <row r="3" spans="1:11" ht="25.5">
      <c r="A3" s="2473"/>
      <c r="B3" s="2475"/>
      <c r="C3" s="2475" t="s">
        <v>1960</v>
      </c>
      <c r="D3" s="2475"/>
      <c r="E3" s="2476"/>
      <c r="F3" s="2474"/>
      <c r="G3" s="673" t="str">
        <f>Head6</f>
        <v>Original Budget</v>
      </c>
      <c r="H3" s="983" t="str">
        <f>Head8</f>
        <v>Full Year Forecast</v>
      </c>
      <c r="I3" s="152" t="str">
        <f>Head9</f>
        <v>Budget Year 2011/12</v>
      </c>
      <c r="J3" s="153" t="str">
        <f>Head10</f>
        <v>Budget Year +1 2012/13</v>
      </c>
      <c r="K3" s="154" t="str">
        <f>Head11</f>
        <v>Budget Year +2 2013/14</v>
      </c>
    </row>
    <row r="4" spans="1:11" ht="11.25" customHeight="1">
      <c r="A4" s="181" t="s">
        <v>703</v>
      </c>
      <c r="B4" s="2458"/>
      <c r="C4" s="2458" t="s">
        <v>1103</v>
      </c>
      <c r="D4" s="2458"/>
      <c r="E4" s="2477"/>
      <c r="F4" s="984" t="s">
        <v>316</v>
      </c>
      <c r="G4" s="138"/>
      <c r="H4" s="139"/>
      <c r="I4" s="156"/>
      <c r="J4" s="138"/>
      <c r="K4" s="157"/>
    </row>
    <row r="5" spans="1:11" ht="11.25" customHeight="1">
      <c r="A5" s="960" t="s">
        <v>1623</v>
      </c>
      <c r="B5" s="962"/>
      <c r="C5" s="963"/>
      <c r="D5" s="964"/>
      <c r="E5" s="985"/>
      <c r="F5" s="986"/>
      <c r="G5" s="950"/>
      <c r="H5" s="987"/>
      <c r="I5" s="988"/>
      <c r="J5" s="950"/>
      <c r="K5" s="989"/>
    </row>
    <row r="6" spans="1:11" ht="11.25" customHeight="1">
      <c r="A6" s="374" t="s">
        <v>1150</v>
      </c>
      <c r="B6" s="609"/>
      <c r="C6" s="968"/>
      <c r="D6" s="969" t="s">
        <v>1050</v>
      </c>
      <c r="E6" s="990" t="s">
        <v>1050</v>
      </c>
      <c r="F6" s="991"/>
      <c r="G6" s="992"/>
      <c r="H6" s="993"/>
      <c r="I6" s="994"/>
      <c r="J6" s="992"/>
      <c r="K6" s="995"/>
    </row>
    <row r="7" spans="1:11" ht="11.25" customHeight="1">
      <c r="A7" s="374"/>
      <c r="B7" s="609"/>
      <c r="C7" s="968"/>
      <c r="D7" s="969"/>
      <c r="E7" s="990"/>
      <c r="F7" s="991"/>
      <c r="G7" s="992"/>
      <c r="H7" s="993"/>
      <c r="I7" s="994"/>
      <c r="J7" s="992"/>
      <c r="K7" s="995"/>
    </row>
    <row r="8" spans="1:11" ht="11.25" customHeight="1">
      <c r="A8" s="2064"/>
      <c r="B8" s="1926"/>
      <c r="C8" s="2019"/>
      <c r="D8" s="2058"/>
      <c r="E8" s="2069"/>
      <c r="F8" s="2070"/>
      <c r="G8" s="2046"/>
      <c r="H8" s="2071"/>
      <c r="I8" s="2048"/>
      <c r="J8" s="2046"/>
      <c r="K8" s="2049"/>
    </row>
    <row r="9" spans="1:11" ht="11.25" customHeight="1">
      <c r="A9" s="1989"/>
      <c r="B9" s="2062"/>
      <c r="C9" s="2018"/>
      <c r="D9" s="2062"/>
      <c r="E9" s="2072"/>
      <c r="F9" s="1947"/>
      <c r="G9" s="1708"/>
      <c r="H9" s="1709"/>
      <c r="I9" s="1731"/>
      <c r="J9" s="1708"/>
      <c r="K9" s="1730"/>
    </row>
    <row r="10" spans="1:11" ht="11.25" customHeight="1">
      <c r="A10" s="1989"/>
      <c r="B10" s="2062"/>
      <c r="C10" s="2018"/>
      <c r="D10" s="2062"/>
      <c r="E10" s="2072"/>
      <c r="F10" s="1947"/>
      <c r="G10" s="1708"/>
      <c r="H10" s="1709"/>
      <c r="I10" s="1731"/>
      <c r="J10" s="1708"/>
      <c r="K10" s="1730"/>
    </row>
    <row r="11" spans="1:11" ht="11.25" customHeight="1">
      <c r="A11" s="2064"/>
      <c r="B11" s="2062"/>
      <c r="C11" s="2018"/>
      <c r="D11" s="2062"/>
      <c r="E11" s="2072"/>
      <c r="F11" s="1947"/>
      <c r="G11" s="1708"/>
      <c r="H11" s="1709"/>
      <c r="I11" s="1731"/>
      <c r="J11" s="1708"/>
      <c r="K11" s="1730"/>
    </row>
    <row r="12" spans="1:11" ht="11.25" customHeight="1">
      <c r="A12" s="1989"/>
      <c r="B12" s="2062"/>
      <c r="C12" s="2018"/>
      <c r="D12" s="2062"/>
      <c r="E12" s="2072"/>
      <c r="F12" s="1947"/>
      <c r="G12" s="1708"/>
      <c r="H12" s="2073"/>
      <c r="I12" s="1731"/>
      <c r="J12" s="1708"/>
      <c r="K12" s="1730"/>
    </row>
    <row r="13" spans="1:11" ht="11.25" customHeight="1">
      <c r="A13" s="1989"/>
      <c r="B13" s="2062"/>
      <c r="C13" s="2018"/>
      <c r="D13" s="2062"/>
      <c r="E13" s="2072"/>
      <c r="F13" s="1947"/>
      <c r="G13" s="1708"/>
      <c r="H13" s="1709"/>
      <c r="I13" s="1731"/>
      <c r="J13" s="1708"/>
      <c r="K13" s="1730"/>
    </row>
    <row r="14" spans="1:11" ht="11.25" customHeight="1">
      <c r="A14" s="2074"/>
      <c r="B14" s="2075"/>
      <c r="C14" s="2076"/>
      <c r="D14" s="2075"/>
      <c r="E14" s="2077"/>
      <c r="F14" s="2078"/>
      <c r="G14" s="1754"/>
      <c r="H14" s="2079"/>
      <c r="I14" s="1756"/>
      <c r="J14" s="1754"/>
      <c r="K14" s="1755"/>
    </row>
    <row r="15" spans="1:11" ht="11.25" customHeight="1">
      <c r="A15" s="266" t="s">
        <v>16</v>
      </c>
      <c r="B15" s="974"/>
      <c r="C15" s="853"/>
      <c r="D15" s="974"/>
      <c r="E15" s="996"/>
      <c r="F15" s="634"/>
      <c r="G15" s="208"/>
      <c r="H15" s="571"/>
      <c r="I15" s="252"/>
      <c r="J15" s="208"/>
      <c r="K15" s="265"/>
    </row>
    <row r="16" spans="1:11" ht="11.25" customHeight="1">
      <c r="A16" s="374" t="s">
        <v>1629</v>
      </c>
      <c r="B16" s="974"/>
      <c r="C16" s="853"/>
      <c r="D16" s="974"/>
      <c r="E16" s="996"/>
      <c r="F16" s="634"/>
      <c r="G16" s="208"/>
      <c r="H16" s="571"/>
      <c r="I16" s="252"/>
      <c r="J16" s="208"/>
      <c r="K16" s="265"/>
    </row>
    <row r="17" spans="1:11" ht="11.25" customHeight="1">
      <c r="A17" s="997"/>
      <c r="B17" s="974"/>
      <c r="C17" s="853"/>
      <c r="D17" s="974"/>
      <c r="E17" s="996"/>
      <c r="F17" s="634"/>
      <c r="G17" s="208"/>
      <c r="H17" s="571"/>
      <c r="I17" s="252"/>
      <c r="J17" s="208"/>
      <c r="K17" s="265"/>
    </row>
    <row r="18" spans="1:11" ht="11.25" customHeight="1">
      <c r="A18" s="2080" t="s">
        <v>1630</v>
      </c>
      <c r="B18" s="2062"/>
      <c r="C18" s="2018"/>
      <c r="D18" s="2062"/>
      <c r="E18" s="2072"/>
      <c r="F18" s="1947"/>
      <c r="G18" s="1708"/>
      <c r="H18" s="1709"/>
      <c r="I18" s="1731"/>
      <c r="J18" s="1708"/>
      <c r="K18" s="1730"/>
    </row>
    <row r="19" spans="1:11" ht="11.25" customHeight="1">
      <c r="A19" s="2016" t="s">
        <v>1491</v>
      </c>
      <c r="B19" s="2062"/>
      <c r="C19" s="2018"/>
      <c r="D19" s="2062"/>
      <c r="E19" s="2072"/>
      <c r="F19" s="1947"/>
      <c r="G19" s="1708"/>
      <c r="H19" s="1709"/>
      <c r="I19" s="1731"/>
      <c r="J19" s="1708"/>
      <c r="K19" s="1730"/>
    </row>
    <row r="20" spans="1:11" ht="11.25" customHeight="1">
      <c r="A20" s="2017"/>
      <c r="B20" s="2062"/>
      <c r="C20" s="2018"/>
      <c r="D20" s="2062"/>
      <c r="E20" s="2072"/>
      <c r="F20" s="1947"/>
      <c r="G20" s="1708"/>
      <c r="H20" s="1709"/>
      <c r="I20" s="1731"/>
      <c r="J20" s="1708"/>
      <c r="K20" s="1730"/>
    </row>
    <row r="21" spans="1:11" ht="11.25" customHeight="1">
      <c r="A21" s="1989"/>
      <c r="B21" s="2062"/>
      <c r="C21" s="2018"/>
      <c r="D21" s="2062"/>
      <c r="E21" s="2072"/>
      <c r="F21" s="1947"/>
      <c r="G21" s="1708"/>
      <c r="H21" s="1709"/>
      <c r="I21" s="1731"/>
      <c r="J21" s="1708"/>
      <c r="K21" s="1730"/>
    </row>
    <row r="22" spans="1:11" ht="11.25" customHeight="1">
      <c r="A22" s="1989"/>
      <c r="B22" s="2062"/>
      <c r="C22" s="2018"/>
      <c r="D22" s="2062"/>
      <c r="E22" s="2072"/>
      <c r="F22" s="1947"/>
      <c r="G22" s="1708"/>
      <c r="H22" s="1709"/>
      <c r="I22" s="1731"/>
      <c r="J22" s="1708"/>
      <c r="K22" s="1730"/>
    </row>
    <row r="23" spans="1:11" ht="11.25" customHeight="1">
      <c r="A23" s="2081"/>
      <c r="B23" s="2065"/>
      <c r="C23" s="2082"/>
      <c r="D23" s="2065"/>
      <c r="E23" s="2083"/>
      <c r="F23" s="2084"/>
      <c r="G23" s="1783"/>
      <c r="H23" s="2085"/>
      <c r="I23" s="1785"/>
      <c r="J23" s="1783"/>
      <c r="K23" s="1784"/>
    </row>
    <row r="24" spans="1:11" ht="11.25" customHeight="1">
      <c r="A24" s="308" t="str">
        <f>head27a</f>
        <v>References</v>
      </c>
      <c r="D24" s="247"/>
      <c r="E24" s="247"/>
      <c r="F24" s="247"/>
      <c r="G24" s="247"/>
      <c r="H24" s="247"/>
    </row>
    <row r="25" spans="1:11" ht="11.25" customHeight="1">
      <c r="A25" s="309" t="s">
        <v>1809</v>
      </c>
    </row>
    <row r="26" spans="1:11" ht="11.25" customHeight="1">
      <c r="A26" s="309" t="s">
        <v>945</v>
      </c>
    </row>
    <row r="27" spans="1:11" ht="11.25" customHeight="1">
      <c r="A27" s="309" t="s">
        <v>1759</v>
      </c>
    </row>
    <row r="28" spans="1:11" ht="11.25" customHeight="1"/>
    <row r="29" spans="1:11" ht="11.25" customHeight="1"/>
    <row r="30" spans="1:11" ht="11.25" customHeight="1"/>
    <row r="31" spans="1:11" ht="11.25" customHeight="1"/>
    <row r="32" spans="1:11"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8">
    <mergeCell ref="A2:A3"/>
    <mergeCell ref="F2:F3"/>
    <mergeCell ref="G2:H2"/>
    <mergeCell ref="I2:K2"/>
    <mergeCell ref="B2:B4"/>
    <mergeCell ref="C2:C4"/>
    <mergeCell ref="E2:E4"/>
    <mergeCell ref="D2:D4"/>
  </mergeCells>
  <phoneticPr fontId="2" type="noConversion"/>
  <printOptions horizontalCentered="1"/>
  <pageMargins left="0" right="0" top="0.78740157480314965" bottom="0.59055118110236227" header="0.51181102362204722" footer="0.39370078740157483"/>
  <pageSetup paperSize="9" scale="8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6" activePane="bottomRight" state="frozen"/>
      <selection pane="topRight" activeCell="C1" sqref="C1"/>
      <selection pane="bottomLeft" activeCell="A6" sqref="A6"/>
      <selection pane="bottomRight" activeCell="O34" sqref="O34"/>
    </sheetView>
  </sheetViews>
  <sheetFormatPr defaultRowHeight="11.25"/>
  <cols>
    <col min="1" max="1" width="40.7109375" style="2" customWidth="1"/>
    <col min="2" max="2" width="3.5703125" style="2" customWidth="1"/>
    <col min="3" max="3" width="9.140625" style="2" hidden="1" customWidth="1"/>
    <col min="4" max="16384" width="9.140625" style="2"/>
  </cols>
  <sheetData>
    <row r="1" spans="1:37" ht="12.75">
      <c r="A1" s="2478" t="str">
        <f>"Financial summary for the " &amp;muni&amp; "eThekwini"</f>
        <v>Financial summary for the KZN225 MsunduzieThekwini</v>
      </c>
      <c r="B1" s="2479"/>
      <c r="C1" s="2479"/>
      <c r="D1" s="2479"/>
      <c r="E1" s="2479"/>
      <c r="F1" s="2479"/>
      <c r="G1" s="2479"/>
      <c r="H1" s="2479"/>
      <c r="I1" s="2479"/>
      <c r="J1" s="2479"/>
      <c r="K1" s="2479"/>
      <c r="L1" s="2479"/>
      <c r="M1" s="2480"/>
      <c r="N1"/>
      <c r="O1"/>
      <c r="P1"/>
      <c r="Q1"/>
      <c r="R1"/>
      <c r="S1"/>
      <c r="T1"/>
      <c r="U1"/>
      <c r="V1"/>
      <c r="W1"/>
      <c r="X1"/>
      <c r="Y1"/>
    </row>
    <row r="2" spans="1:37" ht="13.5" thickBot="1">
      <c r="A2" s="121" t="str">
        <f>muni&amp;SFPerf2</f>
        <v>KZN225 MsunduziForecast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c r="A3" s="2481" t="str">
        <f>desc</f>
        <v>Description</v>
      </c>
      <c r="B3" s="2481" t="str">
        <f>head27</f>
        <v>Ref</v>
      </c>
      <c r="C3" s="36"/>
      <c r="D3" s="35" t="str">
        <f>head1b</f>
        <v>2007/8</v>
      </c>
      <c r="E3" s="35" t="str">
        <f>head1A</f>
        <v>2008/9</v>
      </c>
      <c r="F3" s="35" t="str">
        <f>Head1</f>
        <v>2009/10</v>
      </c>
      <c r="G3" s="2484" t="str">
        <f>Head2</f>
        <v>Current Year 2010/11</v>
      </c>
      <c r="H3" s="2485"/>
      <c r="I3" s="2485"/>
      <c r="J3" s="1021"/>
      <c r="K3" s="2486" t="str">
        <f>Head3</f>
        <v>2011/12 Medium Term Revenue &amp; Expenditure Framework</v>
      </c>
      <c r="L3" s="2487"/>
      <c r="M3" s="2488"/>
      <c r="N3"/>
      <c r="O3"/>
      <c r="P3"/>
      <c r="Q3"/>
      <c r="R3"/>
      <c r="S3"/>
      <c r="T3"/>
      <c r="U3"/>
      <c r="V3"/>
      <c r="W3"/>
      <c r="X3"/>
      <c r="Y3"/>
    </row>
    <row r="4" spans="1:37" ht="33.75">
      <c r="A4" s="2482"/>
      <c r="B4" s="2482"/>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2011/12</v>
      </c>
      <c r="L4" s="26" t="str">
        <f>Head10</f>
        <v>Budget Year +1 2012/13</v>
      </c>
      <c r="M4" s="28" t="str">
        <f>Head11</f>
        <v>Budget Year +2 2013/14</v>
      </c>
      <c r="N4"/>
      <c r="O4"/>
      <c r="P4"/>
      <c r="Q4"/>
      <c r="R4"/>
      <c r="S4"/>
      <c r="T4"/>
      <c r="U4"/>
      <c r="V4"/>
      <c r="W4"/>
      <c r="X4"/>
      <c r="Y4"/>
    </row>
    <row r="5" spans="1:37" ht="12.75">
      <c r="A5" s="2483"/>
      <c r="B5" s="33">
        <v>1</v>
      </c>
      <c r="C5" s="33"/>
      <c r="D5" s="30" t="s">
        <v>1103</v>
      </c>
      <c r="E5" s="30" t="s">
        <v>1103</v>
      </c>
      <c r="F5" s="30" t="s">
        <v>1103</v>
      </c>
      <c r="G5" s="30" t="s">
        <v>1103</v>
      </c>
      <c r="H5" s="30" t="s">
        <v>1103</v>
      </c>
      <c r="I5" s="31" t="s">
        <v>1103</v>
      </c>
      <c r="J5" s="31"/>
      <c r="K5" s="29" t="s">
        <v>1103</v>
      </c>
      <c r="L5" s="30" t="s">
        <v>1103</v>
      </c>
      <c r="M5" s="32" t="s">
        <v>1103</v>
      </c>
      <c r="N5"/>
      <c r="O5"/>
      <c r="P5"/>
      <c r="Q5"/>
      <c r="R5"/>
      <c r="S5"/>
      <c r="T5"/>
      <c r="U5"/>
      <c r="V5"/>
      <c r="W5"/>
      <c r="X5"/>
      <c r="Y5"/>
    </row>
    <row r="6" spans="1:37" ht="12.75">
      <c r="A6" s="15" t="s">
        <v>1974</v>
      </c>
      <c r="B6" s="13"/>
      <c r="C6" s="13"/>
      <c r="D6" s="1064" t="s">
        <v>1848</v>
      </c>
      <c r="E6" s="72"/>
      <c r="F6" s="72"/>
      <c r="G6" s="72"/>
      <c r="H6" s="72"/>
      <c r="I6" s="73"/>
      <c r="J6" s="1037"/>
      <c r="K6" s="74"/>
      <c r="L6" s="72"/>
      <c r="M6" s="75"/>
      <c r="N6"/>
      <c r="O6"/>
      <c r="P6"/>
      <c r="Q6"/>
      <c r="R6"/>
      <c r="S6"/>
      <c r="T6"/>
      <c r="U6"/>
      <c r="V6"/>
      <c r="W6"/>
      <c r="X6"/>
      <c r="Y6"/>
    </row>
    <row r="7" spans="1:37" ht="12.75">
      <c r="A7" s="15" t="s">
        <v>892</v>
      </c>
      <c r="B7" s="13"/>
      <c r="C7" s="13"/>
      <c r="D7" s="76"/>
      <c r="E7" s="76"/>
      <c r="F7" s="76"/>
      <c r="G7" s="76"/>
      <c r="H7" s="76"/>
      <c r="I7" s="77"/>
      <c r="J7" s="1038"/>
      <c r="K7" s="78"/>
      <c r="L7" s="76"/>
      <c r="M7" s="79"/>
      <c r="N7"/>
      <c r="O7"/>
      <c r="P7"/>
      <c r="Q7"/>
      <c r="R7"/>
      <c r="S7"/>
      <c r="T7"/>
      <c r="U7"/>
      <c r="V7"/>
      <c r="W7"/>
      <c r="X7"/>
      <c r="Y7"/>
    </row>
    <row r="8" spans="1:37" ht="12.75">
      <c r="A8" s="69" t="s">
        <v>651</v>
      </c>
      <c r="B8" s="13"/>
      <c r="C8" s="13"/>
      <c r="D8" s="80" t="e">
        <f>SUM(D9:D10)</f>
        <v>#REF!</v>
      </c>
      <c r="E8" s="80" t="e">
        <f t="shared" ref="E8:M8" si="0">SUM(E9:E10)</f>
        <v>#REF!</v>
      </c>
      <c r="F8" s="80" t="e">
        <f t="shared" si="0"/>
        <v>#REF!</v>
      </c>
      <c r="G8" s="80" t="e">
        <f t="shared" si="0"/>
        <v>#REF!</v>
      </c>
      <c r="H8" s="80" t="e">
        <f t="shared" si="0"/>
        <v>#REF!</v>
      </c>
      <c r="I8" s="81" t="e">
        <f t="shared" si="0"/>
        <v>#REF!</v>
      </c>
      <c r="J8" s="1039" t="e">
        <f>SUM(J9:J10)</f>
        <v>#REF!</v>
      </c>
      <c r="K8" s="82" t="e">
        <f t="shared" si="0"/>
        <v>#REF!</v>
      </c>
      <c r="L8" s="80" t="e">
        <f t="shared" si="0"/>
        <v>#REF!</v>
      </c>
      <c r="M8" s="83" t="e">
        <f t="shared" si="0"/>
        <v>#REF!</v>
      </c>
      <c r="N8"/>
      <c r="O8"/>
      <c r="P8"/>
      <c r="Q8"/>
      <c r="R8"/>
      <c r="S8"/>
      <c r="T8"/>
      <c r="U8"/>
      <c r="V8"/>
      <c r="W8"/>
      <c r="X8"/>
      <c r="Y8"/>
    </row>
    <row r="9" spans="1:37">
      <c r="A9" s="97" t="str">
        <f>'A4-FinPerf RE'!A5</f>
        <v>Property rates</v>
      </c>
      <c r="B9" s="13"/>
      <c r="C9" s="13"/>
      <c r="D9" s="107">
        <f>IF(ISERROR('A4-FinPerf RE'!C5+'A4-FinPerf RE'!C6+D71),0,('A4-FinPerf RE'!C5+'A4-FinPerf RE'!C6+D71))</f>
        <v>368905608</v>
      </c>
      <c r="E9" s="107">
        <f>IF(ISERROR('A4-FinPerf RE'!D5+'A4-FinPerf RE'!D6+E71),0,('A4-FinPerf RE'!D5+'A4-FinPerf RE'!D6+E71))</f>
        <v>395533569</v>
      </c>
      <c r="F9" s="107">
        <f>IF(ISERROR('A4-FinPerf RE'!E5+'A4-FinPerf RE'!E6+F71),0,('A4-FinPerf RE'!E5+'A4-FinPerf RE'!E6+F71))</f>
        <v>437508773</v>
      </c>
      <c r="G9" s="107">
        <f>IF(ISERROR('A4-FinPerf RE'!F5+'A4-FinPerf RE'!F6+G71),0,('A4-FinPerf RE'!F5+'A4-FinPerf RE'!F6+G71))</f>
        <v>575764508</v>
      </c>
      <c r="H9" s="107">
        <f>IF(ISERROR('A4-FinPerf RE'!G5+'A4-FinPerf RE'!G6+H71),0,('A4-FinPerf RE'!G5+'A4-FinPerf RE'!G6+H71))</f>
        <v>459202011</v>
      </c>
      <c r="I9" s="108">
        <f>IF(ISERROR('A4-FinPerf RE'!H5+'A4-FinPerf RE'!H6+I71),0,('A4-FinPerf RE'!H5+'A4-FinPerf RE'!H6+I71))</f>
        <v>459202011</v>
      </c>
      <c r="J9" s="1040">
        <f>IF(ISERROR('A4-FinPerf RE'!I5+'A4-FinPerf RE'!I6+J71),0,('A4-FinPerf RE'!I5+'A4-FinPerf RE'!I6+J71))</f>
        <v>459202011</v>
      </c>
      <c r="K9" s="109">
        <f>IF(ISERROR('A4-FinPerf RE'!J5+'A4-FinPerf RE'!J6+K71),0,('A4-FinPerf RE'!J5+'A4-FinPerf RE'!J6+K71))</f>
        <v>516121494</v>
      </c>
      <c r="L9" s="107">
        <f>IF(ISERROR('A4-FinPerf RE'!K5+'A4-FinPerf RE'!K6+L71),0,('A4-FinPerf RE'!K5+'A4-FinPerf RE'!K6+L71))</f>
        <v>543503812.29799998</v>
      </c>
      <c r="M9" s="119">
        <f>IF(ISERROR('A4-FinPerf RE'!L5+'A4-FinPerf RE'!L6+M71),0,('A4-FinPerf RE'!L5+'A4-FinPerf RE'!L6+M71))</f>
        <v>573434994.27938998</v>
      </c>
    </row>
    <row r="10" spans="1:37">
      <c r="A10" s="97" t="s">
        <v>1472</v>
      </c>
      <c r="B10" s="13"/>
      <c r="C10" s="13"/>
      <c r="D10" s="113" t="e">
        <f>'SA1'!C33+'SA1'!#REF!</f>
        <v>#REF!</v>
      </c>
      <c r="E10" s="113" t="e">
        <f>'SA1'!D33+'SA1'!#REF!</f>
        <v>#REF!</v>
      </c>
      <c r="F10" s="113" t="e">
        <f>'SA1'!E33+'SA1'!#REF!</f>
        <v>#REF!</v>
      </c>
      <c r="G10" s="113" t="e">
        <f>'SA1'!F33+'SA1'!#REF!</f>
        <v>#REF!</v>
      </c>
      <c r="H10" s="113" t="e">
        <f>'SA1'!G33+'SA1'!#REF!</f>
        <v>#REF!</v>
      </c>
      <c r="I10" s="114" t="e">
        <f>'SA1'!H33+'SA1'!#REF!</f>
        <v>#REF!</v>
      </c>
      <c r="J10" s="1041" t="e">
        <f>'SA1'!I33+'SA1'!#REF!</f>
        <v>#REF!</v>
      </c>
      <c r="K10" s="115" t="e">
        <f>'SA1'!J33+'SA1'!#REF!</f>
        <v>#REF!</v>
      </c>
      <c r="L10" s="113" t="e">
        <f>'SA1'!K33+'SA1'!#REF!</f>
        <v>#REF!</v>
      </c>
      <c r="M10" s="120" t="e">
        <f>'SA1'!L33+'SA1'!#REF!</f>
        <v>#REF!</v>
      </c>
    </row>
    <row r="11" spans="1:37">
      <c r="A11" s="69" t="s">
        <v>652</v>
      </c>
      <c r="B11" s="13"/>
      <c r="C11" s="13"/>
      <c r="D11" s="80" t="e">
        <f>SUM(D12:D14)</f>
        <v>#REF!</v>
      </c>
      <c r="E11" s="80" t="e">
        <f t="shared" ref="E11:M11" si="1">SUM(E12:E14)</f>
        <v>#REF!</v>
      </c>
      <c r="F11" s="80" t="e">
        <f t="shared" si="1"/>
        <v>#REF!</v>
      </c>
      <c r="G11" s="80" t="e">
        <f t="shared" si="1"/>
        <v>#REF!</v>
      </c>
      <c r="H11" s="80" t="e">
        <f t="shared" si="1"/>
        <v>#REF!</v>
      </c>
      <c r="I11" s="81" t="e">
        <f t="shared" si="1"/>
        <v>#REF!</v>
      </c>
      <c r="J11" s="1039" t="e">
        <f>SUM(J12:J14)</f>
        <v>#REF!</v>
      </c>
      <c r="K11" s="82" t="e">
        <f t="shared" si="1"/>
        <v>#REF!</v>
      </c>
      <c r="L11" s="80" t="e">
        <f t="shared" si="1"/>
        <v>#REF!</v>
      </c>
      <c r="M11" s="83" t="e">
        <f t="shared" si="1"/>
        <v>#REF!</v>
      </c>
    </row>
    <row r="12" spans="1:37">
      <c r="A12" s="70" t="s">
        <v>642</v>
      </c>
      <c r="B12" s="10"/>
      <c r="C12" s="6"/>
      <c r="D12" s="84">
        <f>'A4-FinPerf RE'!C17+'A4-FinPerf RE'!C18</f>
        <v>795559</v>
      </c>
      <c r="E12" s="84">
        <f>'A4-FinPerf RE'!D17+'A4-FinPerf RE'!D18</f>
        <v>4928107</v>
      </c>
      <c r="F12" s="84">
        <f>'A4-FinPerf RE'!E17+'A4-FinPerf RE'!E18</f>
        <v>1507637</v>
      </c>
      <c r="G12" s="84">
        <f>'A4-FinPerf RE'!F17+'A4-FinPerf RE'!F18</f>
        <v>6561000</v>
      </c>
      <c r="H12" s="84">
        <f>'A4-FinPerf RE'!G17+'A4-FinPerf RE'!G18</f>
        <v>739714</v>
      </c>
      <c r="I12" s="85">
        <f>'A4-FinPerf RE'!H17+'A4-FinPerf RE'!H18</f>
        <v>739714</v>
      </c>
      <c r="J12" s="1042">
        <f>'A4-FinPerf RE'!I17+'A4-FinPerf RE'!I18</f>
        <v>739714</v>
      </c>
      <c r="K12" s="86">
        <f>'A4-FinPerf RE'!J17+'A4-FinPerf RE'!J18</f>
        <v>424375</v>
      </c>
      <c r="L12" s="84">
        <f>'A4-FinPerf RE'!K17+'A4-FinPerf RE'!K18</f>
        <v>446866.4</v>
      </c>
      <c r="M12" s="87">
        <f>'A4-FinPerf RE'!L17+'A4-FinPerf RE'!L18</f>
        <v>471444.342</v>
      </c>
    </row>
    <row r="13" spans="1:37">
      <c r="A13" s="70" t="s">
        <v>1975</v>
      </c>
      <c r="B13" s="10"/>
      <c r="C13" s="6"/>
      <c r="D13" s="76">
        <f>IF(ISERROR(SUM('A4-FinPerf RE'!C7:C11)+D72),0,(SUM('A4-FinPerf RE'!C7:C11)+D72))</f>
        <v>832621272.16666663</v>
      </c>
      <c r="E13" s="76">
        <f>IF(ISERROR(SUM('A4-FinPerf RE'!D7:D11)+E72),0,(SUM('A4-FinPerf RE'!D7:D11)+E72))</f>
        <v>906765720</v>
      </c>
      <c r="F13" s="76">
        <f>IF(ISERROR(SUM('A4-FinPerf RE'!E7:E11)+F72),0,(SUM('A4-FinPerf RE'!E7:E11)+F72))</f>
        <v>1151992129</v>
      </c>
      <c r="G13" s="76">
        <f>IF(ISERROR(SUM('A4-FinPerf RE'!F7:F11)+G72),0,(SUM('A4-FinPerf RE'!F7:F11)+G72))</f>
        <v>1340179559</v>
      </c>
      <c r="H13" s="76">
        <f>IF(ISERROR(SUM('A4-FinPerf RE'!G7:G11)+H72),0,(SUM('A4-FinPerf RE'!G7:G11)+H72))</f>
        <v>1478195953</v>
      </c>
      <c r="I13" s="77">
        <f>IF(ISERROR(SUM('A4-FinPerf RE'!H7:H11)+I72),0,(SUM('A4-FinPerf RE'!H7:H11)+I72))</f>
        <v>1478195951</v>
      </c>
      <c r="J13" s="1038">
        <f>IF(ISERROR(SUM('A4-FinPerf RE'!I7:I11)+J72),0,(SUM('A4-FinPerf RE'!I7:I11)+J72))</f>
        <v>1478195949</v>
      </c>
      <c r="K13" s="78">
        <f>IF(ISERROR(SUM('A4-FinPerf RE'!J7:J11)+K72),0,(SUM('A4-FinPerf RE'!J7:J11)+K72))</f>
        <v>1667549955</v>
      </c>
      <c r="L13" s="76">
        <f>IF(ISERROR(SUM('A4-FinPerf RE'!K7:K11)+L72),0,(SUM('A4-FinPerf RE'!K7:K11)+L72))</f>
        <v>1759110017</v>
      </c>
      <c r="M13" s="79">
        <f>IF(ISERROR(SUM('A4-FinPerf RE'!L7:L11)+M72),0,(SUM('A4-FinPerf RE'!L7:L11)+M72))</f>
        <v>1860361039</v>
      </c>
    </row>
    <row r="14" spans="1:37">
      <c r="A14" s="70" t="s">
        <v>1976</v>
      </c>
      <c r="B14" s="10"/>
      <c r="C14" s="6"/>
      <c r="D14" s="76" t="e">
        <f>SUM(D15)</f>
        <v>#REF!</v>
      </c>
      <c r="E14" s="76" t="e">
        <f t="shared" ref="E14:M14" si="2">SUM(E15)</f>
        <v>#REF!</v>
      </c>
      <c r="F14" s="76" t="e">
        <f t="shared" si="2"/>
        <v>#REF!</v>
      </c>
      <c r="G14" s="76" t="e">
        <f t="shared" si="2"/>
        <v>#REF!</v>
      </c>
      <c r="H14" s="76" t="e">
        <f t="shared" si="2"/>
        <v>#REF!</v>
      </c>
      <c r="I14" s="77" t="e">
        <f t="shared" si="2"/>
        <v>#REF!</v>
      </c>
      <c r="J14" s="1038" t="e">
        <f t="shared" si="2"/>
        <v>#REF!</v>
      </c>
      <c r="K14" s="78" t="e">
        <f t="shared" si="2"/>
        <v>#REF!</v>
      </c>
      <c r="L14" s="76" t="e">
        <f t="shared" si="2"/>
        <v>#REF!</v>
      </c>
      <c r="M14" s="79" t="e">
        <f t="shared" si="2"/>
        <v>#REF!</v>
      </c>
    </row>
    <row r="15" spans="1:37">
      <c r="A15" s="71" t="s">
        <v>301</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43"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c r="A16" s="69" t="s">
        <v>1741</v>
      </c>
      <c r="B16" s="10"/>
      <c r="C16" s="6"/>
      <c r="D16" s="100"/>
      <c r="E16" s="88"/>
      <c r="F16" s="88"/>
      <c r="G16" s="88"/>
      <c r="H16" s="88"/>
      <c r="I16" s="89"/>
      <c r="J16" s="1043"/>
      <c r="K16" s="90"/>
      <c r="L16" s="88"/>
      <c r="M16" s="91"/>
    </row>
    <row r="17" spans="1:13">
      <c r="A17" s="69" t="s">
        <v>635</v>
      </c>
      <c r="B17" s="13"/>
      <c r="C17" s="13"/>
      <c r="D17" s="80">
        <f>SUM(D18:D21)</f>
        <v>266382000</v>
      </c>
      <c r="E17" s="80">
        <f t="shared" ref="E17:M17" si="3">SUM(E18:E21)</f>
        <v>375099858</v>
      </c>
      <c r="F17" s="80">
        <f t="shared" si="3"/>
        <v>212139165</v>
      </c>
      <c r="G17" s="80">
        <f t="shared" si="3"/>
        <v>435847155</v>
      </c>
      <c r="H17" s="80">
        <f t="shared" si="3"/>
        <v>449020131</v>
      </c>
      <c r="I17" s="81">
        <f t="shared" si="3"/>
        <v>449020131</v>
      </c>
      <c r="J17" s="1039">
        <f>SUM(J18:J21)</f>
        <v>449020131</v>
      </c>
      <c r="K17" s="82">
        <f t="shared" si="3"/>
        <v>629253000</v>
      </c>
      <c r="L17" s="80">
        <f t="shared" si="3"/>
        <v>627430000</v>
      </c>
      <c r="M17" s="83">
        <f t="shared" si="3"/>
        <v>613344000</v>
      </c>
    </row>
    <row r="18" spans="1:13">
      <c r="A18" s="97" t="s">
        <v>1740</v>
      </c>
      <c r="B18" s="10"/>
      <c r="C18" s="6"/>
      <c r="D18" s="107">
        <f>'A7-CFlow'!C7</f>
        <v>168611000</v>
      </c>
      <c r="E18" s="107">
        <f>'A7-CFlow'!D7</f>
        <v>375099858</v>
      </c>
      <c r="F18" s="107">
        <f>'A7-CFlow'!E7</f>
        <v>212139165</v>
      </c>
      <c r="G18" s="107">
        <f>'A7-CFlow'!F7</f>
        <v>299333889</v>
      </c>
      <c r="H18" s="107">
        <f>'A7-CFlow'!G7</f>
        <v>322506865</v>
      </c>
      <c r="I18" s="108">
        <f>'A7-CFlow'!H7</f>
        <v>322506865</v>
      </c>
      <c r="J18" s="1040">
        <f>'A7-CFlow'!I7</f>
        <v>322506865</v>
      </c>
      <c r="K18" s="109">
        <f>'A7-CFlow'!J7</f>
        <v>326131000</v>
      </c>
      <c r="L18" s="107">
        <f>'A7-CFlow'!K7</f>
        <v>365172000</v>
      </c>
      <c r="M18" s="119">
        <f>'A7-CFlow'!L7</f>
        <v>399129000</v>
      </c>
    </row>
    <row r="19" spans="1:13">
      <c r="A19" s="97" t="s">
        <v>273</v>
      </c>
      <c r="B19" s="10"/>
      <c r="C19" s="6"/>
      <c r="D19" s="110">
        <f>'A7-CFlow'!C8</f>
        <v>97771000</v>
      </c>
      <c r="E19" s="110">
        <f>'A7-CFlow'!D8</f>
        <v>0</v>
      </c>
      <c r="F19" s="110">
        <f>'A7-CFlow'!E8</f>
        <v>0</v>
      </c>
      <c r="G19" s="110">
        <f>'A7-CFlow'!F8</f>
        <v>136513266</v>
      </c>
      <c r="H19" s="110">
        <f>'A7-CFlow'!G8</f>
        <v>126513266</v>
      </c>
      <c r="I19" s="111">
        <f>'A7-CFlow'!H8</f>
        <v>126513266</v>
      </c>
      <c r="J19" s="1044">
        <f>'A7-CFlow'!I8</f>
        <v>126513266</v>
      </c>
      <c r="K19" s="112">
        <f>'A7-CFlow'!J8</f>
        <v>303122000</v>
      </c>
      <c r="L19" s="110">
        <f>'A7-CFlow'!K8</f>
        <v>262258000</v>
      </c>
      <c r="M19" s="116">
        <f>'A7-CFlow'!L8</f>
        <v>214215000</v>
      </c>
    </row>
    <row r="20" spans="1:13">
      <c r="A20" s="97" t="s">
        <v>643</v>
      </c>
      <c r="B20" s="10"/>
      <c r="C20" s="6"/>
      <c r="D20" s="110"/>
      <c r="E20" s="110"/>
      <c r="F20" s="110"/>
      <c r="G20" s="110"/>
      <c r="H20" s="110"/>
      <c r="I20" s="111"/>
      <c r="J20" s="1044"/>
      <c r="K20" s="112"/>
      <c r="L20" s="110"/>
      <c r="M20" s="116"/>
    </row>
    <row r="21" spans="1:13">
      <c r="A21" s="97" t="s">
        <v>644</v>
      </c>
      <c r="B21" s="10"/>
      <c r="C21" s="6"/>
      <c r="D21" s="113"/>
      <c r="E21" s="113"/>
      <c r="F21" s="113"/>
      <c r="G21" s="113"/>
      <c r="H21" s="113"/>
      <c r="I21" s="114"/>
      <c r="J21" s="1041"/>
      <c r="K21" s="115"/>
      <c r="L21" s="113"/>
      <c r="M21" s="120"/>
    </row>
    <row r="22" spans="1:13">
      <c r="A22" s="69" t="s">
        <v>645</v>
      </c>
      <c r="B22" s="13"/>
      <c r="C22" s="13"/>
      <c r="D22" s="80">
        <f>'A4-FinPerf RE'!C16</f>
        <v>14774353</v>
      </c>
      <c r="E22" s="80">
        <f>'A4-FinPerf RE'!D16</f>
        <v>11520959</v>
      </c>
      <c r="F22" s="80">
        <f>'A4-FinPerf RE'!E16</f>
        <v>7084343</v>
      </c>
      <c r="G22" s="80">
        <f>'A4-FinPerf RE'!F16</f>
        <v>8702000</v>
      </c>
      <c r="H22" s="80">
        <f>'A4-FinPerf RE'!G16</f>
        <v>6702179</v>
      </c>
      <c r="I22" s="81">
        <f>'A4-FinPerf RE'!H16</f>
        <v>6702179</v>
      </c>
      <c r="J22" s="1039">
        <f>'A4-FinPerf RE'!I16</f>
        <v>6702179</v>
      </c>
      <c r="K22" s="82">
        <f>'A4-FinPerf RE'!J16</f>
        <v>6072783</v>
      </c>
      <c r="L22" s="80">
        <f>'A4-FinPerf RE'!K16</f>
        <v>6394640</v>
      </c>
      <c r="M22" s="83">
        <f>'A4-FinPerf RE'!L16</f>
        <v>6746346</v>
      </c>
    </row>
    <row r="23" spans="1:13">
      <c r="A23" s="69" t="s">
        <v>638</v>
      </c>
      <c r="B23" s="13"/>
      <c r="C23" s="13"/>
      <c r="D23" s="80">
        <f>SUM(D24:D26)</f>
        <v>50891164.833333328</v>
      </c>
      <c r="E23" s="80">
        <f t="shared" ref="E23:M23" si="4">SUM(E24:E26)</f>
        <v>21566078</v>
      </c>
      <c r="F23" s="80">
        <f t="shared" si="4"/>
        <v>57075267</v>
      </c>
      <c r="G23" s="80">
        <f t="shared" si="4"/>
        <v>71928003</v>
      </c>
      <c r="H23" s="80">
        <f t="shared" si="4"/>
        <v>42387900</v>
      </c>
      <c r="I23" s="81">
        <f t="shared" si="4"/>
        <v>42387900</v>
      </c>
      <c r="J23" s="1039">
        <f>SUM(J24:J26)</f>
        <v>42387900</v>
      </c>
      <c r="K23" s="82">
        <f t="shared" si="4"/>
        <v>63010384</v>
      </c>
      <c r="L23" s="80">
        <f t="shared" si="4"/>
        <v>66206356</v>
      </c>
      <c r="M23" s="83">
        <f t="shared" si="4"/>
        <v>69684686</v>
      </c>
    </row>
    <row r="24" spans="1:13">
      <c r="A24" s="97" t="s">
        <v>362</v>
      </c>
      <c r="B24" s="10"/>
      <c r="C24" s="6"/>
      <c r="D24" s="107">
        <f>'A7-CFlow'!C9</f>
        <v>29321000</v>
      </c>
      <c r="E24" s="107">
        <f>'A7-CFlow'!D9</f>
        <v>29830501</v>
      </c>
      <c r="F24" s="107">
        <f>'A7-CFlow'!E9</f>
        <v>31749939</v>
      </c>
      <c r="G24" s="107">
        <f>'A7-CFlow'!F9</f>
        <v>36708003</v>
      </c>
      <c r="H24" s="107">
        <f>'A7-CFlow'!G9</f>
        <v>24942214</v>
      </c>
      <c r="I24" s="108">
        <f>'A7-CFlow'!H9</f>
        <v>24942214</v>
      </c>
      <c r="J24" s="1040">
        <f>'A7-CFlow'!I9</f>
        <v>24942214</v>
      </c>
      <c r="K24" s="109">
        <f>'A7-CFlow'!J9</f>
        <v>41822287</v>
      </c>
      <c r="L24" s="107">
        <f>'A7-CFlow'!K9</f>
        <v>44038868</v>
      </c>
      <c r="M24" s="119">
        <f>'A7-CFlow'!L9</f>
        <v>46461006</v>
      </c>
    </row>
    <row r="25" spans="1:13">
      <c r="A25" s="97" t="s">
        <v>639</v>
      </c>
      <c r="B25" s="10"/>
      <c r="C25" s="6"/>
      <c r="D25" s="110">
        <f>'A7-CFlow'!C10</f>
        <v>0</v>
      </c>
      <c r="E25" s="110">
        <f>'A7-CFlow'!D10</f>
        <v>0</v>
      </c>
      <c r="F25" s="110">
        <f>'A7-CFlow'!E10</f>
        <v>0</v>
      </c>
      <c r="G25" s="110">
        <f>'A7-CFlow'!F10</f>
        <v>0</v>
      </c>
      <c r="H25" s="110">
        <f>'A7-CFlow'!G10</f>
        <v>0</v>
      </c>
      <c r="I25" s="111">
        <f>'A7-CFlow'!H10</f>
        <v>0</v>
      </c>
      <c r="J25" s="1044">
        <f>'A7-CFlow'!I10</f>
        <v>0</v>
      </c>
      <c r="K25" s="112">
        <f>'A7-CFlow'!J10</f>
        <v>0</v>
      </c>
      <c r="L25" s="110">
        <f>'A7-CFlow'!K10</f>
        <v>0</v>
      </c>
      <c r="M25" s="116">
        <f>'A7-CFlow'!L10</f>
        <v>0</v>
      </c>
    </row>
    <row r="26" spans="1:13">
      <c r="A26" s="97" t="s">
        <v>640</v>
      </c>
      <c r="B26" s="10"/>
      <c r="C26" s="6"/>
      <c r="D26" s="113">
        <f>'A4-FinPerf RE'!C12+NERF!D74</f>
        <v>21570164.833333328</v>
      </c>
      <c r="E26" s="113">
        <f>'A4-FinPerf RE'!D12+NERF!E74</f>
        <v>-8264423</v>
      </c>
      <c r="F26" s="113">
        <f>'A4-FinPerf RE'!E12+NERF!F74</f>
        <v>25325328</v>
      </c>
      <c r="G26" s="113">
        <f>'A4-FinPerf RE'!F12+NERF!G74</f>
        <v>35220000</v>
      </c>
      <c r="H26" s="113">
        <f>'A4-FinPerf RE'!G12+NERF!H74</f>
        <v>17445686</v>
      </c>
      <c r="I26" s="114">
        <f>'A4-FinPerf RE'!H12+NERF!I74</f>
        <v>17445686</v>
      </c>
      <c r="J26" s="1041">
        <f>'A4-FinPerf RE'!I12+NERF!J74</f>
        <v>17445686</v>
      </c>
      <c r="K26" s="115">
        <f>'A4-FinPerf RE'!J12+NERF!K74</f>
        <v>21188097</v>
      </c>
      <c r="L26" s="113">
        <f>'A4-FinPerf RE'!K12+NERF!L74</f>
        <v>22167488</v>
      </c>
      <c r="M26" s="120">
        <f>'A4-FinPerf RE'!L12+NERF!M74</f>
        <v>23223680</v>
      </c>
    </row>
    <row r="27" spans="1:13">
      <c r="A27" s="69" t="s">
        <v>288</v>
      </c>
      <c r="B27" s="13"/>
      <c r="C27" s="13"/>
      <c r="D27" s="80">
        <f>SUM(D28:D29)</f>
        <v>7239228</v>
      </c>
      <c r="E27" s="80">
        <f t="shared" ref="E27:M27" si="5">SUM(E28:E29)</f>
        <v>0</v>
      </c>
      <c r="F27" s="80">
        <f t="shared" si="5"/>
        <v>0</v>
      </c>
      <c r="G27" s="80">
        <f t="shared" si="5"/>
        <v>0</v>
      </c>
      <c r="H27" s="80">
        <f t="shared" si="5"/>
        <v>0</v>
      </c>
      <c r="I27" s="81">
        <f t="shared" si="5"/>
        <v>0</v>
      </c>
      <c r="J27" s="1039">
        <f>SUM(J28:J29)</f>
        <v>0</v>
      </c>
      <c r="K27" s="82">
        <f t="shared" si="5"/>
        <v>0</v>
      </c>
      <c r="L27" s="80">
        <f t="shared" si="5"/>
        <v>0</v>
      </c>
      <c r="M27" s="83">
        <f t="shared" si="5"/>
        <v>0</v>
      </c>
    </row>
    <row r="28" spans="1:13">
      <c r="A28" s="97" t="s">
        <v>646</v>
      </c>
      <c r="B28" s="10"/>
      <c r="C28" s="6"/>
      <c r="D28" s="107">
        <v>0</v>
      </c>
      <c r="E28" s="107">
        <v>0</v>
      </c>
      <c r="F28" s="107">
        <v>0</v>
      </c>
      <c r="G28" s="107">
        <v>0</v>
      </c>
      <c r="H28" s="107">
        <v>0</v>
      </c>
      <c r="I28" s="108">
        <v>0</v>
      </c>
      <c r="J28" s="1040">
        <v>0</v>
      </c>
      <c r="K28" s="109">
        <v>0</v>
      </c>
      <c r="L28" s="107">
        <v>0</v>
      </c>
      <c r="M28" s="119">
        <v>0</v>
      </c>
    </row>
    <row r="29" spans="1:13">
      <c r="A29" s="97" t="s">
        <v>649</v>
      </c>
      <c r="B29" s="10"/>
      <c r="C29" s="6"/>
      <c r="D29" s="113">
        <f>'A7-CFlow'!C19</f>
        <v>7239228</v>
      </c>
      <c r="E29" s="113">
        <f>'A7-CFlow'!D19</f>
        <v>0</v>
      </c>
      <c r="F29" s="113">
        <f>'A7-CFlow'!E19</f>
        <v>0</v>
      </c>
      <c r="G29" s="113">
        <f>'A7-CFlow'!F19</f>
        <v>0</v>
      </c>
      <c r="H29" s="113">
        <f>'A7-CFlow'!G19</f>
        <v>0</v>
      </c>
      <c r="I29" s="114">
        <f>'A7-CFlow'!H19</f>
        <v>0</v>
      </c>
      <c r="J29" s="1041">
        <f>'A7-CFlow'!I19</f>
        <v>0</v>
      </c>
      <c r="K29" s="115">
        <f>'A7-CFlow'!J19</f>
        <v>0</v>
      </c>
      <c r="L29" s="113">
        <f>'A7-CFlow'!K19</f>
        <v>0</v>
      </c>
      <c r="M29" s="120">
        <f>'A7-CFlow'!L19</f>
        <v>0</v>
      </c>
    </row>
    <row r="30" spans="1:13">
      <c r="A30" s="69" t="s">
        <v>650</v>
      </c>
      <c r="B30" s="13"/>
      <c r="C30" s="13"/>
      <c r="D30" s="80"/>
      <c r="E30" s="80"/>
      <c r="F30" s="80"/>
      <c r="G30" s="80"/>
      <c r="H30" s="80"/>
      <c r="I30" s="81"/>
      <c r="J30" s="1039"/>
      <c r="K30" s="82"/>
      <c r="L30" s="80"/>
      <c r="M30" s="83"/>
    </row>
    <row r="31" spans="1:13">
      <c r="A31" s="8" t="s">
        <v>653</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45" t="e">
        <f t="shared" si="6"/>
        <v>#REF!</v>
      </c>
      <c r="K31" s="94" t="e">
        <f t="shared" si="6"/>
        <v>#REF!</v>
      </c>
      <c r="L31" s="92" t="e">
        <f t="shared" si="6"/>
        <v>#REF!</v>
      </c>
      <c r="M31" s="95" t="e">
        <f t="shared" si="6"/>
        <v>#REF!</v>
      </c>
    </row>
    <row r="32" spans="1:13">
      <c r="A32" s="15" t="s">
        <v>893</v>
      </c>
      <c r="B32" s="13"/>
      <c r="C32" s="13"/>
      <c r="D32" s="80"/>
      <c r="E32" s="80"/>
      <c r="F32" s="80"/>
      <c r="G32" s="80"/>
      <c r="H32" s="80"/>
      <c r="I32" s="81"/>
      <c r="J32" s="1039"/>
      <c r="K32" s="82"/>
      <c r="L32" s="80"/>
      <c r="M32" s="83"/>
    </row>
    <row r="33" spans="1:13">
      <c r="A33" s="69" t="s">
        <v>1742</v>
      </c>
      <c r="B33" s="13"/>
      <c r="C33" s="13"/>
      <c r="D33" s="80"/>
      <c r="E33" s="80"/>
      <c r="F33" s="80"/>
      <c r="G33" s="80"/>
      <c r="H33" s="80"/>
      <c r="I33" s="81"/>
      <c r="J33" s="1039"/>
      <c r="K33" s="82"/>
      <c r="L33" s="80"/>
      <c r="M33" s="83"/>
    </row>
    <row r="34" spans="1:13">
      <c r="A34" s="99" t="s">
        <v>636</v>
      </c>
      <c r="B34" s="13"/>
      <c r="C34" s="13"/>
      <c r="D34" s="101">
        <f>SUM(D35:D36)</f>
        <v>500859237</v>
      </c>
      <c r="E34" s="101">
        <f t="shared" ref="E34:M34" si="7">SUM(E35:E36)</f>
        <v>521274564</v>
      </c>
      <c r="F34" s="101">
        <f t="shared" si="7"/>
        <v>660086556</v>
      </c>
      <c r="G34" s="101">
        <f t="shared" si="7"/>
        <v>598014000</v>
      </c>
      <c r="H34" s="101">
        <f t="shared" si="7"/>
        <v>637530471</v>
      </c>
      <c r="I34" s="102">
        <f t="shared" si="7"/>
        <v>637530471</v>
      </c>
      <c r="J34" s="1046">
        <f>SUM(J35:J36)</f>
        <v>637530471</v>
      </c>
      <c r="K34" s="103">
        <f t="shared" si="7"/>
        <v>657095980</v>
      </c>
      <c r="L34" s="101">
        <f t="shared" si="7"/>
        <v>739478438</v>
      </c>
      <c r="M34" s="117">
        <f t="shared" si="7"/>
        <v>790949818</v>
      </c>
    </row>
    <row r="35" spans="1:13">
      <c r="A35" s="71" t="s">
        <v>277</v>
      </c>
      <c r="B35" s="13"/>
      <c r="C35" s="13"/>
      <c r="D35" s="84">
        <f>'SA1'!C50-'SA1'!C40</f>
        <v>418709590</v>
      </c>
      <c r="E35" s="84">
        <f>'SA1'!D50-'SA1'!D40</f>
        <v>433134920</v>
      </c>
      <c r="F35" s="84">
        <f>'SA1'!E50-'SA1'!E40</f>
        <v>524567344</v>
      </c>
      <c r="G35" s="84">
        <f>'SA1'!F50-'SA1'!F40</f>
        <v>482140000</v>
      </c>
      <c r="H35" s="84">
        <f>'SA1'!G50-'SA1'!G40</f>
        <v>520805554</v>
      </c>
      <c r="I35" s="85">
        <f>'SA1'!H50-'SA1'!H40</f>
        <v>520805554</v>
      </c>
      <c r="J35" s="1042">
        <f>'SA1'!I50-'SA1'!I40</f>
        <v>520805554</v>
      </c>
      <c r="K35" s="86">
        <f>'SA1'!J50-'SA1'!J40</f>
        <v>528724529</v>
      </c>
      <c r="L35" s="84">
        <f>'SA1'!K50-'SA1'!K40</f>
        <v>602120985</v>
      </c>
      <c r="M35" s="87">
        <f>'SA1'!L50-'SA1'!L40</f>
        <v>643977344</v>
      </c>
    </row>
    <row r="36" spans="1:13">
      <c r="A36" s="71" t="s">
        <v>278</v>
      </c>
      <c r="B36" s="13"/>
      <c r="C36" s="13"/>
      <c r="D36" s="88">
        <f>'SA1'!C40</f>
        <v>82149647</v>
      </c>
      <c r="E36" s="88">
        <f>'SA1'!D40</f>
        <v>88139644</v>
      </c>
      <c r="F36" s="88">
        <f>'SA1'!E40</f>
        <v>135519212</v>
      </c>
      <c r="G36" s="88">
        <f>'SA1'!F40</f>
        <v>115874000</v>
      </c>
      <c r="H36" s="88">
        <f>'SA1'!G40</f>
        <v>116724917</v>
      </c>
      <c r="I36" s="89">
        <f>'SA1'!H40</f>
        <v>116724917</v>
      </c>
      <c r="J36" s="1043">
        <f>'SA1'!I40</f>
        <v>116724917</v>
      </c>
      <c r="K36" s="90">
        <f>'SA1'!J40</f>
        <v>128371451</v>
      </c>
      <c r="L36" s="88">
        <f>'SA1'!K40</f>
        <v>137357453</v>
      </c>
      <c r="M36" s="91">
        <f>'SA1'!L40</f>
        <v>146972474</v>
      </c>
    </row>
    <row r="37" spans="1:13">
      <c r="A37" s="99" t="s">
        <v>637</v>
      </c>
      <c r="B37" s="13"/>
      <c r="C37" s="13"/>
      <c r="D37" s="80" t="e">
        <f>SUM(D38:D42)</f>
        <v>#REF!</v>
      </c>
      <c r="E37" s="80" t="e">
        <f t="shared" ref="E37:M37" si="8">SUM(E38:E42)</f>
        <v>#REF!</v>
      </c>
      <c r="F37" s="80" t="e">
        <f t="shared" si="8"/>
        <v>#REF!</v>
      </c>
      <c r="G37" s="80" t="e">
        <f t="shared" si="8"/>
        <v>#REF!</v>
      </c>
      <c r="H37" s="80" t="e">
        <f t="shared" si="8"/>
        <v>#REF!</v>
      </c>
      <c r="I37" s="81" t="e">
        <f t="shared" si="8"/>
        <v>#REF!</v>
      </c>
      <c r="J37" s="1039" t="e">
        <f>SUM(J38:J42)</f>
        <v>#REF!</v>
      </c>
      <c r="K37" s="82" t="e">
        <f t="shared" si="8"/>
        <v>#REF!</v>
      </c>
      <c r="L37" s="80" t="e">
        <f t="shared" si="8"/>
        <v>#REF!</v>
      </c>
      <c r="M37" s="83" t="e">
        <f t="shared" si="8"/>
        <v>#REF!</v>
      </c>
    </row>
    <row r="38" spans="1:13">
      <c r="A38" s="98" t="str">
        <f>'A4-FinPerf RE'!A30</f>
        <v>Bulk purchases</v>
      </c>
      <c r="B38" s="13"/>
      <c r="C38" s="13"/>
      <c r="D38" s="84">
        <f>'A4-FinPerf RE'!C30</f>
        <v>515449656</v>
      </c>
      <c r="E38" s="84">
        <f>'A4-FinPerf RE'!D30</f>
        <v>598699231</v>
      </c>
      <c r="F38" s="84">
        <f>'A4-FinPerf RE'!E30</f>
        <v>804979363</v>
      </c>
      <c r="G38" s="84">
        <f>'A4-FinPerf RE'!F30</f>
        <v>891254044</v>
      </c>
      <c r="H38" s="84">
        <f>'A4-FinPerf RE'!G30</f>
        <v>1002983616</v>
      </c>
      <c r="I38" s="85">
        <f>'A4-FinPerf RE'!H30</f>
        <v>1002983616</v>
      </c>
      <c r="J38" s="1042">
        <f>'A4-FinPerf RE'!I30</f>
        <v>1002983616</v>
      </c>
      <c r="K38" s="86">
        <f>'A4-FinPerf RE'!J30</f>
        <v>1243499897</v>
      </c>
      <c r="L38" s="84">
        <f>'A4-FinPerf RE'!K30</f>
        <v>1309405392.1859999</v>
      </c>
      <c r="M38" s="87">
        <f>'A4-FinPerf RE'!L30</f>
        <v>1381422688.3612299</v>
      </c>
    </row>
    <row r="39" spans="1:13">
      <c r="A39" s="98" t="s">
        <v>1666</v>
      </c>
      <c r="B39" s="13"/>
      <c r="C39" s="13"/>
      <c r="D39" s="76">
        <v>0</v>
      </c>
      <c r="E39" s="76">
        <v>0</v>
      </c>
      <c r="F39" s="76">
        <v>0</v>
      </c>
      <c r="G39" s="76">
        <v>0</v>
      </c>
      <c r="H39" s="76">
        <v>0</v>
      </c>
      <c r="I39" s="77">
        <v>0</v>
      </c>
      <c r="J39" s="1038">
        <v>0</v>
      </c>
      <c r="K39" s="78">
        <v>0</v>
      </c>
      <c r="L39" s="76">
        <v>0</v>
      </c>
      <c r="M39" s="79">
        <v>0</v>
      </c>
    </row>
    <row r="40" spans="1:13">
      <c r="A40" s="98" t="str">
        <f>'A4-FinPerf RE'!A32</f>
        <v>Contracted services</v>
      </c>
      <c r="B40" s="13"/>
      <c r="C40" s="13"/>
      <c r="D40" s="76">
        <f>'A4-FinPerf RE'!C32</f>
        <v>12264640</v>
      </c>
      <c r="E40" s="76">
        <f>'A4-FinPerf RE'!D32</f>
        <v>10888920</v>
      </c>
      <c r="F40" s="76">
        <f>'A4-FinPerf RE'!E32</f>
        <v>14690414</v>
      </c>
      <c r="G40" s="76">
        <f>'A4-FinPerf RE'!F32</f>
        <v>10009000</v>
      </c>
      <c r="H40" s="76">
        <f>'A4-FinPerf RE'!G32</f>
        <v>8550000</v>
      </c>
      <c r="I40" s="77">
        <f>'A4-FinPerf RE'!H32</f>
        <v>8550000</v>
      </c>
      <c r="J40" s="1038">
        <f>'A4-FinPerf RE'!I32</f>
        <v>8550000</v>
      </c>
      <c r="K40" s="78">
        <f>'A4-FinPerf RE'!J32</f>
        <v>16050000</v>
      </c>
      <c r="L40" s="76">
        <f>'A4-FinPerf RE'!K32</f>
        <v>5377119</v>
      </c>
      <c r="M40" s="79">
        <f>'A4-FinPerf RE'!L32</f>
        <v>5635221</v>
      </c>
    </row>
    <row r="41" spans="1:13">
      <c r="A41" s="98" t="s">
        <v>425</v>
      </c>
      <c r="B41" s="13"/>
      <c r="C41" s="13"/>
      <c r="D41" s="76" t="e">
        <f>'SA1'!#REF!</f>
        <v>#REF!</v>
      </c>
      <c r="E41" s="76" t="e">
        <f>'SA1'!#REF!</f>
        <v>#REF!</v>
      </c>
      <c r="F41" s="76" t="e">
        <f>'SA1'!#REF!</f>
        <v>#REF!</v>
      </c>
      <c r="G41" s="76" t="e">
        <f>'SA1'!#REF!</f>
        <v>#REF!</v>
      </c>
      <c r="H41" s="76" t="e">
        <f>'SA1'!#REF!</f>
        <v>#REF!</v>
      </c>
      <c r="I41" s="77" t="e">
        <f>'SA1'!#REF!</f>
        <v>#REF!</v>
      </c>
      <c r="J41" s="1038" t="e">
        <f>'SA1'!#REF!</f>
        <v>#REF!</v>
      </c>
      <c r="K41" s="78" t="e">
        <f>'SA1'!#REF!</f>
        <v>#REF!</v>
      </c>
      <c r="L41" s="76" t="e">
        <f>'SA1'!#REF!</f>
        <v>#REF!</v>
      </c>
      <c r="M41" s="79" t="e">
        <f>'SA1'!#REF!</f>
        <v>#REF!</v>
      </c>
    </row>
    <row r="42" spans="1:13">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43"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c r="A43" s="99" t="s">
        <v>638</v>
      </c>
      <c r="B43" s="13"/>
      <c r="C43" s="13"/>
      <c r="D43" s="104">
        <f>SUM(D44:D46)</f>
        <v>55030233</v>
      </c>
      <c r="E43" s="104">
        <f t="shared" ref="E43:M43" si="9">SUM(E44:E46)</f>
        <v>80593486</v>
      </c>
      <c r="F43" s="104">
        <f t="shared" si="9"/>
        <v>73753994</v>
      </c>
      <c r="G43" s="104">
        <f t="shared" si="9"/>
        <v>69096888</v>
      </c>
      <c r="H43" s="104">
        <f t="shared" si="9"/>
        <v>68948580</v>
      </c>
      <c r="I43" s="105">
        <f t="shared" si="9"/>
        <v>68948580</v>
      </c>
      <c r="J43" s="1047">
        <f>SUM(J44:J46)</f>
        <v>68948580</v>
      </c>
      <c r="K43" s="106">
        <f t="shared" si="9"/>
        <v>57747139</v>
      </c>
      <c r="L43" s="104">
        <f t="shared" si="9"/>
        <v>60807737</v>
      </c>
      <c r="M43" s="118">
        <f t="shared" si="9"/>
        <v>64152163</v>
      </c>
    </row>
    <row r="44" spans="1:13">
      <c r="A44" s="71" t="s">
        <v>362</v>
      </c>
      <c r="B44" s="13"/>
      <c r="C44" s="13"/>
      <c r="D44" s="84">
        <f>-'A7-CFlow'!C13</f>
        <v>55030233</v>
      </c>
      <c r="E44" s="84">
        <f>-'A7-CFlow'!D13</f>
        <v>80593486</v>
      </c>
      <c r="F44" s="84">
        <f>-'A7-CFlow'!E13</f>
        <v>73753994</v>
      </c>
      <c r="G44" s="84">
        <f>-'A7-CFlow'!F13</f>
        <v>69096888</v>
      </c>
      <c r="H44" s="84">
        <f>-'A7-CFlow'!G13</f>
        <v>68948580</v>
      </c>
      <c r="I44" s="85">
        <f>-'A7-CFlow'!H13</f>
        <v>68948580</v>
      </c>
      <c r="J44" s="1042">
        <f>-'A7-CFlow'!I13</f>
        <v>68948580</v>
      </c>
      <c r="K44" s="86">
        <f>-'A7-CFlow'!J13</f>
        <v>57747139</v>
      </c>
      <c r="L44" s="84">
        <f>-'A7-CFlow'!K13</f>
        <v>60807737</v>
      </c>
      <c r="M44" s="87">
        <f>-'A7-CFlow'!L13</f>
        <v>64152163</v>
      </c>
    </row>
    <row r="45" spans="1:13">
      <c r="A45" s="71" t="s">
        <v>639</v>
      </c>
      <c r="B45" s="13"/>
      <c r="C45" s="13"/>
      <c r="D45" s="76">
        <v>0</v>
      </c>
      <c r="E45" s="76">
        <v>0</v>
      </c>
      <c r="F45" s="76">
        <v>0</v>
      </c>
      <c r="G45" s="76">
        <v>0</v>
      </c>
      <c r="H45" s="76">
        <v>0</v>
      </c>
      <c r="I45" s="77">
        <v>0</v>
      </c>
      <c r="J45" s="1038">
        <v>0</v>
      </c>
      <c r="K45" s="78">
        <v>0</v>
      </c>
      <c r="L45" s="76">
        <v>0</v>
      </c>
      <c r="M45" s="79">
        <v>0</v>
      </c>
    </row>
    <row r="46" spans="1:13">
      <c r="A46" s="71" t="s">
        <v>640</v>
      </c>
      <c r="B46" s="13"/>
      <c r="C46" s="13"/>
      <c r="D46" s="88">
        <v>0</v>
      </c>
      <c r="E46" s="88">
        <v>0</v>
      </c>
      <c r="F46" s="88">
        <v>0</v>
      </c>
      <c r="G46" s="88">
        <v>0</v>
      </c>
      <c r="H46" s="88">
        <v>0</v>
      </c>
      <c r="I46" s="89">
        <v>0</v>
      </c>
      <c r="J46" s="1043">
        <v>0</v>
      </c>
      <c r="K46" s="90">
        <v>0</v>
      </c>
      <c r="L46" s="88">
        <v>0</v>
      </c>
      <c r="M46" s="91">
        <v>0</v>
      </c>
    </row>
    <row r="47" spans="1:13">
      <c r="A47" s="99" t="str">
        <f>A30</f>
        <v>Financial transactions in assets and liabilities</v>
      </c>
      <c r="B47" s="13"/>
      <c r="C47" s="13"/>
      <c r="D47" s="76">
        <v>0</v>
      </c>
      <c r="E47" s="76">
        <v>0</v>
      </c>
      <c r="F47" s="76">
        <v>0</v>
      </c>
      <c r="G47" s="76">
        <v>0</v>
      </c>
      <c r="H47" s="76">
        <v>0</v>
      </c>
      <c r="I47" s="77">
        <v>0</v>
      </c>
      <c r="J47" s="1038">
        <v>0</v>
      </c>
      <c r="K47" s="78">
        <v>0</v>
      </c>
      <c r="L47" s="76">
        <v>0</v>
      </c>
      <c r="M47" s="79">
        <v>0</v>
      </c>
    </row>
    <row r="48" spans="1:13">
      <c r="A48" s="99" t="s">
        <v>279</v>
      </c>
      <c r="B48" s="13"/>
      <c r="C48" s="13"/>
      <c r="D48" s="76">
        <v>0</v>
      </c>
      <c r="E48" s="76">
        <v>0</v>
      </c>
      <c r="F48" s="76">
        <v>0</v>
      </c>
      <c r="G48" s="76">
        <v>0</v>
      </c>
      <c r="H48" s="76">
        <v>0</v>
      </c>
      <c r="I48" s="77">
        <v>0</v>
      </c>
      <c r="J48" s="1038">
        <v>0</v>
      </c>
      <c r="K48" s="78">
        <v>0</v>
      </c>
      <c r="L48" s="76">
        <v>0</v>
      </c>
      <c r="M48" s="79">
        <v>0</v>
      </c>
    </row>
    <row r="49" spans="1:13">
      <c r="A49" s="69" t="s">
        <v>641</v>
      </c>
      <c r="B49" s="13"/>
      <c r="C49" s="13"/>
      <c r="D49" s="80">
        <f>SUM(D50:D52)</f>
        <v>59509135</v>
      </c>
      <c r="E49" s="80">
        <f t="shared" ref="E49:M49" si="10">SUM(E50:E52)</f>
        <v>84854846</v>
      </c>
      <c r="F49" s="80">
        <f t="shared" si="10"/>
        <v>71326155</v>
      </c>
      <c r="G49" s="80">
        <f t="shared" si="10"/>
        <v>267068936.48000002</v>
      </c>
      <c r="H49" s="80">
        <f t="shared" si="10"/>
        <v>271368936.48000002</v>
      </c>
      <c r="I49" s="81">
        <f t="shared" si="10"/>
        <v>271368936.48000002</v>
      </c>
      <c r="J49" s="1039">
        <f>SUM(J50:J52)</f>
        <v>309134902</v>
      </c>
      <c r="K49" s="82">
        <f t="shared" si="10"/>
        <v>309334902</v>
      </c>
      <c r="L49" s="80">
        <f t="shared" si="10"/>
        <v>343720000</v>
      </c>
      <c r="M49" s="83">
        <f t="shared" si="10"/>
        <v>366351368</v>
      </c>
    </row>
    <row r="50" spans="1:13">
      <c r="A50" s="97" t="s">
        <v>280</v>
      </c>
      <c r="B50" s="13"/>
      <c r="C50" s="13"/>
      <c r="D50" s="84">
        <f>-'A7-CFlow'!C14</f>
        <v>0</v>
      </c>
      <c r="E50" s="84">
        <f>-'A7-CFlow'!D14</f>
        <v>0</v>
      </c>
      <c r="F50" s="84">
        <f>-'A7-CFlow'!E14</f>
        <v>0</v>
      </c>
      <c r="G50" s="84">
        <f>-'A7-CFlow'!F14</f>
        <v>0</v>
      </c>
      <c r="H50" s="84">
        <f>-'A7-CFlow'!G14</f>
        <v>4300000</v>
      </c>
      <c r="I50" s="85">
        <f>-'A7-CFlow'!H14</f>
        <v>4300000</v>
      </c>
      <c r="J50" s="1042">
        <f>-'A7-CFlow'!I14</f>
        <v>4300000</v>
      </c>
      <c r="K50" s="86">
        <f>-'A7-CFlow'!J14</f>
        <v>4500000</v>
      </c>
      <c r="L50" s="84">
        <f>-'A7-CFlow'!K14</f>
        <v>4716000</v>
      </c>
      <c r="M50" s="87">
        <f>-'A7-CFlow'!L14</f>
        <v>4942368</v>
      </c>
    </row>
    <row r="51" spans="1:13">
      <c r="A51" s="70" t="str">
        <f>A21</f>
        <v>Public corporations and private enterprises</v>
      </c>
      <c r="B51" s="13"/>
      <c r="C51" s="13"/>
      <c r="D51" s="76">
        <v>0</v>
      </c>
      <c r="E51" s="76">
        <v>0</v>
      </c>
      <c r="F51" s="76">
        <v>0</v>
      </c>
      <c r="G51" s="76">
        <v>0</v>
      </c>
      <c r="H51" s="76">
        <v>0</v>
      </c>
      <c r="I51" s="77">
        <v>0</v>
      </c>
      <c r="J51" s="1038">
        <v>0</v>
      </c>
      <c r="K51" s="78">
        <v>0</v>
      </c>
      <c r="L51" s="76">
        <v>0</v>
      </c>
      <c r="M51" s="79">
        <v>0</v>
      </c>
    </row>
    <row r="52" spans="1:13">
      <c r="A52" s="70" t="s">
        <v>281</v>
      </c>
      <c r="B52" s="13"/>
      <c r="C52" s="13"/>
      <c r="D52" s="88">
        <f>'A10-SerDel'!C78</f>
        <v>59509135</v>
      </c>
      <c r="E52" s="88">
        <f>'A10-SerDel'!D78</f>
        <v>84854846</v>
      </c>
      <c r="F52" s="88">
        <f>'A10-SerDel'!E78</f>
        <v>71326155</v>
      </c>
      <c r="G52" s="88">
        <f>'A10-SerDel'!F78</f>
        <v>267068936.48000002</v>
      </c>
      <c r="H52" s="88">
        <f>'A10-SerDel'!G78</f>
        <v>267068936.48000002</v>
      </c>
      <c r="I52" s="89">
        <f>'A10-SerDel'!H78</f>
        <v>267068936.48000002</v>
      </c>
      <c r="J52" s="1043">
        <f>'A10-SerDel'!I78</f>
        <v>304834902</v>
      </c>
      <c r="K52" s="90">
        <f>'A10-SerDel'!I78</f>
        <v>304834902</v>
      </c>
      <c r="L52" s="88">
        <f>'A10-SerDel'!J78</f>
        <v>339004000</v>
      </c>
      <c r="M52" s="91">
        <f>'A10-SerDel'!K78</f>
        <v>361409000</v>
      </c>
    </row>
    <row r="53" spans="1:13">
      <c r="A53" s="69" t="s">
        <v>282</v>
      </c>
      <c r="B53" s="13"/>
      <c r="C53" s="13"/>
      <c r="D53" s="80">
        <f>SUM(D54:D57)</f>
        <v>196495704</v>
      </c>
      <c r="E53" s="80">
        <f t="shared" ref="E53:M53" si="11">SUM(E54:E57)</f>
        <v>180115152</v>
      </c>
      <c r="F53" s="80">
        <f t="shared" si="11"/>
        <v>327343282</v>
      </c>
      <c r="G53" s="80">
        <f t="shared" si="11"/>
        <v>295937266</v>
      </c>
      <c r="H53" s="80">
        <f t="shared" si="11"/>
        <v>0</v>
      </c>
      <c r="I53" s="81">
        <f t="shared" si="11"/>
        <v>0</v>
      </c>
      <c r="J53" s="1039">
        <f>SUM(J54:J57)</f>
        <v>0</v>
      </c>
      <c r="K53" s="82">
        <f t="shared" si="11"/>
        <v>411313300</v>
      </c>
      <c r="L53" s="80">
        <f t="shared" si="11"/>
        <v>310819300</v>
      </c>
      <c r="M53" s="83">
        <f t="shared" si="11"/>
        <v>214215000</v>
      </c>
    </row>
    <row r="54" spans="1:13">
      <c r="A54" s="70" t="s">
        <v>287</v>
      </c>
      <c r="B54" s="13"/>
      <c r="C54" s="13"/>
      <c r="D54" s="84">
        <f>-'A7-CFlow'!C24-NERF!D55-NERF!D56-NERF!D57</f>
        <v>176978704</v>
      </c>
      <c r="E54" s="84">
        <f>-'A7-CFlow'!D24-NERF!E55-NERF!E56-NERF!E57</f>
        <v>175781152</v>
      </c>
      <c r="F54" s="84">
        <f>-'A7-CFlow'!E24-NERF!F55-NERF!F56-NERF!F57</f>
        <v>320354567</v>
      </c>
      <c r="G54" s="84">
        <f>-'A7-CFlow'!F24-NERF!G55-NERF!G56-NERF!G57</f>
        <v>282327266</v>
      </c>
      <c r="H54" s="84">
        <f>-'A7-CFlow'!G24-NERF!H55-NERF!H56-NERF!H57</f>
        <v>-26657000</v>
      </c>
      <c r="I54" s="85">
        <f>-'A7-CFlow'!H24-NERF!I55-NERF!I56-NERF!I57</f>
        <v>-26657000</v>
      </c>
      <c r="J54" s="1042">
        <f>-'A7-CFlow'!I24-NERF!J55-NERF!J56-NERF!J57</f>
        <v>-19500000</v>
      </c>
      <c r="K54" s="86">
        <f>-'A7-CFlow'!J24-NERF!K55-NERF!K56-NERF!K57</f>
        <v>391813300</v>
      </c>
      <c r="L54" s="84">
        <f>-'A7-CFlow'!K24-NERF!L55-NERF!L56-NERF!L57</f>
        <v>306319300</v>
      </c>
      <c r="M54" s="87">
        <f>-'A7-CFlow'!L24-NERF!M55-NERF!M56-NERF!M57</f>
        <v>214215000</v>
      </c>
    </row>
    <row r="55" spans="1:13">
      <c r="A55" s="70" t="s">
        <v>283</v>
      </c>
      <c r="B55" s="13"/>
      <c r="C55" s="13"/>
      <c r="D55" s="76">
        <f>SA34a!C52+SA34a!C54+SA34a!C55+SA34a!C56</f>
        <v>19315000</v>
      </c>
      <c r="E55" s="76">
        <f>SA34a!D52+SA34a!D54+SA34a!D55+SA34a!D56</f>
        <v>4334000</v>
      </c>
      <c r="F55" s="76">
        <f>SA34a!E52+SA34a!E54+SA34a!E55+SA34a!E56</f>
        <v>6988715</v>
      </c>
      <c r="G55" s="76">
        <f>SA34a!F52+SA34a!F54+SA34a!F55+SA34a!F56</f>
        <v>13610000</v>
      </c>
      <c r="H55" s="76">
        <f>SA34a!G52+SA34a!G54+SA34a!G55+SA34a!G56</f>
        <v>26657000</v>
      </c>
      <c r="I55" s="77">
        <f>SA34a!H52+SA34a!H54+SA34a!H55+SA34a!H56</f>
        <v>26657000</v>
      </c>
      <c r="J55" s="1038">
        <f>SA34a!I52+SA34a!I54+SA34a!I55+SA34a!I56</f>
        <v>19500000</v>
      </c>
      <c r="K55" s="78">
        <f>SA34a!I52+SA34a!I54+SA34a!I55+SA34a!I56</f>
        <v>19500000</v>
      </c>
      <c r="L55" s="76">
        <f>SA34a!J52+SA34a!J54+SA34a!J55+SA34a!J56</f>
        <v>4500000</v>
      </c>
      <c r="M55" s="79">
        <f>SA34a!K52+SA34a!K54+SA34a!K55+SA34a!K56</f>
        <v>0</v>
      </c>
    </row>
    <row r="56" spans="1:13">
      <c r="A56" s="70" t="s">
        <v>284</v>
      </c>
      <c r="B56" s="13"/>
      <c r="C56" s="13"/>
      <c r="D56" s="76">
        <f>'A9-Asset'!C48</f>
        <v>0</v>
      </c>
      <c r="E56" s="76">
        <f>'A9-Asset'!D48</f>
        <v>0</v>
      </c>
      <c r="F56" s="76">
        <f>'A9-Asset'!E48</f>
        <v>0</v>
      </c>
      <c r="G56" s="76">
        <f>'A9-Asset'!F48</f>
        <v>0</v>
      </c>
      <c r="H56" s="76">
        <f>'A9-Asset'!G48</f>
        <v>0</v>
      </c>
      <c r="I56" s="77">
        <f>'A9-Asset'!H48</f>
        <v>0</v>
      </c>
      <c r="J56" s="1038">
        <f>'A9-Asset'!I48</f>
        <v>0</v>
      </c>
      <c r="K56" s="78">
        <f>'A9-Asset'!I48</f>
        <v>0</v>
      </c>
      <c r="L56" s="76">
        <f>'A9-Asset'!J48</f>
        <v>0</v>
      </c>
      <c r="M56" s="79">
        <f>'A9-Asset'!K48</f>
        <v>0</v>
      </c>
    </row>
    <row r="57" spans="1:13">
      <c r="A57" s="70" t="s">
        <v>646</v>
      </c>
      <c r="B57" s="13"/>
      <c r="C57" s="13"/>
      <c r="D57" s="76">
        <f>SA34a!C61</f>
        <v>202000</v>
      </c>
      <c r="E57" s="76">
        <f>SA34a!D61</f>
        <v>0</v>
      </c>
      <c r="F57" s="76">
        <f>SA34a!E61</f>
        <v>0</v>
      </c>
      <c r="G57" s="76">
        <f>SA34a!F61</f>
        <v>0</v>
      </c>
      <c r="H57" s="76">
        <f>SA34a!G61</f>
        <v>0</v>
      </c>
      <c r="I57" s="77">
        <f>SA34a!H61</f>
        <v>0</v>
      </c>
      <c r="J57" s="1038">
        <f>SA34a!I61</f>
        <v>0</v>
      </c>
      <c r="K57" s="78">
        <f>SA34a!I61</f>
        <v>0</v>
      </c>
      <c r="L57" s="76">
        <f>SA34a!J61</f>
        <v>0</v>
      </c>
      <c r="M57" s="79">
        <f>SA34a!K61</f>
        <v>0</v>
      </c>
    </row>
    <row r="58" spans="1:13">
      <c r="A58" s="8" t="s">
        <v>274</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45" t="e">
        <f>SUM(J34,J37,J43,J47,J48,J49,J53)</f>
        <v>#REF!</v>
      </c>
      <c r="K58" s="94" t="e">
        <f t="shared" si="12"/>
        <v>#REF!</v>
      </c>
      <c r="L58" s="92" t="e">
        <f t="shared" si="12"/>
        <v>#REF!</v>
      </c>
      <c r="M58" s="95" t="e">
        <f t="shared" si="12"/>
        <v>#REF!</v>
      </c>
    </row>
    <row r="59" spans="1:13">
      <c r="A59" s="15" t="s">
        <v>285</v>
      </c>
      <c r="B59" s="13"/>
      <c r="C59" s="13"/>
      <c r="D59" s="80" t="e">
        <f>D31-D58</f>
        <v>#REF!</v>
      </c>
      <c r="E59" s="80" t="e">
        <f t="shared" ref="E59:M59" si="13">E31-E58</f>
        <v>#REF!</v>
      </c>
      <c r="F59" s="80" t="e">
        <f t="shared" si="13"/>
        <v>#REF!</v>
      </c>
      <c r="G59" s="80" t="e">
        <f t="shared" si="13"/>
        <v>#REF!</v>
      </c>
      <c r="H59" s="80" t="e">
        <f t="shared" si="13"/>
        <v>#REF!</v>
      </c>
      <c r="I59" s="81" t="e">
        <f t="shared" si="13"/>
        <v>#REF!</v>
      </c>
      <c r="J59" s="1039" t="e">
        <f t="shared" si="13"/>
        <v>#REF!</v>
      </c>
      <c r="K59" s="82" t="e">
        <f t="shared" si="13"/>
        <v>#REF!</v>
      </c>
      <c r="L59" s="80" t="e">
        <f t="shared" si="13"/>
        <v>#REF!</v>
      </c>
      <c r="M59" s="83" t="e">
        <f t="shared" si="13"/>
        <v>#REF!</v>
      </c>
    </row>
    <row r="60" spans="1:13">
      <c r="A60" s="69" t="s">
        <v>1571</v>
      </c>
      <c r="B60" s="13"/>
      <c r="C60" s="13"/>
      <c r="D60" s="80"/>
      <c r="E60" s="80"/>
      <c r="F60" s="80"/>
      <c r="G60" s="80"/>
      <c r="H60" s="80"/>
      <c r="I60" s="81"/>
      <c r="J60" s="1039"/>
      <c r="K60" s="82"/>
      <c r="L60" s="80"/>
      <c r="M60" s="83"/>
    </row>
    <row r="61" spans="1:13">
      <c r="A61" s="97" t="str">
        <f>'A7-CFlow'!A30</f>
        <v>Borrowing long term/refinancing</v>
      </c>
      <c r="B61" s="13"/>
      <c r="C61" s="13"/>
      <c r="D61" s="110">
        <f>SUM('A7-CFlow'!C29,'A7-CFlow'!C30)</f>
        <v>90000000</v>
      </c>
      <c r="E61" s="110">
        <f>SUM('A7-CFlow'!D29,'A7-CFlow'!D30)</f>
        <v>120000000</v>
      </c>
      <c r="F61" s="110">
        <f>SUM('A7-CFlow'!E29,'A7-CFlow'!E30)</f>
        <v>201427600</v>
      </c>
      <c r="G61" s="110">
        <f>SUM('A7-CFlow'!F29,'A7-CFlow'!F30)</f>
        <v>158155000</v>
      </c>
      <c r="H61" s="110">
        <f>SUM('A7-CFlow'!G29,'A7-CFlow'!G30)</f>
        <v>226524000</v>
      </c>
      <c r="I61" s="111">
        <f>SUM('A7-CFlow'!H29,'A7-CFlow'!H30)</f>
        <v>226524000</v>
      </c>
      <c r="J61" s="1044">
        <f>SUM('A7-CFlow'!I29,'A7-CFlow'!I30)</f>
        <v>226524000</v>
      </c>
      <c r="K61" s="112">
        <f>SUM('A7-CFlow'!J29,'A7-CFlow'!J30)</f>
        <v>181219200</v>
      </c>
      <c r="L61" s="110">
        <f>SUM('A7-CFlow'!K29,'A7-CFlow'!K30)</f>
        <v>144975360</v>
      </c>
      <c r="M61" s="116">
        <f>SUM('A7-CFlow'!L29,'A7-CFlow'!L30)</f>
        <v>115980288</v>
      </c>
    </row>
    <row r="62" spans="1:13">
      <c r="A62" s="70" t="s">
        <v>1651</v>
      </c>
      <c r="B62" s="13"/>
      <c r="C62" s="13"/>
      <c r="D62" s="110">
        <f>'A7-CFlow'!C31</f>
        <v>7585443</v>
      </c>
      <c r="E62" s="110">
        <f>'A7-CFlow'!D31</f>
        <v>12373397</v>
      </c>
      <c r="F62" s="110">
        <f>'A7-CFlow'!E31</f>
        <v>2460780</v>
      </c>
      <c r="G62" s="110">
        <f>'A7-CFlow'!F31</f>
        <v>1991435</v>
      </c>
      <c r="H62" s="110">
        <f>'A7-CFlow'!G31</f>
        <v>6915597</v>
      </c>
      <c r="I62" s="111">
        <f>'A7-CFlow'!H31</f>
        <v>6915597</v>
      </c>
      <c r="J62" s="1044">
        <f>'A7-CFlow'!I31</f>
        <v>6915597</v>
      </c>
      <c r="K62" s="112">
        <f>'A7-CFlow'!J31</f>
        <v>5500000</v>
      </c>
      <c r="L62" s="110">
        <f>'A7-CFlow'!K31</f>
        <v>5775000</v>
      </c>
      <c r="M62" s="116">
        <f>'A7-CFlow'!L31</f>
        <v>6063750</v>
      </c>
    </row>
    <row r="63" spans="1:13">
      <c r="A63" s="70" t="s">
        <v>1075</v>
      </c>
      <c r="B63" s="13"/>
      <c r="C63" s="13"/>
      <c r="D63" s="110">
        <f>IF('A7-CFlow'!C22&gt;0,'A7-CFlow'!C22,0)</f>
        <v>163061</v>
      </c>
      <c r="E63" s="110">
        <f>IF('A7-CFlow'!D22&gt;0,'A7-CFlow'!D22,0)</f>
        <v>0</v>
      </c>
      <c r="F63" s="110">
        <f>IF('A7-CFlow'!E22&gt;0,'A7-CFlow'!E22,0)</f>
        <v>0</v>
      </c>
      <c r="G63" s="110">
        <f>IF('A7-CFlow'!F22&gt;0,'A7-CFlow'!F22,0)</f>
        <v>0</v>
      </c>
      <c r="H63" s="110">
        <f>IF('A7-CFlow'!G22&gt;0,'A7-CFlow'!G22,0)</f>
        <v>0</v>
      </c>
      <c r="I63" s="111">
        <f>IF('A7-CFlow'!H22&gt;0,'A7-CFlow'!H22,0)</f>
        <v>0</v>
      </c>
      <c r="J63" s="1044">
        <f>IF('A7-CFlow'!I22&gt;0,'A7-CFlow'!I22,0)</f>
        <v>0</v>
      </c>
      <c r="K63" s="112">
        <f>IF('A7-CFlow'!J22&gt;0,'A7-CFlow'!J22,0)</f>
        <v>0</v>
      </c>
      <c r="L63" s="110">
        <f>IF('A7-CFlow'!K22&gt;0,'A7-CFlow'!K22,0)</f>
        <v>0</v>
      </c>
      <c r="M63" s="116">
        <f>IF('A7-CFlow'!L22&gt;0,'A7-CFlow'!L22,0)</f>
        <v>0</v>
      </c>
    </row>
    <row r="64" spans="1:13">
      <c r="A64" s="70" t="s">
        <v>360</v>
      </c>
      <c r="B64" s="13"/>
      <c r="C64" s="13"/>
      <c r="D64" s="110">
        <f>IF('A7-CFlow'!C22&lt;0,'A7-CFlow'!C22,0)</f>
        <v>0</v>
      </c>
      <c r="E64" s="110">
        <f>IF('A7-CFlow'!D22&lt;0,'A7-CFlow'!D22,0)</f>
        <v>0</v>
      </c>
      <c r="F64" s="110">
        <f>IF('A7-CFlow'!E22&lt;0,'A7-CFlow'!E22,0)</f>
        <v>0</v>
      </c>
      <c r="G64" s="110">
        <f>IF('A7-CFlow'!F22&lt;0,'A7-CFlow'!F22,0)</f>
        <v>-324505</v>
      </c>
      <c r="H64" s="110">
        <f>IF('A7-CFlow'!G22&lt;0,'A7-CFlow'!G22,0)</f>
        <v>0</v>
      </c>
      <c r="I64" s="111">
        <f>IF('A7-CFlow'!H22&lt;0,'A7-CFlow'!H22,0)</f>
        <v>0</v>
      </c>
      <c r="J64" s="1044">
        <f>IF('A7-CFlow'!I22&lt;0,'A7-CFlow'!I22,0)</f>
        <v>0</v>
      </c>
      <c r="K64" s="112">
        <f>IF('A7-CFlow'!J22&lt;0,'A7-CFlow'!J22,0)</f>
        <v>0</v>
      </c>
      <c r="L64" s="110">
        <f>IF('A7-CFlow'!K22&lt;0,'A7-CFlow'!K22,0)</f>
        <v>0</v>
      </c>
      <c r="M64" s="116">
        <f>IF('A7-CFlow'!L22&lt;0,'A7-CFlow'!L22,0)</f>
        <v>0</v>
      </c>
    </row>
    <row r="65" spans="1:13">
      <c r="A65" s="70" t="str">
        <f>'A7-CFlow'!A33</f>
        <v>Repayment of borrowing</v>
      </c>
      <c r="B65" s="13"/>
      <c r="C65" s="13"/>
      <c r="D65" s="110">
        <f>'A7-CFlow'!C33</f>
        <v>-40457667</v>
      </c>
      <c r="E65" s="110">
        <f>'A7-CFlow'!D33</f>
        <v>-81527813</v>
      </c>
      <c r="F65" s="110">
        <f>'A7-CFlow'!E33</f>
        <v>-47413000</v>
      </c>
      <c r="G65" s="110">
        <f>'A7-CFlow'!F33</f>
        <v>-48914277</v>
      </c>
      <c r="H65" s="110">
        <f>'A7-CFlow'!G33</f>
        <v>-48914277</v>
      </c>
      <c r="I65" s="111">
        <f>'A7-CFlow'!H33</f>
        <v>-48914277</v>
      </c>
      <c r="J65" s="1044">
        <f>'A7-CFlow'!I33</f>
        <v>-48914277</v>
      </c>
      <c r="K65" s="112">
        <f>'A7-CFlow'!J33</f>
        <v>-39409376</v>
      </c>
      <c r="L65" s="110">
        <f>'A7-CFlow'!K33</f>
        <v>-39409376</v>
      </c>
      <c r="M65" s="116">
        <f>'A7-CFlow'!L33</f>
        <v>-39409376</v>
      </c>
    </row>
    <row r="66" spans="1:13">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39" t="e">
        <f t="shared" si="14"/>
        <v>#REF!</v>
      </c>
      <c r="K66" s="82" t="e">
        <f t="shared" si="14"/>
        <v>#REF!</v>
      </c>
      <c r="L66" s="80" t="e">
        <f t="shared" si="14"/>
        <v>#REF!</v>
      </c>
      <c r="M66" s="83" t="e">
        <f t="shared" si="14"/>
        <v>#REF!</v>
      </c>
    </row>
    <row r="67" spans="1:13">
      <c r="A67" s="15" t="s">
        <v>286</v>
      </c>
      <c r="B67" s="13"/>
      <c r="C67" s="13"/>
      <c r="D67" s="80">
        <f>'A7-CFlow'!C36</f>
        <v>42894688</v>
      </c>
      <c r="E67" s="80">
        <f>'A7-CFlow'!D36</f>
        <v>317603824</v>
      </c>
      <c r="F67" s="80">
        <f>'A7-CFlow'!E36</f>
        <v>107001129</v>
      </c>
      <c r="G67" s="80">
        <f>'A7-CFlow'!F36</f>
        <v>-70749266</v>
      </c>
      <c r="H67" s="80">
        <f>'A7-CFlow'!G36</f>
        <v>285564647</v>
      </c>
      <c r="I67" s="81">
        <f>'A7-CFlow'!H36</f>
        <v>285564647</v>
      </c>
      <c r="J67" s="1039">
        <f>'A7-CFlow'!I36</f>
        <v>285564647</v>
      </c>
      <c r="K67" s="82">
        <f>'A7-CFlow'!J36</f>
        <v>26508672</v>
      </c>
      <c r="L67" s="80">
        <f>'A7-CFlow'!K36</f>
        <v>206426820</v>
      </c>
      <c r="M67" s="83">
        <f>'A7-CFlow'!L36</f>
        <v>244623923</v>
      </c>
    </row>
    <row r="68" spans="1:13" ht="12" thickBot="1">
      <c r="A68" s="14"/>
      <c r="B68" s="14"/>
      <c r="C68" s="14"/>
      <c r="D68" s="96" t="e">
        <f>D66-D67</f>
        <v>#REF!</v>
      </c>
      <c r="E68" s="96" t="e">
        <f t="shared" ref="E68:M68" si="15">E66-E67</f>
        <v>#REF!</v>
      </c>
      <c r="F68" s="96" t="e">
        <f t="shared" si="15"/>
        <v>#REF!</v>
      </c>
      <c r="G68" s="96" t="e">
        <f t="shared" si="15"/>
        <v>#REF!</v>
      </c>
      <c r="H68" s="96" t="e">
        <f t="shared" si="15"/>
        <v>#REF!</v>
      </c>
      <c r="I68" s="126" t="e">
        <f t="shared" si="15"/>
        <v>#REF!</v>
      </c>
      <c r="J68" s="1048" t="e">
        <f t="shared" si="15"/>
        <v>#REF!</v>
      </c>
      <c r="K68" s="127" t="e">
        <f t="shared" si="15"/>
        <v>#REF!</v>
      </c>
      <c r="L68" s="128" t="e">
        <f t="shared" si="15"/>
        <v>#REF!</v>
      </c>
      <c r="M68" s="129" t="e">
        <f t="shared" si="15"/>
        <v>#REF!</v>
      </c>
    </row>
    <row r="70" spans="1:13">
      <c r="A70" s="2" t="s">
        <v>275</v>
      </c>
      <c r="C70" s="73"/>
      <c r="D70" s="72">
        <f>'A7-CFlow'!C20+'A7-CFlow'!C21-NERF!D74</f>
        <v>886995.16666667163</v>
      </c>
      <c r="E70" s="72">
        <f>'A7-CFlow'!D20+'A7-CFlow'!D21-NERF!E74</f>
        <v>17199607</v>
      </c>
      <c r="F70" s="72">
        <f>'A7-CFlow'!E20+'A7-CFlow'!E21-NERF!F74</f>
        <v>-10204870</v>
      </c>
      <c r="G70" s="72">
        <f>'A7-CFlow'!F20+'A7-CFlow'!F21-NERF!G74</f>
        <v>-17883660</v>
      </c>
      <c r="H70" s="72">
        <f>'A7-CFlow'!G20+'A7-CFlow'!G21-NERF!H74</f>
        <v>0</v>
      </c>
      <c r="I70" s="72">
        <f>'A7-CFlow'!H20+'A7-CFlow'!H21-NERF!I74</f>
        <v>0</v>
      </c>
      <c r="J70" s="72">
        <f>'A7-CFlow'!I20+'A7-CFlow'!I21-NERF!J74</f>
        <v>0</v>
      </c>
      <c r="K70" s="72">
        <f>'A7-CFlow'!J20+'A7-CFlow'!J21-NERF!K74</f>
        <v>-2927000</v>
      </c>
      <c r="L70" s="72">
        <f>'A7-CFlow'!K20+'A7-CFlow'!K21-NERF!L74</f>
        <v>-2964000</v>
      </c>
      <c r="M70" s="72">
        <f>'A7-CFlow'!L20+'A7-CFlow'!L21-NERF!M74</f>
        <v>-2964000</v>
      </c>
    </row>
    <row r="71" spans="1:13">
      <c r="A71" s="2" t="s">
        <v>1743</v>
      </c>
      <c r="C71" s="77"/>
      <c r="D71" s="124">
        <f t="shared" ref="D71:M71" si="16">IF(ISERROR(ROUND(D70*D76,0)),0,(ROUND(D70*D76,0)))</f>
        <v>272308</v>
      </c>
      <c r="E71" s="76">
        <f t="shared" si="16"/>
        <v>5228681</v>
      </c>
      <c r="F71" s="76">
        <f t="shared" si="16"/>
        <v>-2806339</v>
      </c>
      <c r="G71" s="76">
        <f t="shared" si="16"/>
        <v>-5382982</v>
      </c>
      <c r="H71" s="76">
        <f t="shared" si="16"/>
        <v>0</v>
      </c>
      <c r="I71" s="76">
        <f t="shared" si="16"/>
        <v>0</v>
      </c>
      <c r="J71" s="76">
        <f t="shared" si="16"/>
        <v>0</v>
      </c>
      <c r="K71" s="76">
        <f t="shared" si="16"/>
        <v>-690772</v>
      </c>
      <c r="L71" s="76">
        <f t="shared" si="16"/>
        <v>-699504</v>
      </c>
      <c r="M71" s="76">
        <f t="shared" si="16"/>
        <v>-699504</v>
      </c>
    </row>
    <row r="72" spans="1:13">
      <c r="A72" s="2" t="s">
        <v>1745</v>
      </c>
      <c r="C72" s="10"/>
      <c r="D72" s="76">
        <f>D70-D71</f>
        <v>614687.16666667163</v>
      </c>
      <c r="E72" s="76">
        <f t="shared" ref="E72:M72" si="17">E70-E71</f>
        <v>11970926</v>
      </c>
      <c r="F72" s="76">
        <f t="shared" si="17"/>
        <v>-7398531</v>
      </c>
      <c r="G72" s="76">
        <f t="shared" si="17"/>
        <v>-12500678</v>
      </c>
      <c r="H72" s="76">
        <f t="shared" si="17"/>
        <v>0</v>
      </c>
      <c r="I72" s="76">
        <f t="shared" si="17"/>
        <v>0</v>
      </c>
      <c r="J72" s="76">
        <f t="shared" si="17"/>
        <v>0</v>
      </c>
      <c r="K72" s="76">
        <f t="shared" si="17"/>
        <v>-2236228</v>
      </c>
      <c r="L72" s="76">
        <f t="shared" si="17"/>
        <v>-2264496</v>
      </c>
      <c r="M72" s="76">
        <f t="shared" si="17"/>
        <v>-2264496</v>
      </c>
    </row>
    <row r="73" spans="1:13">
      <c r="A73" s="2" t="str">
        <f>'A6-FinPos'!A9</f>
        <v>Other debtors</v>
      </c>
      <c r="C73" s="77">
        <f>TREND(D73:F73)</f>
        <v>38446464.166666672</v>
      </c>
      <c r="D73" s="76">
        <f>'A6-FinPos'!C9</f>
        <v>44299357</v>
      </c>
      <c r="E73" s="76">
        <f>'A6-FinPos'!D9</f>
        <v>18936000</v>
      </c>
      <c r="F73" s="76">
        <f>'A6-FinPos'!E9</f>
        <v>28690000</v>
      </c>
      <c r="G73" s="76">
        <f>'A6-FinPos'!F9</f>
        <v>46464000</v>
      </c>
      <c r="H73" s="76">
        <f>'A6-FinPos'!G9</f>
        <v>46464000</v>
      </c>
      <c r="I73" s="76">
        <f>'A6-FinPos'!H9</f>
        <v>46464000</v>
      </c>
      <c r="J73" s="76">
        <f>'A6-FinPos'!I9</f>
        <v>46464000</v>
      </c>
      <c r="K73" s="76">
        <f>'A6-FinPos'!J9</f>
        <v>49391000</v>
      </c>
      <c r="L73" s="76">
        <f>'A6-FinPos'!K9</f>
        <v>52355000</v>
      </c>
      <c r="M73" s="76">
        <f>'A6-FinPos'!L9</f>
        <v>55319000</v>
      </c>
    </row>
    <row r="74" spans="1:13">
      <c r="A74" s="2" t="s">
        <v>276</v>
      </c>
      <c r="C74" s="77"/>
      <c r="D74" s="76">
        <f>D73-C73</f>
        <v>5852892.8333333284</v>
      </c>
      <c r="E74" s="76">
        <f t="shared" ref="E74:M74" si="18">E73-D73</f>
        <v>-25363357</v>
      </c>
      <c r="F74" s="76">
        <f t="shared" si="18"/>
        <v>9754000</v>
      </c>
      <c r="G74" s="76">
        <f t="shared" si="18"/>
        <v>17774000</v>
      </c>
      <c r="H74" s="76">
        <f t="shared" si="18"/>
        <v>0</v>
      </c>
      <c r="I74" s="76">
        <f t="shared" si="18"/>
        <v>0</v>
      </c>
      <c r="J74" s="76">
        <f t="shared" si="18"/>
        <v>0</v>
      </c>
      <c r="K74" s="76">
        <f>K73-I73</f>
        <v>2927000</v>
      </c>
      <c r="L74" s="76">
        <f t="shared" si="18"/>
        <v>2964000</v>
      </c>
      <c r="M74" s="76">
        <f t="shared" si="18"/>
        <v>2964000</v>
      </c>
    </row>
    <row r="75" spans="1:13">
      <c r="C75" s="10"/>
      <c r="D75" s="13"/>
      <c r="E75" s="13"/>
      <c r="F75" s="13"/>
      <c r="G75" s="13"/>
      <c r="H75" s="13"/>
      <c r="I75" s="13"/>
      <c r="J75" s="13"/>
      <c r="K75" s="13"/>
      <c r="L75" s="13"/>
      <c r="M75" s="13"/>
    </row>
    <row r="76" spans="1:13">
      <c r="A76" s="2" t="s">
        <v>1744</v>
      </c>
      <c r="C76" s="10"/>
      <c r="D76" s="56">
        <f>IF(ISERROR(ROUND(('A4-FinPerf RE'!C5+'A4-FinPerf RE'!C6)/SUM('A4-FinPerf RE'!C5:C11),3)),0,(ROUND(('A4-FinPerf RE'!C5+'A4-FinPerf RE'!C6)/SUM('A4-FinPerf RE'!C5:C11),3)))</f>
        <v>0.307</v>
      </c>
      <c r="E76" s="56">
        <f>IF(ISERROR(ROUND(('A4-FinPerf RE'!D5+'A4-FinPerf RE'!D6)/SUM('A4-FinPerf RE'!D5:D11),3)),0,(ROUND(('A4-FinPerf RE'!D5+'A4-FinPerf RE'!D6)/SUM('A4-FinPerf RE'!D5:D11),3)))</f>
        <v>0.30399999999999999</v>
      </c>
      <c r="F76" s="56">
        <f>IF(ISERROR(ROUND(('A4-FinPerf RE'!E5+'A4-FinPerf RE'!E6)/SUM('A4-FinPerf RE'!E5:E11),3)),0,(ROUND(('A4-FinPerf RE'!E5+'A4-FinPerf RE'!E6)/SUM('A4-FinPerf RE'!E5:E11),3)))</f>
        <v>0.27500000000000002</v>
      </c>
      <c r="G76" s="56">
        <f>IF(ISERROR(ROUND(('A4-FinPerf RE'!F5+'A4-FinPerf RE'!F6)/SUM('A4-FinPerf RE'!F5:F11),3)),0,(ROUND(('A4-FinPerf RE'!F5+'A4-FinPerf RE'!F6)/SUM('A4-FinPerf RE'!F5:F11),3)))</f>
        <v>0.30099999999999999</v>
      </c>
      <c r="H76" s="56">
        <f>IF(ISERROR(ROUND(('A4-FinPerf RE'!G5+'A4-FinPerf RE'!G6)/SUM('A4-FinPerf RE'!G5:G11),3)),0,(ROUND(('A4-FinPerf RE'!G5+'A4-FinPerf RE'!G6)/SUM('A4-FinPerf RE'!G5:G11),3)))</f>
        <v>0.23699999999999999</v>
      </c>
      <c r="I76" s="56">
        <f>IF(ISERROR(ROUND(('A4-FinPerf RE'!H5+'A4-FinPerf RE'!H6)/SUM('A4-FinPerf RE'!H5:H11),3)),0,(ROUND(('A4-FinPerf RE'!H5+'A4-FinPerf RE'!H6)/SUM('A4-FinPerf RE'!H5:H11),3)))</f>
        <v>0.23699999999999999</v>
      </c>
      <c r="J76" s="56">
        <f>IF(ISERROR(ROUND(('A4-FinPerf RE'!I5+'A4-FinPerf RE'!I6)/SUM('A4-FinPerf RE'!I5:I11),3)),0,(ROUND(('A4-FinPerf RE'!I5+'A4-FinPerf RE'!I6)/SUM('A4-FinPerf RE'!I5:I11),3)))</f>
        <v>0.23699999999999999</v>
      </c>
      <c r="K76" s="56">
        <f>IF(ISERROR(ROUND(('A4-FinPerf RE'!J5+'A4-FinPerf RE'!J6)/SUM('A4-FinPerf RE'!J5:J11),3)),0,(ROUND(('A4-FinPerf RE'!J5+'A4-FinPerf RE'!J6)/SUM('A4-FinPerf RE'!J5:J11),3)))</f>
        <v>0.23599999999999999</v>
      </c>
      <c r="L76" s="56">
        <f>IF(ISERROR(ROUND(('A4-FinPerf RE'!K5+'A4-FinPerf RE'!K6)/SUM('A4-FinPerf RE'!K5:K11),3)),0,(ROUND(('A4-FinPerf RE'!K5+'A4-FinPerf RE'!K6)/SUM('A4-FinPerf RE'!K5:K11),3)))</f>
        <v>0.23599999999999999</v>
      </c>
      <c r="M76" s="56">
        <f>IF(ISERROR(ROUND(('A4-FinPerf RE'!L5+'A4-FinPerf RE'!L6)/SUM('A4-FinPerf RE'!L5:L11),3)),0,(ROUND(('A4-FinPerf RE'!L5+'A4-FinPerf RE'!L6)/SUM('A4-FinPerf RE'!L5:L11),3)))</f>
        <v>0.23599999999999999</v>
      </c>
    </row>
    <row r="77" spans="1:13">
      <c r="A77" s="2" t="s">
        <v>1574</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c r="A78" s="2" t="s">
        <v>1572</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c r="D79" s="13"/>
      <c r="E79" s="13"/>
      <c r="F79" s="13"/>
      <c r="G79" s="13"/>
      <c r="H79" s="13"/>
      <c r="I79" s="13"/>
      <c r="J79" s="13"/>
      <c r="K79" s="13"/>
      <c r="L79" s="13"/>
      <c r="M79" s="13"/>
    </row>
    <row r="80" spans="1:13">
      <c r="A80" s="2" t="s">
        <v>1573</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c r="D81" s="13"/>
      <c r="E81" s="13"/>
      <c r="F81" s="13"/>
      <c r="G81" s="13"/>
      <c r="H81" s="13"/>
      <c r="I81" s="13"/>
      <c r="J81" s="13"/>
      <c r="K81" s="13"/>
      <c r="L81" s="13"/>
      <c r="M81" s="13"/>
    </row>
    <row r="82" spans="1:13">
      <c r="A82" s="2" t="s">
        <v>1575</v>
      </c>
      <c r="D82" s="14"/>
      <c r="E82" s="14"/>
      <c r="F82" s="14"/>
      <c r="G82" s="14"/>
      <c r="H82" s="14"/>
      <c r="I82" s="14"/>
      <c r="J82" s="14"/>
      <c r="K82" s="14"/>
      <c r="L82" s="14"/>
      <c r="M82" s="14"/>
    </row>
    <row r="83" spans="1:13">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B4" activePane="bottomRight" state="frozen"/>
      <selection pane="topRight" activeCell="B1" sqref="B1"/>
      <selection pane="bottomLeft" activeCell="A3" sqref="A3"/>
      <selection pane="bottomRight" activeCell="F15" sqref="F15"/>
    </sheetView>
  </sheetViews>
  <sheetFormatPr defaultRowHeight="11.25"/>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c r="A1" s="1227" t="s">
        <v>2002</v>
      </c>
    </row>
    <row r="2" spans="1:8" s="130" customFormat="1" ht="22.5">
      <c r="A2" s="131" t="s">
        <v>1877</v>
      </c>
      <c r="B2" s="2489" t="str">
        <f>'A4-FinPerf RE'!A4</f>
        <v>Revenue By Source</v>
      </c>
      <c r="C2" s="2490"/>
      <c r="D2" s="2489" t="str">
        <f>'A4-FinPerf RE'!A24</f>
        <v>Expenditure By Type</v>
      </c>
      <c r="E2" s="2490"/>
      <c r="F2" s="131" t="s">
        <v>1826</v>
      </c>
      <c r="G2" s="131" t="s">
        <v>1596</v>
      </c>
      <c r="H2" s="131" t="s">
        <v>1597</v>
      </c>
    </row>
    <row r="3" spans="1:8" s="130" customFormat="1">
      <c r="A3" s="133"/>
      <c r="B3" s="131" t="s">
        <v>1373</v>
      </c>
      <c r="C3" s="135" t="s">
        <v>1598</v>
      </c>
      <c r="D3" s="135" t="str">
        <f>B3</f>
        <v>Top level</v>
      </c>
      <c r="E3" s="135" t="str">
        <f>C3</f>
        <v>Supporting table level</v>
      </c>
      <c r="F3" s="135"/>
      <c r="G3" s="135"/>
      <c r="H3" s="134"/>
    </row>
    <row r="4" spans="1:8">
      <c r="A4" s="2" t="str">
        <f>'A2-FinPerf SC'!A5</f>
        <v>Governance and administration</v>
      </c>
      <c r="B4" s="2" t="str">
        <f>'A4-FinPerf RE'!A5</f>
        <v>Property rates</v>
      </c>
      <c r="D4" s="2" t="str">
        <f>'A4-FinPerf RE'!A25</f>
        <v>Employee related costs</v>
      </c>
      <c r="E4" s="2" t="str">
        <f>'SA1'!A39</f>
        <v>Salaries and Wages</v>
      </c>
      <c r="F4" s="3" t="str">
        <f>'A6-FinPos'!A4</f>
        <v>ASSETS</v>
      </c>
      <c r="G4" s="3" t="str">
        <f>'A7-CFlow'!A4</f>
        <v>CASH FLOW FROM OPERATING ACTIVITIES</v>
      </c>
      <c r="H4" s="2" t="str">
        <f>'A9-Asset'!A11</f>
        <v>Infrastructure</v>
      </c>
    </row>
    <row r="5" spans="1:8">
      <c r="A5" s="2" t="str">
        <f>'A2-FinPerf SC'!A6</f>
        <v>Executive and council</v>
      </c>
      <c r="B5" s="2" t="str">
        <f>'A4-FinPerf RE'!A6</f>
        <v>Property rates - penalties &amp; collection charges</v>
      </c>
      <c r="E5" s="2" t="str">
        <f>'SA1'!A40</f>
        <v>Contributions to UIF, pensions, medical aid</v>
      </c>
      <c r="F5" s="132" t="str">
        <f>'A6-FinPos'!A5</f>
        <v>Current assets</v>
      </c>
      <c r="G5" s="132" t="str">
        <f>'A7-CFlow'!A5</f>
        <v>Receipts</v>
      </c>
      <c r="H5" s="2" t="str">
        <f>'A9-Asset'!A12</f>
        <v>Community</v>
      </c>
    </row>
    <row r="6" spans="1:8">
      <c r="A6" s="2" t="str">
        <f>'A2-FinPerf SC'!A7</f>
        <v>Budget and treasury office</v>
      </c>
      <c r="B6" s="2" t="str">
        <f>'A4-FinPerf RE'!A7</f>
        <v>Service charges - electricity revenue</v>
      </c>
      <c r="E6" s="2" t="str">
        <f>'SA1'!A41</f>
        <v>Travel, motor car, accom; &amp; other allowances</v>
      </c>
      <c r="F6" s="2" t="str">
        <f>'A6-FinPos'!A6</f>
        <v>Cash</v>
      </c>
      <c r="G6" s="2" t="str">
        <f>'A7-CFlow'!A6</f>
        <v>Ratepayers and other</v>
      </c>
      <c r="H6" s="2" t="str">
        <f>'A9-Asset'!A13</f>
        <v>Heritage assets</v>
      </c>
    </row>
    <row r="7" spans="1:8">
      <c r="A7" s="2" t="str">
        <f>'A2-FinPerf SC'!A8</f>
        <v>Corporate services</v>
      </c>
      <c r="B7" s="2" t="str">
        <f>'A4-FinPerf RE'!A8</f>
        <v>Service charges - water revenue</v>
      </c>
      <c r="E7" s="2" t="str">
        <f>'SA1'!A43</f>
        <v>Overtime</v>
      </c>
      <c r="F7" s="2" t="str">
        <f>'A6-FinPos'!A7</f>
        <v>Call investment deposits</v>
      </c>
      <c r="G7" s="2" t="str">
        <f>'A7-CFlow'!A7</f>
        <v>Government - operating</v>
      </c>
      <c r="H7" s="2" t="str">
        <f>'A9-Asset'!A14</f>
        <v>Investment properties</v>
      </c>
    </row>
    <row r="8" spans="1:8">
      <c r="A8" s="2" t="str">
        <f>'A2-FinPerf SC'!A9</f>
        <v>Community and public safety</v>
      </c>
      <c r="B8" s="2" t="str">
        <f>'A4-FinPerf RE'!A9</f>
        <v>Service charges - sanitation revenue</v>
      </c>
      <c r="E8" s="2" t="str">
        <f>'SA1'!A44</f>
        <v>Performance bonus</v>
      </c>
      <c r="F8" s="2" t="str">
        <f>'A6-FinPos'!A8</f>
        <v>Consumer debtors</v>
      </c>
      <c r="G8" s="2" t="str">
        <f>'A7-CFlow'!A8</f>
        <v>Government - capital</v>
      </c>
      <c r="H8" s="2" t="str">
        <f>'A9-Asset'!A15</f>
        <v>Other assets</v>
      </c>
    </row>
    <row r="9" spans="1:8">
      <c r="A9" s="2" t="str">
        <f>'A2-FinPerf SC'!A10</f>
        <v>Community and social services</v>
      </c>
      <c r="B9" s="2" t="str">
        <f>'A4-FinPerf RE'!A10</f>
        <v>Service charges - refuse revenue</v>
      </c>
      <c r="C9" s="2" t="str">
        <f>'SA1'!A27</f>
        <v>Total refuse removal revenue</v>
      </c>
      <c r="E9" s="2" t="str">
        <f>'SA1'!A45</f>
        <v>Long service awards</v>
      </c>
      <c r="F9" s="2" t="str">
        <f>'A6-FinPos'!A9</f>
        <v>Other debtors</v>
      </c>
      <c r="G9" s="2" t="str">
        <f>'A7-CFlow'!A9</f>
        <v>Interest</v>
      </c>
      <c r="H9" s="2" t="str">
        <f>'A9-Asset'!A18</f>
        <v>Intangibles</v>
      </c>
    </row>
    <row r="10" spans="1:8">
      <c r="A10" s="2" t="str">
        <f>'A2-FinPerf SC'!A11</f>
        <v>Sport and recreation</v>
      </c>
      <c r="C10" s="2" t="e">
        <f>'SA1'!#REF!</f>
        <v>#REF!</v>
      </c>
      <c r="E10" s="2" t="str">
        <f>'SA1'!A46</f>
        <v>Payments in lieu of leave</v>
      </c>
      <c r="F10" s="2" t="str">
        <f>'A6-FinPos'!A10</f>
        <v>Current portion of long-term receivables</v>
      </c>
      <c r="G10" s="2" t="str">
        <f>'A7-CFlow'!A10</f>
        <v>Dividends</v>
      </c>
      <c r="H10" s="2" t="str">
        <f>'A9-Asset'!A17</f>
        <v>Biological assets</v>
      </c>
    </row>
    <row r="11" spans="1:8">
      <c r="A11" s="2" t="str">
        <f>'A2-FinPerf SC'!A12</f>
        <v>Public safety</v>
      </c>
      <c r="B11" s="2" t="str">
        <f>'A4-FinPerf RE'!A11</f>
        <v>Service charges - other</v>
      </c>
      <c r="E11" s="2" t="str">
        <f>'SA1'!A47</f>
        <v>Post-retirement benefit obligations</v>
      </c>
      <c r="F11" s="2" t="str">
        <f>'A6-FinPos'!A11</f>
        <v>Inventory</v>
      </c>
      <c r="G11" s="132" t="str">
        <f>'A7-CFlow'!A11</f>
        <v>Payments</v>
      </c>
    </row>
    <row r="12" spans="1:8">
      <c r="A12" s="2" t="str">
        <f>'A2-FinPerf SC'!A13</f>
        <v>Housing</v>
      </c>
      <c r="B12" s="2" t="str">
        <f>'A4-FinPerf RE'!A12</f>
        <v>Rental of facilities and equipment</v>
      </c>
      <c r="E12" s="2" t="str">
        <f>'SA1'!A49</f>
        <v>Less: Employees costs capitalised to PPE</v>
      </c>
      <c r="F12" s="132" t="str">
        <f>'A6-FinPos'!A14</f>
        <v>Non current assets</v>
      </c>
      <c r="G12" s="2" t="str">
        <f>'A7-CFlow'!A12</f>
        <v>Suppliers and employees</v>
      </c>
    </row>
    <row r="13" spans="1:8">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c r="A16" s="2" t="str">
        <f>'A2-FinPerf SC'!A22</f>
        <v>Waste water management</v>
      </c>
      <c r="B16" s="2" t="str">
        <f>'A4-FinPerf RE'!A16</f>
        <v>Fines</v>
      </c>
      <c r="D16" s="2" t="str">
        <f>'A4-FinPerf RE'!A28</f>
        <v>Depreciation &amp; asset impairment</v>
      </c>
      <c r="E16" s="2" t="str">
        <f>'SA1'!A62</f>
        <v>Depreciation of Property, Plant &amp; Equipment</v>
      </c>
      <c r="F16" s="2" t="str">
        <f>'A6-FinPos'!A18</f>
        <v>Investment in Associate</v>
      </c>
      <c r="G16" s="132" t="str">
        <f>'A7-CFlow'!A18</f>
        <v>Receipts</v>
      </c>
    </row>
    <row r="17" spans="1:7">
      <c r="A17" s="2" t="str">
        <f>'A2-FinPerf SC'!A23</f>
        <v>Waste management</v>
      </c>
      <c r="B17" s="2" t="str">
        <f>'A4-FinPerf RE'!A17</f>
        <v>Licences and permits</v>
      </c>
      <c r="E17" s="2" t="str">
        <f>'SA1'!A64</f>
        <v>Capital asset impairment</v>
      </c>
      <c r="F17" s="2" t="str">
        <f>'A6-FinPos'!A19</f>
        <v>Property, plant and equipment</v>
      </c>
      <c r="G17" s="2" t="str">
        <f>'A7-CFlow'!A19</f>
        <v>Proceeds on disposal of PPE</v>
      </c>
    </row>
    <row r="18" spans="1:7">
      <c r="A18" s="2" t="str">
        <f>'A2-FinPerf SC'!A24</f>
        <v>Other</v>
      </c>
      <c r="B18" s="2" t="str">
        <f>'A4-FinPerf RE'!A18</f>
        <v>Agency services</v>
      </c>
      <c r="D18" s="2" t="str">
        <f>'A4-FinPerf RE'!A29</f>
        <v>Finance charges</v>
      </c>
      <c r="F18" s="2" t="str">
        <f>'A6-FinPos'!A21</f>
        <v>Biological</v>
      </c>
    </row>
    <row r="19" spans="1:7">
      <c r="B19" s="2" t="str">
        <f>'A4-FinPerf RE'!A19</f>
        <v>Transfers recognised - operational</v>
      </c>
      <c r="D19" s="2" t="str">
        <f>'A4-FinPerf RE'!A30</f>
        <v>Bulk purchases</v>
      </c>
      <c r="E19" s="2" t="str">
        <f>'SA1'!A68</f>
        <v>Electricity Bulk Purchases</v>
      </c>
      <c r="F19" s="2" t="str">
        <f>'A6-FinPos'!A22</f>
        <v>Intangible</v>
      </c>
      <c r="G19" s="2" t="str">
        <f>'A7-CFlow'!A20</f>
        <v>Decrease (Increase) in non-current debtors</v>
      </c>
    </row>
    <row r="20" spans="1:7">
      <c r="B20" s="2" t="str">
        <f>'A4-FinPerf RE'!A20</f>
        <v>Other revenue</v>
      </c>
      <c r="C20" s="2" t="str">
        <f>'SA1'!A33</f>
        <v>Fuel levy</v>
      </c>
      <c r="E20" s="2" t="str">
        <f>'SA1'!A69</f>
        <v>Water Bulk Purchases</v>
      </c>
      <c r="F20" s="2" t="str">
        <f>'A6-FinPos'!A23</f>
        <v>Other non-current assets</v>
      </c>
      <c r="G20" s="2" t="str">
        <f>'A7-CFlow'!A21</f>
        <v>Decrease (increase) other non-current receivables</v>
      </c>
    </row>
    <row r="21" spans="1:7">
      <c r="C21" s="2" t="e">
        <f>'SA1'!#REF!</f>
        <v>#REF!</v>
      </c>
      <c r="D21" s="2" t="str">
        <f>'A4-FinPerf RE'!A31</f>
        <v>Other materials</v>
      </c>
      <c r="F21" s="3" t="str">
        <f>'A6-FinPos'!A27</f>
        <v>LIABILITIES</v>
      </c>
    </row>
    <row r="22" spans="1:7">
      <c r="C22" s="2" t="str">
        <f>'SA1'!A34</f>
        <v>Other revenue</v>
      </c>
      <c r="D22" s="2" t="str">
        <f>'A4-FinPerf RE'!A32</f>
        <v>Contracted services</v>
      </c>
      <c r="E22" s="2" t="str">
        <f>'SA1'!A100</f>
        <v>Electricity</v>
      </c>
      <c r="F22" s="132" t="str">
        <f>'A6-FinPos'!A28</f>
        <v>Current liabilities</v>
      </c>
      <c r="G22" s="2" t="str">
        <f>'A7-CFlow'!A22</f>
        <v>Decrease (increase) in non-current investments</v>
      </c>
    </row>
    <row r="23" spans="1:7">
      <c r="B23" s="2" t="str">
        <f>'A4-FinPerf RE'!A21</f>
        <v>Gains on disposal of PPE</v>
      </c>
      <c r="E23" s="2" t="str">
        <f>'SA1'!A101</f>
        <v>Water</v>
      </c>
      <c r="F23" s="2" t="str">
        <f>'A6-FinPos'!A29</f>
        <v>Bank overdraft</v>
      </c>
      <c r="G23" s="132" t="str">
        <f>'A7-CFlow'!A23</f>
        <v>Payments</v>
      </c>
    </row>
    <row r="24" spans="1:7">
      <c r="B24" s="2" t="str">
        <f>'A4-FinPerf RE'!A39</f>
        <v>Transfers recognised - capital</v>
      </c>
      <c r="E24" s="2" t="str">
        <f>'SA1'!A102</f>
        <v>Sanitation</v>
      </c>
      <c r="F24" s="2" t="str">
        <f>'A6-FinPos'!A30</f>
        <v>Borrowing</v>
      </c>
      <c r="G24" s="1" t="str">
        <f>'A7-CFlow'!A24</f>
        <v>Capital assets</v>
      </c>
    </row>
    <row r="25" spans="1:7">
      <c r="B25" s="2" t="str">
        <f>'A4-FinPerf RE'!A40</f>
        <v>Contributions recognised - capital</v>
      </c>
      <c r="E25" s="2" t="str">
        <f>'SA1'!A103</f>
        <v>Other</v>
      </c>
      <c r="F25" s="2" t="str">
        <f>'A6-FinPos'!A31</f>
        <v>Consumer deposits</v>
      </c>
      <c r="G25" s="3" t="str">
        <f>'A7-CFlow'!A27</f>
        <v>CASH FLOWS FROM FINANCING ACTIVITIES</v>
      </c>
    </row>
    <row r="26" spans="1:7">
      <c r="B26" s="2" t="str">
        <f>'A4-FinPerf RE'!A41</f>
        <v>Contributed assets</v>
      </c>
      <c r="D26" s="2" t="str">
        <f>'A4-FinPerf RE'!A33</f>
        <v>Transfers and grants</v>
      </c>
      <c r="F26" s="2" t="str">
        <f>'A6-FinPos'!A32</f>
        <v>Trade and other payables</v>
      </c>
      <c r="G26" s="132" t="str">
        <f>'A7-CFlow'!A28</f>
        <v>Receipts</v>
      </c>
    </row>
    <row r="27" spans="1:7">
      <c r="B27" s="2" t="str">
        <f>'A4-FinPerf RE'!A43</f>
        <v>Taxation</v>
      </c>
      <c r="D27" s="2" t="str">
        <f>'A4-FinPerf RE'!A34</f>
        <v>Other expenditure</v>
      </c>
      <c r="E27" s="2" t="str">
        <f>'SA1'!A107</f>
        <v>Collection costs</v>
      </c>
      <c r="F27" s="2" t="e">
        <f>'A6-FinPos'!#REF!</f>
        <v>#REF!</v>
      </c>
      <c r="G27" s="2" t="str">
        <f>'A7-CFlow'!A29</f>
        <v>Short term loans</v>
      </c>
    </row>
    <row r="28" spans="1:7">
      <c r="B28" s="2" t="str">
        <f>'A4-FinPerf RE'!A45</f>
        <v>Attributable to minorities</v>
      </c>
      <c r="E28" s="2" t="str">
        <f>'SA1'!A108</f>
        <v>Contributions to 'other' provisions</v>
      </c>
      <c r="F28" s="2" t="str">
        <f>'A6-FinPos'!A33</f>
        <v>Provisions</v>
      </c>
      <c r="G28" s="2" t="str">
        <f>'A7-CFlow'!A30</f>
        <v>Borrowing long term/refinancing</v>
      </c>
    </row>
    <row r="29" spans="1:7">
      <c r="E29" s="2" t="str">
        <f>'SA1'!A109</f>
        <v>Consultant fees</v>
      </c>
      <c r="F29" s="132" t="str">
        <f>'A6-FinPos'!A36</f>
        <v>Non current liabilities</v>
      </c>
      <c r="G29" s="2" t="str">
        <f>'A7-CFlow'!A31</f>
        <v>Increase (decrease) in consumer deposits</v>
      </c>
    </row>
    <row r="30" spans="1:7">
      <c r="E30" s="2" t="str">
        <f>'SA1'!A110</f>
        <v>Audit fees</v>
      </c>
      <c r="F30" s="2" t="str">
        <f>'A6-FinPos'!A37</f>
        <v>Borrowing</v>
      </c>
      <c r="G30" s="132" t="str">
        <f>'A7-CFlow'!A32</f>
        <v>Payments</v>
      </c>
    </row>
    <row r="31" spans="1:7">
      <c r="E31" s="2" t="str">
        <f>'SA1'!A111</f>
        <v>General expenses</v>
      </c>
      <c r="F31" s="2" t="str">
        <f>'A6-FinPos'!A38</f>
        <v>Provisions</v>
      </c>
      <c r="G31" s="2" t="str">
        <f>'A7-CFlow'!A33</f>
        <v>Repayment of borrowing</v>
      </c>
    </row>
    <row r="32" spans="1:7">
      <c r="D32" s="2" t="str">
        <f>'A4-FinPerf RE'!A35</f>
        <v>Loss on disposal of PPE</v>
      </c>
      <c r="F32" s="3" t="str">
        <f>'A6-FinPos'!A39</f>
        <v>Total non current liabilities</v>
      </c>
      <c r="G32" s="132" t="str">
        <f>'A7-CFlow'!A37</f>
        <v>Cash/cash equivalents at the year begin:</v>
      </c>
    </row>
    <row r="33" spans="6:7">
      <c r="F33" s="3" t="str">
        <f>'A6-FinPos'!A42</f>
        <v>NET ASSETS</v>
      </c>
      <c r="G33" s="132" t="str">
        <f>'A7-CFlow'!A38</f>
        <v>Cash/cash equivalents at the year end:</v>
      </c>
    </row>
    <row r="34" spans="6:7">
      <c r="F34" s="3" t="str">
        <f>'A6-FinPos'!A44</f>
        <v>COMMUNITY WEALTH/EQUITY</v>
      </c>
    </row>
    <row r="35" spans="6:7">
      <c r="F35" s="2" t="str">
        <f>'A6-FinPos'!A45</f>
        <v>Accumulated Surplus/(Deficit)</v>
      </c>
    </row>
    <row r="36" spans="6:7">
      <c r="F36" s="2" t="str">
        <f>'A6-FinPos'!A46</f>
        <v>Reserves</v>
      </c>
    </row>
    <row r="37" spans="6:7">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pageSetUpPr fitToPage="1"/>
  </sheetPr>
  <dimension ref="A1:Y1528"/>
  <sheetViews>
    <sheetView showGridLines="0" workbookViewId="0">
      <selection activeCell="D95" sqref="D95"/>
    </sheetView>
  </sheetViews>
  <sheetFormatPr defaultRowHeight="12.75"/>
  <cols>
    <col min="1" max="1" width="20.7109375" style="1484" customWidth="1"/>
    <col min="2" max="2" width="40.7109375" style="1484" customWidth="1"/>
    <col min="3" max="3" width="20.7109375" style="1484" customWidth="1"/>
    <col min="4" max="4" width="40.7109375" style="1484" customWidth="1"/>
    <col min="5" max="5" width="8.85546875" style="1484" customWidth="1"/>
    <col min="6" max="10" width="8.7109375" style="1486" customWidth="1"/>
    <col min="11" max="15" width="12.85546875" style="1486" customWidth="1"/>
    <col min="16" max="17" width="30.7109375" style="1486" customWidth="1"/>
    <col min="18" max="16384" width="9.140625" style="1487"/>
  </cols>
  <sheetData>
    <row r="1" spans="1:17" ht="13.5" customHeight="1">
      <c r="A1" s="1482" t="str">
        <f>muni&amp;" - "&amp;" Contact Information"</f>
        <v>KZN225 Msunduzi -  Contact Information</v>
      </c>
      <c r="B1" s="1483"/>
    </row>
    <row r="2" spans="1:17" ht="13.5" customHeight="1">
      <c r="A2" s="1488"/>
      <c r="B2" s="1489"/>
      <c r="C2" s="1488"/>
      <c r="D2" s="1488"/>
    </row>
    <row r="3" spans="1:17" ht="13.5" customHeight="1" thickBot="1">
      <c r="A3" s="1490" t="s">
        <v>1114</v>
      </c>
      <c r="B3" s="1491"/>
      <c r="C3" s="1488"/>
      <c r="D3" s="1488"/>
    </row>
    <row r="4" spans="1:17" ht="13.5" customHeight="1" thickTop="1">
      <c r="A4" s="1492" t="s">
        <v>1115</v>
      </c>
      <c r="B4" s="1705" t="str">
        <f>muni</f>
        <v>KZN225 Msunduzi</v>
      </c>
      <c r="C4" s="1615" t="s">
        <v>784</v>
      </c>
      <c r="D4" s="1493"/>
      <c r="F4" s="1494"/>
      <c r="G4" s="1494"/>
      <c r="H4" s="1494"/>
      <c r="I4" s="1495"/>
      <c r="J4" s="1494"/>
      <c r="K4" s="1496"/>
      <c r="L4" s="1496"/>
      <c r="M4" s="1496"/>
      <c r="N4" s="1496"/>
      <c r="O4" s="1496"/>
      <c r="P4" s="1614"/>
      <c r="Q4" s="1498"/>
    </row>
    <row r="5" spans="1:17" ht="13.5" customHeight="1">
      <c r="A5" s="1499"/>
      <c r="B5" s="1500"/>
      <c r="C5" s="1493"/>
      <c r="D5" s="1493"/>
      <c r="F5" s="1494"/>
      <c r="G5" s="1494"/>
      <c r="H5" s="1494"/>
      <c r="I5" s="1495"/>
      <c r="J5" s="1494"/>
      <c r="K5" s="1496"/>
      <c r="L5" s="1496"/>
      <c r="M5" s="1496"/>
      <c r="N5" s="1496"/>
      <c r="O5" s="1496"/>
      <c r="P5" s="1614"/>
      <c r="Q5" s="1503"/>
    </row>
    <row r="6" spans="1:17" s="1504" customFormat="1" ht="13.5" customHeight="1">
      <c r="A6" s="1507" t="s">
        <v>118</v>
      </c>
      <c r="B6" s="2363" t="s">
        <v>2253</v>
      </c>
      <c r="C6" s="1508" t="s">
        <v>119</v>
      </c>
      <c r="D6" s="1501"/>
      <c r="E6" s="1502"/>
      <c r="F6" s="1494"/>
      <c r="G6" s="1494"/>
      <c r="H6" s="1495"/>
      <c r="I6" s="1495"/>
      <c r="J6" s="1494"/>
      <c r="K6" s="1496"/>
      <c r="L6" s="1496"/>
      <c r="M6" s="1496"/>
      <c r="N6" s="1496"/>
      <c r="O6" s="1496"/>
      <c r="P6" s="1614"/>
      <c r="Q6" s="1498"/>
    </row>
    <row r="7" spans="1:17" s="1504" customFormat="1" ht="13.5" customHeight="1">
      <c r="A7" s="1505"/>
      <c r="B7" s="1506"/>
      <c r="C7" s="1501"/>
      <c r="D7" s="1501"/>
      <c r="E7" s="1502"/>
      <c r="F7" s="1494"/>
      <c r="G7" s="1494"/>
      <c r="H7" s="1495"/>
      <c r="I7" s="1495"/>
      <c r="J7" s="1494"/>
      <c r="K7" s="1496"/>
      <c r="L7" s="1496"/>
      <c r="M7" s="1496"/>
      <c r="N7" s="1496"/>
      <c r="O7" s="1496"/>
      <c r="P7" s="1614"/>
      <c r="Q7" s="1498"/>
    </row>
    <row r="8" spans="1:17" s="1504" customFormat="1" ht="13.5" customHeight="1">
      <c r="A8" s="1509" t="s">
        <v>120</v>
      </c>
      <c r="B8" s="1603" t="str">
        <f>IF(B4&gt;" ",VLOOKUP(B4,'Lookup and lists'!B29:C312,2)," ")</f>
        <v>KZN KWAZULU-NATAL</v>
      </c>
      <c r="C8" s="2389"/>
      <c r="D8" s="2389"/>
      <c r="E8" s="1502"/>
      <c r="F8" s="1494"/>
      <c r="G8" s="1494"/>
      <c r="H8" s="1495"/>
      <c r="I8" s="1495"/>
      <c r="J8" s="1494"/>
      <c r="K8" s="1496"/>
      <c r="L8" s="1496"/>
      <c r="M8" s="1496"/>
      <c r="N8" s="1496"/>
      <c r="O8" s="1496"/>
      <c r="P8" s="1614"/>
      <c r="Q8" s="1498"/>
    </row>
    <row r="9" spans="1:17" s="1504" customFormat="1" ht="13.5" customHeight="1">
      <c r="A9" s="1510"/>
      <c r="B9" s="1511"/>
      <c r="C9" s="1481"/>
      <c r="D9" s="1481"/>
      <c r="E9" s="1502"/>
      <c r="F9" s="1494"/>
      <c r="G9" s="1494"/>
      <c r="H9" s="1495"/>
      <c r="I9" s="1495"/>
      <c r="J9" s="1494"/>
      <c r="K9" s="1496"/>
      <c r="L9" s="1496"/>
      <c r="M9" s="1496"/>
      <c r="N9" s="1496"/>
      <c r="O9" s="1496"/>
      <c r="P9" s="1614"/>
      <c r="Q9" s="1498"/>
    </row>
    <row r="10" spans="1:17" ht="13.5" customHeight="1">
      <c r="A10" s="1512" t="s">
        <v>121</v>
      </c>
      <c r="B10" s="2364" t="s">
        <v>2254</v>
      </c>
      <c r="C10" s="1513"/>
      <c r="D10" s="1514"/>
      <c r="F10" s="1495"/>
      <c r="G10" s="1494"/>
      <c r="H10" s="1495"/>
      <c r="I10" s="1495"/>
      <c r="J10" s="1494"/>
      <c r="K10" s="1496"/>
      <c r="L10" s="1496"/>
      <c r="M10" s="1496"/>
      <c r="N10" s="1496"/>
      <c r="O10" s="1496"/>
      <c r="P10" s="1614"/>
      <c r="Q10" s="1498"/>
    </row>
    <row r="11" spans="1:17" ht="13.5" customHeight="1">
      <c r="A11" s="1515"/>
      <c r="B11" s="1516"/>
      <c r="C11" s="2394"/>
      <c r="D11" s="2395"/>
      <c r="F11" s="1495"/>
      <c r="G11" s="1494"/>
      <c r="H11" s="1495"/>
      <c r="I11" s="1495"/>
      <c r="J11" s="1494"/>
      <c r="K11" s="1496"/>
      <c r="L11" s="1496"/>
      <c r="M11" s="1496"/>
      <c r="N11" s="1496"/>
      <c r="O11" s="1496"/>
      <c r="P11" s="1614"/>
      <c r="Q11" s="1503"/>
    </row>
    <row r="12" spans="1:17" ht="13.5" customHeight="1">
      <c r="A12" s="1512" t="s">
        <v>1908</v>
      </c>
      <c r="B12" s="2365" t="s">
        <v>2255</v>
      </c>
      <c r="C12" s="1518"/>
      <c r="D12" s="1518"/>
      <c r="F12" s="1495"/>
      <c r="G12" s="1495"/>
      <c r="H12" s="1495"/>
      <c r="I12" s="1495"/>
      <c r="J12" s="1494"/>
      <c r="K12" s="1496"/>
      <c r="L12" s="1496"/>
      <c r="M12" s="1496"/>
      <c r="N12" s="1496"/>
      <c r="O12" s="1496"/>
      <c r="P12" s="1614"/>
      <c r="Q12" s="1498"/>
    </row>
    <row r="13" spans="1:17" ht="13.5" customHeight="1">
      <c r="A13" s="1612"/>
      <c r="B13" s="1613"/>
      <c r="C13" s="2396"/>
      <c r="D13" s="2396"/>
      <c r="F13" s="1495"/>
      <c r="G13" s="1495"/>
      <c r="H13" s="1495"/>
      <c r="I13" s="1517"/>
      <c r="J13" s="1495"/>
      <c r="K13" s="1496"/>
      <c r="L13" s="1496"/>
      <c r="M13" s="1496"/>
      <c r="N13" s="1496"/>
      <c r="O13" s="1496"/>
      <c r="P13" s="1614"/>
    </row>
    <row r="14" spans="1:17" ht="13.5" customHeight="1" thickBot="1">
      <c r="A14" s="2390" t="s">
        <v>1912</v>
      </c>
      <c r="B14" s="2391"/>
      <c r="C14" s="1502"/>
      <c r="D14" s="1502"/>
      <c r="F14" s="1495"/>
      <c r="G14" s="1495"/>
      <c r="H14" s="1517"/>
      <c r="I14" s="1519"/>
      <c r="J14" s="1495"/>
      <c r="K14" s="1496"/>
      <c r="L14" s="1496"/>
      <c r="M14" s="1496"/>
      <c r="N14" s="1496"/>
      <c r="O14" s="1496"/>
      <c r="P14" s="1614"/>
    </row>
    <row r="15" spans="1:17" ht="13.5" customHeight="1" thickTop="1">
      <c r="A15" s="1520" t="s">
        <v>1914</v>
      </c>
      <c r="B15" s="1521"/>
      <c r="F15" s="1517"/>
      <c r="G15" s="1495"/>
      <c r="H15" s="1519"/>
      <c r="I15" s="1519"/>
      <c r="J15" s="1495"/>
      <c r="K15" s="1496"/>
      <c r="L15" s="1496"/>
      <c r="M15" s="1496"/>
      <c r="N15" s="1496"/>
      <c r="O15" s="1496"/>
      <c r="P15" s="1614"/>
    </row>
    <row r="16" spans="1:17" s="1504" customFormat="1" ht="13.5" customHeight="1">
      <c r="A16" s="1522" t="s">
        <v>1916</v>
      </c>
      <c r="B16" s="2366" t="s">
        <v>2256</v>
      </c>
      <c r="C16" s="1484"/>
      <c r="D16" s="1484"/>
      <c r="E16" s="1502"/>
      <c r="F16" s="1519"/>
      <c r="G16" s="1517"/>
      <c r="H16" s="1519"/>
      <c r="I16" s="1519"/>
      <c r="J16" s="1495"/>
      <c r="K16" s="1496"/>
      <c r="L16" s="1496"/>
      <c r="M16" s="1496"/>
      <c r="N16" s="1496"/>
      <c r="O16" s="1496"/>
      <c r="P16" s="1614"/>
      <c r="Q16" s="1486"/>
    </row>
    <row r="17" spans="1:17" ht="13.5" customHeight="1">
      <c r="A17" s="1522" t="s">
        <v>1918</v>
      </c>
      <c r="B17" s="2366" t="s">
        <v>2257</v>
      </c>
      <c r="F17" s="1519"/>
      <c r="G17" s="1519"/>
      <c r="H17" s="1519"/>
      <c r="I17" s="1519"/>
      <c r="J17" s="1517"/>
      <c r="K17" s="1496"/>
      <c r="L17" s="1496"/>
      <c r="M17" s="1496"/>
      <c r="N17" s="1496"/>
      <c r="O17" s="1496"/>
      <c r="P17" s="1614"/>
    </row>
    <row r="18" spans="1:17" ht="13.5" customHeight="1">
      <c r="A18" s="1523" t="s">
        <v>1919</v>
      </c>
      <c r="B18" s="2367">
        <v>3200</v>
      </c>
      <c r="F18" s="1519"/>
      <c r="G18" s="1519"/>
      <c r="H18" s="1519"/>
      <c r="I18" s="1519"/>
      <c r="J18" s="1519"/>
      <c r="K18" s="1496"/>
      <c r="L18" s="1496"/>
      <c r="M18" s="1496"/>
      <c r="N18" s="1496"/>
      <c r="O18" s="1496"/>
      <c r="P18" s="1614"/>
    </row>
    <row r="19" spans="1:17" ht="13.5" customHeight="1">
      <c r="A19" s="1524"/>
      <c r="B19" s="1525"/>
      <c r="F19" s="1519"/>
      <c r="G19" s="1519"/>
      <c r="H19" s="1519"/>
      <c r="I19" s="1519"/>
      <c r="J19" s="1519"/>
      <c r="K19" s="1496"/>
      <c r="L19" s="1496"/>
      <c r="M19" s="1496"/>
      <c r="N19" s="1496"/>
      <c r="O19" s="1496"/>
      <c r="P19" s="1614"/>
    </row>
    <row r="20" spans="1:17" ht="13.5" customHeight="1">
      <c r="A20" s="1526" t="s">
        <v>1227</v>
      </c>
      <c r="B20" s="1527"/>
      <c r="F20" s="1519"/>
      <c r="G20" s="1519"/>
      <c r="H20" s="1519"/>
      <c r="I20" s="1519"/>
      <c r="J20" s="1519"/>
      <c r="K20" s="1496"/>
      <c r="L20" s="1496"/>
      <c r="M20" s="1496"/>
      <c r="N20" s="1496"/>
      <c r="O20" s="1496"/>
      <c r="P20" s="1614"/>
    </row>
    <row r="21" spans="1:17" ht="13.5" customHeight="1">
      <c r="A21" s="1522" t="s">
        <v>1229</v>
      </c>
      <c r="B21" s="2366" t="s">
        <v>2258</v>
      </c>
      <c r="F21" s="1519"/>
      <c r="G21" s="1519"/>
      <c r="H21" s="1519"/>
      <c r="I21" s="1519"/>
      <c r="J21" s="1519"/>
      <c r="K21" s="1496"/>
      <c r="L21" s="1496"/>
      <c r="M21" s="1496"/>
      <c r="N21" s="1496"/>
      <c r="O21" s="1496"/>
      <c r="P21" s="1614"/>
    </row>
    <row r="22" spans="1:17" ht="13.5" customHeight="1">
      <c r="A22" s="1522" t="s">
        <v>1231</v>
      </c>
      <c r="B22" s="2366" t="s">
        <v>2259</v>
      </c>
      <c r="F22" s="1519"/>
      <c r="G22" s="1519"/>
      <c r="H22" s="1519"/>
      <c r="I22" s="1519"/>
      <c r="J22" s="1519"/>
      <c r="K22" s="1496"/>
      <c r="L22" s="1496"/>
      <c r="M22" s="1496"/>
      <c r="N22" s="1496"/>
      <c r="O22" s="1496"/>
      <c r="P22" s="1614"/>
    </row>
    <row r="23" spans="1:17" ht="13.5" customHeight="1">
      <c r="A23" s="1522" t="s">
        <v>1918</v>
      </c>
      <c r="B23" s="2366" t="s">
        <v>2257</v>
      </c>
      <c r="F23" s="1519"/>
      <c r="G23" s="1519"/>
      <c r="H23" s="1519"/>
      <c r="I23" s="1519"/>
      <c r="J23" s="1519"/>
      <c r="K23" s="1496"/>
      <c r="L23" s="1496"/>
      <c r="M23" s="1496"/>
      <c r="N23" s="1496"/>
      <c r="O23" s="1496"/>
      <c r="P23" s="1614"/>
    </row>
    <row r="24" spans="1:17" ht="13.5" customHeight="1">
      <c r="A24" s="1523" t="s">
        <v>1919</v>
      </c>
      <c r="B24" s="2367">
        <v>3200</v>
      </c>
      <c r="F24" s="1519"/>
      <c r="G24" s="1519"/>
      <c r="H24" s="1519"/>
      <c r="I24" s="1519"/>
      <c r="J24" s="1519"/>
      <c r="K24" s="1496"/>
      <c r="L24" s="1496"/>
      <c r="M24" s="1496"/>
      <c r="N24" s="1496"/>
      <c r="O24" s="1496"/>
      <c r="P24" s="1614"/>
    </row>
    <row r="25" spans="1:17" ht="13.5" customHeight="1">
      <c r="A25" s="1524"/>
      <c r="B25" s="1525"/>
      <c r="F25" s="1519"/>
      <c r="G25" s="1519"/>
      <c r="H25" s="1519"/>
      <c r="I25" s="1519"/>
      <c r="J25" s="1519"/>
      <c r="K25" s="1496"/>
      <c r="L25" s="1496"/>
      <c r="M25" s="1496"/>
      <c r="N25" s="1496"/>
      <c r="O25" s="1496"/>
      <c r="P25" s="1614"/>
    </row>
    <row r="26" spans="1:17" ht="13.5" customHeight="1">
      <c r="A26" s="1526" t="s">
        <v>1235</v>
      </c>
      <c r="B26" s="1528"/>
      <c r="F26" s="1519"/>
      <c r="G26" s="1519"/>
      <c r="H26" s="1519"/>
      <c r="I26" s="1519"/>
      <c r="J26" s="1519"/>
      <c r="K26" s="1496"/>
      <c r="L26" s="1496"/>
      <c r="M26" s="1496"/>
      <c r="N26" s="1496"/>
      <c r="O26" s="1496"/>
      <c r="P26" s="1614"/>
    </row>
    <row r="27" spans="1:17" ht="13.5" customHeight="1">
      <c r="A27" s="1522" t="s">
        <v>1237</v>
      </c>
      <c r="B27" s="2366" t="s">
        <v>2260</v>
      </c>
      <c r="F27" s="1519"/>
      <c r="G27" s="1519"/>
      <c r="H27" s="1519"/>
      <c r="I27" s="1519"/>
      <c r="J27" s="1519"/>
      <c r="K27" s="1496"/>
      <c r="L27" s="1496"/>
      <c r="M27" s="1496"/>
      <c r="N27" s="1496"/>
      <c r="O27" s="1496"/>
      <c r="P27" s="1614"/>
    </row>
    <row r="28" spans="1:17" ht="13.5" customHeight="1">
      <c r="A28" s="1523" t="s">
        <v>1239</v>
      </c>
      <c r="B28" s="2366" t="s">
        <v>2261</v>
      </c>
      <c r="I28" s="1529"/>
      <c r="J28" s="1519"/>
      <c r="K28" s="1519"/>
      <c r="L28" s="1519"/>
      <c r="M28" s="1519"/>
      <c r="N28" s="1519"/>
      <c r="O28" s="1519"/>
      <c r="P28" s="1614"/>
    </row>
    <row r="29" spans="1:17" ht="13.5" customHeight="1">
      <c r="A29" s="1524"/>
      <c r="B29" s="1530"/>
      <c r="I29" s="1529"/>
      <c r="J29" s="1529"/>
      <c r="K29" s="1529"/>
      <c r="L29" s="1529"/>
      <c r="M29" s="1529"/>
      <c r="N29" s="1529"/>
      <c r="O29" s="1529"/>
      <c r="P29" s="1614"/>
    </row>
    <row r="30" spans="1:17" ht="13.5" customHeight="1" thickBot="1">
      <c r="A30" s="2392" t="s">
        <v>1241</v>
      </c>
      <c r="B30" s="2393"/>
      <c r="C30" s="2397"/>
      <c r="D30" s="2398"/>
      <c r="I30" s="1529"/>
      <c r="J30" s="1529"/>
      <c r="K30" s="1529"/>
      <c r="L30" s="1529"/>
      <c r="M30" s="1529"/>
      <c r="N30" s="1529"/>
      <c r="O30" s="1529"/>
      <c r="P30" s="1614"/>
    </row>
    <row r="31" spans="1:17" ht="13.5" customHeight="1" thickTop="1">
      <c r="A31" s="1485" t="s">
        <v>1242</v>
      </c>
      <c r="B31" s="1527"/>
      <c r="C31" s="2399" t="s">
        <v>1243</v>
      </c>
      <c r="D31" s="2400"/>
      <c r="I31" s="1529"/>
      <c r="J31" s="1529"/>
      <c r="K31" s="1529"/>
      <c r="L31" s="1529"/>
      <c r="M31" s="1529"/>
      <c r="N31" s="1529"/>
      <c r="O31" s="1529"/>
      <c r="P31" s="1614"/>
      <c r="Q31" s="1497"/>
    </row>
    <row r="32" spans="1:17" ht="13.5" customHeight="1">
      <c r="A32" s="1522" t="s">
        <v>1245</v>
      </c>
      <c r="B32" s="2368" t="s">
        <v>2262</v>
      </c>
      <c r="C32" s="1522" t="s">
        <v>1245</v>
      </c>
      <c r="D32" s="2368" t="s">
        <v>2267</v>
      </c>
      <c r="I32" s="1529"/>
      <c r="J32" s="1529"/>
      <c r="K32" s="1529"/>
      <c r="L32" s="1529"/>
      <c r="M32" s="1529"/>
      <c r="N32" s="1529"/>
      <c r="O32" s="1529"/>
      <c r="P32" s="1614"/>
      <c r="Q32" s="1529"/>
    </row>
    <row r="33" spans="1:17" ht="13.5" customHeight="1">
      <c r="A33" s="1522" t="s">
        <v>1237</v>
      </c>
      <c r="B33" s="2368" t="s">
        <v>2263</v>
      </c>
      <c r="C33" s="1522" t="s">
        <v>1237</v>
      </c>
      <c r="D33" s="2368" t="s">
        <v>2263</v>
      </c>
      <c r="F33" s="1494"/>
      <c r="G33" s="1496"/>
      <c r="I33" s="1529"/>
      <c r="J33" s="1529"/>
      <c r="K33" s="1529"/>
      <c r="L33" s="1529"/>
      <c r="M33" s="1529"/>
      <c r="N33" s="1529"/>
      <c r="O33" s="1529"/>
      <c r="P33" s="1614"/>
      <c r="Q33" s="1529"/>
    </row>
    <row r="34" spans="1:17" ht="13.5" customHeight="1">
      <c r="A34" s="1522" t="s">
        <v>1249</v>
      </c>
      <c r="B34" s="2368" t="s">
        <v>2264</v>
      </c>
      <c r="C34" s="1522" t="s">
        <v>1249</v>
      </c>
      <c r="D34" s="2368" t="s">
        <v>2268</v>
      </c>
      <c r="F34" s="1494"/>
      <c r="G34" s="1496"/>
      <c r="I34" s="1529"/>
      <c r="J34" s="1529"/>
      <c r="K34" s="1529"/>
      <c r="L34" s="1529"/>
      <c r="M34" s="1529"/>
      <c r="N34" s="1529"/>
      <c r="O34" s="1529"/>
      <c r="P34" s="1614"/>
    </row>
    <row r="35" spans="1:17" ht="13.5" customHeight="1">
      <c r="A35" s="1522" t="s">
        <v>1239</v>
      </c>
      <c r="B35" s="2368" t="s">
        <v>2265</v>
      </c>
      <c r="C35" s="1522" t="s">
        <v>1239</v>
      </c>
      <c r="D35" s="2368" t="s">
        <v>2265</v>
      </c>
      <c r="F35" s="1495"/>
      <c r="G35" s="1496"/>
      <c r="I35" s="1529"/>
      <c r="J35" s="1529"/>
      <c r="K35" s="1529"/>
      <c r="L35" s="1529"/>
      <c r="M35" s="1529"/>
      <c r="N35" s="1529"/>
      <c r="O35" s="1529"/>
      <c r="P35" s="1614"/>
    </row>
    <row r="36" spans="1:17" ht="13.5" customHeight="1">
      <c r="A36" s="1522" t="s">
        <v>1252</v>
      </c>
      <c r="B36" s="2369" t="s">
        <v>2266</v>
      </c>
      <c r="C36" s="1522" t="s">
        <v>1252</v>
      </c>
      <c r="D36" s="2370" t="s">
        <v>2269</v>
      </c>
      <c r="F36" s="1495"/>
      <c r="G36" s="1496"/>
      <c r="I36" s="1529"/>
      <c r="J36" s="1529"/>
      <c r="K36" s="1529"/>
      <c r="L36" s="1529"/>
      <c r="M36" s="1529"/>
      <c r="N36" s="1529"/>
      <c r="O36" s="1529"/>
      <c r="P36" s="1614"/>
    </row>
    <row r="37" spans="1:17" ht="13.5" customHeight="1">
      <c r="A37" s="1522"/>
      <c r="B37" s="1707"/>
      <c r="C37" s="1522"/>
      <c r="D37" s="1707"/>
      <c r="F37" s="1495"/>
      <c r="G37" s="1496"/>
      <c r="I37" s="1529"/>
      <c r="J37" s="1529"/>
      <c r="K37" s="1529"/>
      <c r="L37" s="1529"/>
      <c r="M37" s="1529"/>
      <c r="N37" s="1529"/>
      <c r="O37" s="1529"/>
      <c r="P37" s="1614"/>
    </row>
    <row r="38" spans="1:17" ht="13.5" customHeight="1">
      <c r="A38" s="2403" t="s">
        <v>1255</v>
      </c>
      <c r="B38" s="2402"/>
      <c r="C38" s="2403" t="s">
        <v>1256</v>
      </c>
      <c r="D38" s="2402"/>
      <c r="F38" s="1495"/>
      <c r="G38" s="1496"/>
      <c r="I38" s="1529"/>
      <c r="J38" s="1529"/>
      <c r="K38" s="1529"/>
      <c r="L38" s="1529"/>
      <c r="M38" s="1529"/>
      <c r="N38" s="1529"/>
      <c r="O38" s="1529"/>
      <c r="P38" s="1614"/>
    </row>
    <row r="39" spans="1:17" ht="13.5" customHeight="1">
      <c r="A39" s="1522" t="s">
        <v>1245</v>
      </c>
      <c r="B39" s="1706" t="s">
        <v>2270</v>
      </c>
      <c r="C39" s="1522" t="s">
        <v>1245</v>
      </c>
      <c r="D39" s="2368" t="s">
        <v>2274</v>
      </c>
      <c r="F39" s="1495"/>
      <c r="G39" s="1496"/>
      <c r="I39" s="1529"/>
      <c r="J39" s="1529"/>
      <c r="K39" s="1529"/>
      <c r="L39" s="1529"/>
      <c r="M39" s="1529"/>
      <c r="N39" s="1529"/>
      <c r="O39" s="1529"/>
      <c r="P39" s="1614"/>
    </row>
    <row r="40" spans="1:17" ht="13.5" customHeight="1">
      <c r="A40" s="1522" t="s">
        <v>1237</v>
      </c>
      <c r="B40" s="1706" t="s">
        <v>2271</v>
      </c>
      <c r="C40" s="1522" t="s">
        <v>1237</v>
      </c>
      <c r="D40" s="2368" t="s">
        <v>2275</v>
      </c>
      <c r="F40" s="1517"/>
      <c r="G40" s="1496"/>
      <c r="I40" s="1529"/>
      <c r="J40" s="1529"/>
      <c r="K40" s="1529"/>
      <c r="L40" s="1529"/>
      <c r="M40" s="1529"/>
      <c r="N40" s="1529"/>
      <c r="O40" s="1529"/>
      <c r="P40" s="1614"/>
    </row>
    <row r="41" spans="1:17" ht="13.5" customHeight="1">
      <c r="A41" s="1522" t="s">
        <v>1249</v>
      </c>
      <c r="B41" s="1706"/>
      <c r="C41" s="1522" t="s">
        <v>1249</v>
      </c>
      <c r="D41" s="2368"/>
      <c r="F41" s="1519"/>
      <c r="G41" s="1496"/>
      <c r="I41" s="1529"/>
      <c r="J41" s="1529"/>
      <c r="K41" s="1529"/>
      <c r="L41" s="1529"/>
      <c r="M41" s="1529"/>
      <c r="N41" s="1529"/>
      <c r="O41" s="1529"/>
      <c r="P41" s="1614"/>
    </row>
    <row r="42" spans="1:17" ht="13.5" customHeight="1">
      <c r="A42" s="1522" t="s">
        <v>1239</v>
      </c>
      <c r="B42" s="1706" t="s">
        <v>2272</v>
      </c>
      <c r="C42" s="1522" t="s">
        <v>1239</v>
      </c>
      <c r="D42" s="2368" t="s">
        <v>2272</v>
      </c>
      <c r="F42" s="1519"/>
      <c r="G42" s="1496"/>
      <c r="I42" s="1529"/>
      <c r="J42" s="1529"/>
      <c r="K42" s="1529"/>
      <c r="L42" s="1529"/>
      <c r="M42" s="1529"/>
      <c r="N42" s="1529"/>
      <c r="O42" s="1529"/>
      <c r="P42" s="1614"/>
    </row>
    <row r="43" spans="1:17" ht="13.5" customHeight="1">
      <c r="A43" s="1531" t="s">
        <v>1252</v>
      </c>
      <c r="B43" s="2372" t="s">
        <v>2273</v>
      </c>
      <c r="C43" s="1531" t="s">
        <v>1252</v>
      </c>
      <c r="D43" s="2371" t="s">
        <v>2273</v>
      </c>
      <c r="F43" s="1519"/>
      <c r="G43" s="1496"/>
      <c r="I43" s="1529"/>
      <c r="J43" s="1529"/>
      <c r="K43" s="1529"/>
      <c r="L43" s="1529"/>
      <c r="M43" s="1529"/>
      <c r="N43" s="1529"/>
      <c r="O43" s="1529"/>
      <c r="P43" s="1614"/>
    </row>
    <row r="44" spans="1:17" ht="13.5" customHeight="1">
      <c r="A44" s="1524"/>
      <c r="B44" s="1530"/>
      <c r="C44" s="1524"/>
      <c r="D44" s="1530"/>
      <c r="F44" s="1519"/>
      <c r="G44" s="1496"/>
      <c r="I44" s="1529"/>
      <c r="J44" s="1529"/>
      <c r="K44" s="1529"/>
      <c r="L44" s="1529"/>
      <c r="M44" s="1529"/>
      <c r="N44" s="1529"/>
      <c r="O44" s="1529"/>
      <c r="P44" s="1614"/>
    </row>
    <row r="45" spans="1:17" ht="13.5" customHeight="1">
      <c r="A45" s="2403" t="s">
        <v>1263</v>
      </c>
      <c r="B45" s="2402"/>
      <c r="C45" s="2403" t="s">
        <v>1264</v>
      </c>
      <c r="D45" s="2402"/>
      <c r="F45" s="1519"/>
      <c r="G45" s="1496"/>
      <c r="I45" s="1529"/>
      <c r="J45" s="1529"/>
      <c r="K45" s="1529"/>
      <c r="L45" s="1529"/>
      <c r="M45" s="1529"/>
      <c r="N45" s="1529"/>
      <c r="O45" s="1529"/>
      <c r="P45" s="1614"/>
    </row>
    <row r="46" spans="1:17" ht="13.5" customHeight="1">
      <c r="A46" s="1522" t="s">
        <v>1245</v>
      </c>
      <c r="B46" s="2368" t="s">
        <v>2276</v>
      </c>
      <c r="C46" s="1522" t="s">
        <v>1245</v>
      </c>
      <c r="D46" s="2368" t="s">
        <v>2274</v>
      </c>
      <c r="F46" s="1519"/>
      <c r="G46" s="1496"/>
      <c r="I46" s="1529"/>
      <c r="J46" s="1529"/>
      <c r="K46" s="1529"/>
      <c r="L46" s="1529"/>
      <c r="M46" s="1529"/>
      <c r="N46" s="1529"/>
      <c r="O46" s="1529"/>
      <c r="P46" s="1614"/>
    </row>
    <row r="47" spans="1:17" s="1486" customFormat="1" ht="13.5" customHeight="1">
      <c r="A47" s="1522" t="s">
        <v>1237</v>
      </c>
      <c r="B47" s="2368" t="s">
        <v>2277</v>
      </c>
      <c r="C47" s="1522" t="s">
        <v>1237</v>
      </c>
      <c r="D47" s="2368" t="s">
        <v>2275</v>
      </c>
      <c r="E47" s="1484"/>
      <c r="F47" s="1519"/>
      <c r="G47" s="1496"/>
      <c r="I47" s="1529"/>
      <c r="J47" s="1529"/>
      <c r="K47" s="1529"/>
      <c r="L47" s="1529"/>
      <c r="M47" s="1529"/>
      <c r="N47" s="1529"/>
      <c r="O47" s="1529"/>
      <c r="P47" s="1614"/>
    </row>
    <row r="48" spans="1:17" s="1486" customFormat="1" ht="13.5" customHeight="1">
      <c r="A48" s="1522" t="s">
        <v>1249</v>
      </c>
      <c r="B48" s="2368"/>
      <c r="C48" s="1522" t="s">
        <v>1249</v>
      </c>
      <c r="D48" s="2368"/>
      <c r="E48" s="1484"/>
      <c r="F48" s="1519"/>
      <c r="G48" s="1496"/>
      <c r="I48" s="1529"/>
      <c r="J48" s="1529"/>
      <c r="K48" s="1529"/>
      <c r="L48" s="1529"/>
      <c r="M48" s="1529"/>
      <c r="N48" s="1529"/>
      <c r="O48" s="1529"/>
      <c r="P48" s="1614"/>
    </row>
    <row r="49" spans="1:17" s="1486" customFormat="1" ht="13.5" customHeight="1">
      <c r="A49" s="1522" t="s">
        <v>1239</v>
      </c>
      <c r="B49" s="2368" t="s">
        <v>2272</v>
      </c>
      <c r="C49" s="1522" t="s">
        <v>1239</v>
      </c>
      <c r="D49" s="2368" t="s">
        <v>2272</v>
      </c>
      <c r="E49" s="1484"/>
      <c r="F49" s="1519"/>
      <c r="G49" s="1496"/>
      <c r="I49" s="1529"/>
      <c r="J49" s="1529"/>
      <c r="K49" s="1529"/>
      <c r="L49" s="1529"/>
      <c r="M49" s="1529"/>
      <c r="N49" s="1529"/>
      <c r="O49" s="1529"/>
      <c r="P49" s="1614"/>
    </row>
    <row r="50" spans="1:17" s="1486" customFormat="1" ht="13.5" customHeight="1">
      <c r="A50" s="1523" t="s">
        <v>1252</v>
      </c>
      <c r="B50" s="2373" t="s">
        <v>2278</v>
      </c>
      <c r="C50" s="1523" t="s">
        <v>1252</v>
      </c>
      <c r="D50" s="2371" t="s">
        <v>2273</v>
      </c>
      <c r="E50" s="1484"/>
      <c r="F50" s="1519"/>
      <c r="G50" s="1496"/>
      <c r="I50" s="1529"/>
      <c r="J50" s="1529"/>
      <c r="K50" s="1529"/>
      <c r="L50" s="1529"/>
      <c r="M50" s="1529"/>
      <c r="N50" s="1529"/>
      <c r="O50" s="1529"/>
      <c r="P50" s="1614"/>
    </row>
    <row r="51" spans="1:17" s="1486" customFormat="1" ht="13.5" customHeight="1">
      <c r="A51" s="1524"/>
      <c r="B51" s="1530"/>
      <c r="C51" s="1524"/>
      <c r="D51" s="1530"/>
      <c r="E51" s="1484"/>
      <c r="F51" s="1519"/>
      <c r="G51" s="1496"/>
      <c r="I51" s="1529"/>
      <c r="J51" s="1529"/>
      <c r="K51" s="1529"/>
      <c r="L51" s="1529"/>
      <c r="M51" s="1529"/>
      <c r="N51" s="1529"/>
      <c r="O51" s="1529"/>
      <c r="P51" s="1614"/>
    </row>
    <row r="52" spans="1:17" s="1486" customFormat="1" ht="13.5" customHeight="1" thickBot="1">
      <c r="A52" s="2406" t="s">
        <v>1266</v>
      </c>
      <c r="B52" s="2407"/>
      <c r="C52" s="2410"/>
      <c r="D52" s="2411"/>
      <c r="E52" s="1484"/>
      <c r="F52" s="1519"/>
      <c r="G52" s="1496"/>
      <c r="I52" s="1529"/>
      <c r="J52" s="1529"/>
      <c r="K52" s="1529"/>
      <c r="L52" s="1529"/>
      <c r="M52" s="1529"/>
      <c r="N52" s="1529"/>
      <c r="O52" s="1529"/>
      <c r="P52" s="1614"/>
    </row>
    <row r="53" spans="1:17" s="1534" customFormat="1" ht="13.5" customHeight="1" thickTop="1">
      <c r="A53" s="1485" t="s">
        <v>1267</v>
      </c>
      <c r="B53" s="1527"/>
      <c r="C53" s="2403" t="s">
        <v>1268</v>
      </c>
      <c r="D53" s="2402"/>
      <c r="E53" s="1488"/>
      <c r="F53" s="1532"/>
      <c r="G53" s="1533"/>
      <c r="I53" s="1535"/>
      <c r="J53" s="1535"/>
      <c r="K53" s="1535"/>
      <c r="L53" s="1535"/>
      <c r="M53" s="1535"/>
      <c r="N53" s="1535"/>
      <c r="O53" s="1535"/>
      <c r="P53" s="1614"/>
      <c r="Q53" s="1486"/>
    </row>
    <row r="54" spans="1:17" s="1534" customFormat="1" ht="13.5" customHeight="1">
      <c r="A54" s="1522" t="s">
        <v>1245</v>
      </c>
      <c r="B54" s="2368" t="s">
        <v>2279</v>
      </c>
      <c r="C54" s="1522" t="s">
        <v>1245</v>
      </c>
      <c r="D54" s="2368" t="s">
        <v>2283</v>
      </c>
      <c r="E54" s="1488"/>
      <c r="F54" s="1532"/>
      <c r="G54" s="1533"/>
      <c r="I54" s="1535"/>
      <c r="J54" s="1535"/>
      <c r="K54" s="1535"/>
      <c r="L54" s="1535"/>
      <c r="M54" s="1535"/>
      <c r="N54" s="1535"/>
      <c r="O54" s="1535"/>
      <c r="P54" s="1614"/>
      <c r="Q54" s="1486"/>
    </row>
    <row r="55" spans="1:17" s="1486" customFormat="1" ht="13.5" customHeight="1">
      <c r="A55" s="1522" t="s">
        <v>1237</v>
      </c>
      <c r="B55" s="2368" t="s">
        <v>2280</v>
      </c>
      <c r="C55" s="1522" t="s">
        <v>1237</v>
      </c>
      <c r="D55" s="2368" t="s">
        <v>2280</v>
      </c>
      <c r="E55" s="1484"/>
      <c r="F55" s="1519"/>
      <c r="G55" s="1496"/>
      <c r="I55" s="1529"/>
      <c r="J55" s="1529"/>
      <c r="K55" s="1529"/>
      <c r="L55" s="1529"/>
      <c r="M55" s="1529"/>
      <c r="N55" s="1529"/>
      <c r="O55" s="1529"/>
      <c r="P55" s="1614"/>
    </row>
    <row r="56" spans="1:17" s="1486" customFormat="1" ht="13.5" customHeight="1">
      <c r="A56" s="1522" t="s">
        <v>1249</v>
      </c>
      <c r="B56" s="2368"/>
      <c r="C56" s="1522" t="s">
        <v>1249</v>
      </c>
      <c r="D56" s="2368"/>
      <c r="E56" s="1484"/>
      <c r="F56" s="1519"/>
      <c r="G56" s="1496"/>
      <c r="I56" s="1529"/>
      <c r="J56" s="1529"/>
      <c r="K56" s="1529"/>
      <c r="L56" s="1529"/>
      <c r="M56" s="1529"/>
      <c r="N56" s="1529"/>
      <c r="O56" s="1529"/>
      <c r="P56" s="1614"/>
    </row>
    <row r="57" spans="1:17" s="1486" customFormat="1" ht="13.5" customHeight="1">
      <c r="A57" s="1522" t="s">
        <v>1239</v>
      </c>
      <c r="B57" s="2368" t="s">
        <v>2281</v>
      </c>
      <c r="C57" s="1522" t="s">
        <v>1239</v>
      </c>
      <c r="D57" s="2368" t="s">
        <v>2284</v>
      </c>
      <c r="E57" s="1484"/>
      <c r="F57" s="1519"/>
      <c r="G57" s="1496"/>
      <c r="I57" s="1529"/>
      <c r="J57" s="1529"/>
      <c r="K57" s="1529"/>
      <c r="L57" s="1529"/>
      <c r="M57" s="1529"/>
      <c r="N57" s="1529"/>
      <c r="O57" s="1529"/>
      <c r="P57" s="1614"/>
    </row>
    <row r="58" spans="1:17" ht="13.5" customHeight="1">
      <c r="A58" s="1523" t="s">
        <v>1252</v>
      </c>
      <c r="B58" s="2374" t="s">
        <v>2282</v>
      </c>
      <c r="C58" s="1523" t="s">
        <v>1252</v>
      </c>
      <c r="D58" s="2374" t="s">
        <v>2285</v>
      </c>
      <c r="F58" s="1519"/>
      <c r="G58" s="1496"/>
      <c r="I58" s="1529"/>
      <c r="J58" s="1529"/>
      <c r="K58" s="1529"/>
      <c r="L58" s="1529"/>
      <c r="M58" s="1529"/>
      <c r="N58" s="1529"/>
      <c r="O58" s="1529"/>
      <c r="P58" s="1614"/>
    </row>
    <row r="59" spans="1:17" ht="13.5" customHeight="1">
      <c r="A59" s="1524"/>
      <c r="B59" s="1530"/>
      <c r="C59" s="1524"/>
      <c r="D59" s="1530"/>
      <c r="F59" s="1519"/>
      <c r="G59" s="1496"/>
      <c r="I59" s="1529"/>
      <c r="J59" s="1529"/>
      <c r="K59" s="1529"/>
      <c r="L59" s="1529"/>
      <c r="M59" s="1529"/>
      <c r="N59" s="1529"/>
      <c r="O59" s="1529"/>
      <c r="P59" s="1614"/>
    </row>
    <row r="60" spans="1:17" ht="13.5" customHeight="1">
      <c r="A60" s="1616" t="s">
        <v>1269</v>
      </c>
      <c r="B60" s="1528"/>
      <c r="C60" s="2403" t="s">
        <v>1270</v>
      </c>
      <c r="D60" s="2402"/>
      <c r="F60" s="1519"/>
      <c r="G60" s="1496"/>
      <c r="I60" s="1529"/>
      <c r="J60" s="1529"/>
      <c r="K60" s="1529"/>
      <c r="L60" s="1529"/>
      <c r="M60" s="1529"/>
      <c r="N60" s="1529"/>
      <c r="O60" s="1529"/>
      <c r="P60" s="1614"/>
    </row>
    <row r="61" spans="1:17" s="1536" customFormat="1" ht="13.5" customHeight="1">
      <c r="A61" s="1522" t="s">
        <v>1245</v>
      </c>
      <c r="B61" s="2368" t="s">
        <v>2286</v>
      </c>
      <c r="C61" s="1522" t="s">
        <v>1245</v>
      </c>
      <c r="D61" s="2368" t="s">
        <v>2298</v>
      </c>
      <c r="E61" s="1488"/>
      <c r="F61" s="1532"/>
      <c r="G61" s="1533"/>
      <c r="H61" s="1534"/>
      <c r="I61" s="1535"/>
      <c r="J61" s="1535"/>
      <c r="K61" s="1535"/>
      <c r="L61" s="1535"/>
      <c r="M61" s="1535"/>
      <c r="N61" s="1535"/>
      <c r="O61" s="1535"/>
      <c r="P61" s="1614"/>
      <c r="Q61" s="1486"/>
    </row>
    <row r="62" spans="1:17" ht="13.5" customHeight="1">
      <c r="A62" s="1537" t="s">
        <v>1237</v>
      </c>
      <c r="B62" s="2368" t="s">
        <v>2287</v>
      </c>
      <c r="C62" s="1537" t="s">
        <v>1237</v>
      </c>
      <c r="D62" s="2368" t="s">
        <v>2260</v>
      </c>
      <c r="F62" s="1519"/>
      <c r="G62" s="1496"/>
      <c r="I62" s="1529"/>
      <c r="J62" s="1529"/>
      <c r="K62" s="1529"/>
      <c r="L62" s="1529"/>
      <c r="M62" s="1529"/>
      <c r="N62" s="1529"/>
      <c r="O62" s="1529"/>
      <c r="P62" s="1614"/>
    </row>
    <row r="63" spans="1:17" ht="13.5" customHeight="1">
      <c r="A63" s="1522" t="s">
        <v>1249</v>
      </c>
      <c r="B63" s="2368" t="s">
        <v>2288</v>
      </c>
      <c r="C63" s="1522" t="s">
        <v>1249</v>
      </c>
      <c r="D63" s="2368"/>
      <c r="F63" s="1519"/>
      <c r="G63" s="1496"/>
      <c r="I63" s="1529"/>
      <c r="J63" s="1529"/>
      <c r="K63" s="1529"/>
      <c r="L63" s="1529"/>
      <c r="M63" s="1529"/>
      <c r="N63" s="1529"/>
      <c r="O63" s="1529"/>
      <c r="P63" s="1614"/>
    </row>
    <row r="64" spans="1:17" ht="13.5" customHeight="1">
      <c r="A64" s="1522" t="s">
        <v>1239</v>
      </c>
      <c r="B64" s="2368" t="s">
        <v>2261</v>
      </c>
      <c r="C64" s="1522" t="s">
        <v>1239</v>
      </c>
      <c r="D64" s="2368" t="s">
        <v>2261</v>
      </c>
      <c r="F64" s="1519"/>
      <c r="G64" s="1496"/>
      <c r="I64" s="1529"/>
      <c r="J64" s="1529"/>
      <c r="K64" s="1529"/>
      <c r="L64" s="1529"/>
      <c r="M64" s="1529"/>
      <c r="N64" s="1529"/>
      <c r="O64" s="1529"/>
      <c r="P64" s="1614"/>
    </row>
    <row r="65" spans="1:17" ht="13.5" customHeight="1">
      <c r="A65" s="1523" t="s">
        <v>1252</v>
      </c>
      <c r="B65" s="2374" t="s">
        <v>2289</v>
      </c>
      <c r="C65" s="1523" t="s">
        <v>1252</v>
      </c>
      <c r="D65" s="2374" t="s">
        <v>2299</v>
      </c>
      <c r="F65" s="1519"/>
      <c r="G65" s="1496"/>
      <c r="I65" s="1529"/>
      <c r="J65" s="1529"/>
      <c r="K65" s="1529"/>
      <c r="L65" s="1529"/>
      <c r="M65" s="1529"/>
      <c r="N65" s="1529"/>
      <c r="O65" s="1529"/>
      <c r="P65" s="1614"/>
    </row>
    <row r="66" spans="1:17" ht="13.5" customHeight="1">
      <c r="A66" s="1524"/>
      <c r="B66" s="1530"/>
      <c r="C66" s="1524"/>
      <c r="D66" s="1530"/>
      <c r="F66" s="1519"/>
      <c r="G66" s="1496"/>
      <c r="I66" s="1529"/>
      <c r="J66" s="1529"/>
      <c r="K66" s="1529"/>
      <c r="L66" s="1529"/>
      <c r="M66" s="1529"/>
      <c r="N66" s="1529"/>
      <c r="O66" s="1529"/>
      <c r="P66" s="1614"/>
    </row>
    <row r="67" spans="1:17" ht="13.5" customHeight="1">
      <c r="A67" s="2401" t="s">
        <v>1271</v>
      </c>
      <c r="B67" s="2402"/>
      <c r="C67" s="2408"/>
      <c r="D67" s="2409"/>
      <c r="F67" s="1519"/>
      <c r="G67" s="1496"/>
      <c r="I67" s="1529"/>
      <c r="J67" s="1529"/>
      <c r="K67" s="1529"/>
      <c r="L67" s="1529"/>
      <c r="M67" s="1529"/>
      <c r="N67" s="1529"/>
      <c r="O67" s="1529"/>
      <c r="P67" s="1614"/>
    </row>
    <row r="68" spans="1:17" s="1536" customFormat="1" ht="13.5" customHeight="1">
      <c r="A68" s="1522" t="s">
        <v>1245</v>
      </c>
      <c r="B68" s="2368" t="s">
        <v>2290</v>
      </c>
      <c r="C68" s="1597"/>
      <c r="D68" s="1598"/>
      <c r="E68" s="1488"/>
      <c r="F68" s="1532"/>
      <c r="G68" s="1533"/>
      <c r="H68" s="1534"/>
      <c r="I68" s="1535"/>
      <c r="J68" s="1535"/>
      <c r="K68" s="1535"/>
      <c r="L68" s="1535"/>
      <c r="M68" s="1535"/>
      <c r="N68" s="1535"/>
      <c r="O68" s="1535"/>
      <c r="P68" s="1614"/>
      <c r="Q68" s="1486"/>
    </row>
    <row r="69" spans="1:17" ht="13.5" customHeight="1">
      <c r="A69" s="1537" t="s">
        <v>1237</v>
      </c>
      <c r="B69" s="2368" t="s">
        <v>2291</v>
      </c>
      <c r="C69" s="1599"/>
      <c r="D69" s="1598"/>
      <c r="F69" s="1519"/>
      <c r="G69" s="1496"/>
      <c r="I69" s="1529"/>
      <c r="J69" s="1529"/>
      <c r="K69" s="1529"/>
      <c r="L69" s="1529"/>
      <c r="M69" s="1529"/>
      <c r="N69" s="1529"/>
      <c r="O69" s="1529"/>
      <c r="P69" s="1614"/>
    </row>
    <row r="70" spans="1:17" ht="13.5" customHeight="1">
      <c r="A70" s="1522" t="s">
        <v>1249</v>
      </c>
      <c r="B70" s="2368" t="s">
        <v>2292</v>
      </c>
      <c r="C70" s="1597"/>
      <c r="D70" s="1598"/>
      <c r="F70" s="1519"/>
      <c r="G70" s="1496"/>
      <c r="I70" s="1529"/>
      <c r="J70" s="1529"/>
      <c r="K70" s="1529"/>
      <c r="L70" s="1529"/>
      <c r="M70" s="1529"/>
      <c r="N70" s="1529"/>
      <c r="O70" s="1529"/>
      <c r="P70" s="1614"/>
    </row>
    <row r="71" spans="1:17" ht="13.5" customHeight="1">
      <c r="A71" s="1522" t="s">
        <v>1239</v>
      </c>
      <c r="B71" s="2368" t="s">
        <v>2261</v>
      </c>
      <c r="C71" s="1597"/>
      <c r="D71" s="1598"/>
      <c r="F71" s="1519"/>
      <c r="G71" s="1496"/>
      <c r="I71" s="1529"/>
      <c r="J71" s="1529"/>
      <c r="K71" s="1529"/>
      <c r="L71" s="1529"/>
      <c r="M71" s="1529"/>
      <c r="N71" s="1529"/>
      <c r="O71" s="1529"/>
      <c r="P71" s="1614"/>
    </row>
    <row r="72" spans="1:17" ht="13.5" customHeight="1">
      <c r="A72" s="1522" t="s">
        <v>1252</v>
      </c>
      <c r="B72" s="2375" t="s">
        <v>2293</v>
      </c>
      <c r="C72" s="1597"/>
      <c r="D72" s="1598"/>
      <c r="F72" s="1519"/>
      <c r="G72" s="1496"/>
      <c r="I72" s="1529"/>
      <c r="J72" s="1529"/>
      <c r="K72" s="1529"/>
      <c r="L72" s="1529"/>
      <c r="M72" s="1529"/>
      <c r="N72" s="1529"/>
      <c r="O72" s="1529"/>
      <c r="P72" s="1614"/>
    </row>
    <row r="73" spans="1:17" ht="13.5" customHeight="1">
      <c r="A73" s="2401" t="s">
        <v>1271</v>
      </c>
      <c r="B73" s="2402"/>
      <c r="C73" s="2404"/>
      <c r="D73" s="2405"/>
      <c r="F73" s="1519"/>
      <c r="G73" s="1496"/>
      <c r="I73" s="1529"/>
      <c r="J73" s="1529"/>
      <c r="K73" s="1529"/>
      <c r="L73" s="1529"/>
      <c r="M73" s="1529"/>
      <c r="N73" s="1529"/>
      <c r="O73" s="1529"/>
      <c r="P73" s="1614"/>
    </row>
    <row r="74" spans="1:17" ht="13.5" customHeight="1">
      <c r="A74" s="1522" t="s">
        <v>1245</v>
      </c>
      <c r="B74" s="2368" t="s">
        <v>2294</v>
      </c>
      <c r="C74" s="1597"/>
      <c r="D74" s="1598"/>
      <c r="F74" s="1519"/>
      <c r="G74" s="1496"/>
      <c r="I74" s="1529"/>
      <c r="J74" s="1529"/>
      <c r="K74" s="1529"/>
      <c r="L74" s="1529"/>
      <c r="M74" s="1529"/>
      <c r="N74" s="1529"/>
      <c r="O74" s="1529"/>
      <c r="P74" s="1614"/>
    </row>
    <row r="75" spans="1:17" ht="13.5" customHeight="1">
      <c r="A75" s="1537" t="s">
        <v>1237</v>
      </c>
      <c r="B75" s="2368" t="s">
        <v>2295</v>
      </c>
      <c r="C75" s="1599"/>
      <c r="D75" s="1598"/>
      <c r="F75" s="1519"/>
      <c r="G75" s="1496"/>
      <c r="I75" s="1529"/>
      <c r="J75" s="1529"/>
      <c r="K75" s="1529"/>
      <c r="L75" s="1529"/>
      <c r="M75" s="1529"/>
      <c r="N75" s="1529"/>
      <c r="O75" s="1529"/>
      <c r="P75" s="1614"/>
    </row>
    <row r="76" spans="1:17" s="1486" customFormat="1" ht="13.5" customHeight="1">
      <c r="A76" s="1522" t="s">
        <v>1249</v>
      </c>
      <c r="B76" s="2368" t="s">
        <v>2296</v>
      </c>
      <c r="C76" s="1597"/>
      <c r="D76" s="1598"/>
      <c r="E76" s="1484"/>
      <c r="F76" s="1519"/>
      <c r="G76" s="1496"/>
      <c r="I76" s="1529"/>
      <c r="J76" s="1529"/>
      <c r="K76" s="1529"/>
      <c r="L76" s="1529"/>
      <c r="M76" s="1529"/>
      <c r="N76" s="1529"/>
      <c r="O76" s="1529"/>
      <c r="P76" s="1614"/>
    </row>
    <row r="77" spans="1:17" s="1486" customFormat="1" ht="13.5" customHeight="1">
      <c r="A77" s="1522" t="s">
        <v>1239</v>
      </c>
      <c r="B77" s="2368" t="s">
        <v>2261</v>
      </c>
      <c r="C77" s="1597"/>
      <c r="D77" s="1598"/>
      <c r="E77" s="1484"/>
      <c r="F77" s="1519"/>
      <c r="G77" s="1496"/>
      <c r="I77" s="1529"/>
      <c r="J77" s="1529"/>
      <c r="K77" s="1529"/>
      <c r="L77" s="1529"/>
      <c r="M77" s="1529"/>
      <c r="N77" s="1529"/>
      <c r="O77" s="1529"/>
      <c r="P77" s="1614"/>
    </row>
    <row r="78" spans="1:17" s="1486" customFormat="1" ht="13.5" customHeight="1">
      <c r="A78" s="1522" t="s">
        <v>1252</v>
      </c>
      <c r="B78" s="2375" t="s">
        <v>2297</v>
      </c>
      <c r="C78" s="1597"/>
      <c r="D78" s="1598"/>
      <c r="E78" s="1484"/>
      <c r="F78" s="1519"/>
      <c r="G78" s="1496"/>
      <c r="I78" s="1529"/>
      <c r="J78" s="1529"/>
      <c r="K78" s="1529"/>
      <c r="L78" s="1529"/>
      <c r="M78" s="1529"/>
      <c r="N78" s="1529"/>
      <c r="O78" s="1529"/>
      <c r="P78" s="1614"/>
    </row>
    <row r="79" spans="1:17" s="1486" customFormat="1" ht="13.5" customHeight="1">
      <c r="A79" s="2401" t="s">
        <v>1271</v>
      </c>
      <c r="B79" s="2402"/>
      <c r="C79" s="2404"/>
      <c r="D79" s="2405"/>
      <c r="E79" s="1484"/>
      <c r="F79" s="1519"/>
      <c r="G79" s="1496"/>
      <c r="I79" s="1529"/>
      <c r="J79" s="1529"/>
      <c r="K79" s="1529"/>
      <c r="L79" s="1529"/>
      <c r="M79" s="1529"/>
      <c r="N79" s="1529"/>
      <c r="O79" s="1529"/>
      <c r="P79" s="1614"/>
    </row>
    <row r="80" spans="1:17" s="1486" customFormat="1" ht="13.5" customHeight="1">
      <c r="A80" s="1522" t="s">
        <v>1245</v>
      </c>
      <c r="B80" s="1706"/>
      <c r="C80" s="1597"/>
      <c r="D80" s="1598"/>
      <c r="E80" s="1484"/>
      <c r="F80" s="1519"/>
      <c r="G80" s="1496"/>
      <c r="I80" s="1529"/>
      <c r="J80" s="1529"/>
      <c r="K80" s="1529"/>
      <c r="L80" s="1529"/>
      <c r="M80" s="1529"/>
      <c r="N80" s="1529"/>
      <c r="O80" s="1529"/>
      <c r="P80" s="1614"/>
    </row>
    <row r="81" spans="1:25" s="1486" customFormat="1" ht="13.5" customHeight="1">
      <c r="A81" s="1537" t="s">
        <v>1237</v>
      </c>
      <c r="B81" s="1706"/>
      <c r="C81" s="1599"/>
      <c r="D81" s="1598"/>
      <c r="E81" s="1484"/>
      <c r="F81" s="1519"/>
      <c r="G81" s="1496"/>
      <c r="I81" s="1529"/>
      <c r="J81" s="1529"/>
      <c r="K81" s="1529"/>
      <c r="L81" s="1529"/>
      <c r="M81" s="1529"/>
      <c r="N81" s="1529"/>
      <c r="O81" s="1529"/>
      <c r="P81" s="1614"/>
    </row>
    <row r="82" spans="1:25" s="1486" customFormat="1" ht="13.5" customHeight="1">
      <c r="A82" s="1522" t="s">
        <v>1249</v>
      </c>
      <c r="B82" s="1706"/>
      <c r="C82" s="1597"/>
      <c r="D82" s="1598"/>
      <c r="E82" s="1484"/>
      <c r="F82" s="1519"/>
      <c r="G82" s="1496"/>
      <c r="I82" s="1529"/>
      <c r="J82" s="1529"/>
      <c r="K82" s="1529"/>
      <c r="L82" s="1529"/>
      <c r="M82" s="1529"/>
      <c r="N82" s="1529"/>
      <c r="O82" s="1529"/>
      <c r="P82" s="1614"/>
    </row>
    <row r="83" spans="1:25" s="1486" customFormat="1" ht="13.5" customHeight="1">
      <c r="A83" s="1522" t="s">
        <v>1239</v>
      </c>
      <c r="B83" s="1706"/>
      <c r="C83" s="1597"/>
      <c r="D83" s="1598"/>
      <c r="E83" s="1484"/>
      <c r="F83" s="1519"/>
      <c r="G83" s="1496"/>
      <c r="I83" s="1529"/>
      <c r="J83" s="1529"/>
      <c r="K83" s="1529"/>
      <c r="L83" s="1529"/>
      <c r="M83" s="1529"/>
      <c r="N83" s="1529"/>
      <c r="O83" s="1529"/>
      <c r="P83" s="1614"/>
    </row>
    <row r="84" spans="1:25" s="1486" customFormat="1" ht="13.5" customHeight="1">
      <c r="A84" s="1522" t="s">
        <v>1252</v>
      </c>
      <c r="B84" s="1706"/>
      <c r="C84" s="1524"/>
      <c r="D84" s="1530"/>
      <c r="E84" s="1484"/>
      <c r="F84" s="1519"/>
      <c r="G84" s="1496"/>
      <c r="I84" s="1529"/>
      <c r="J84" s="1529"/>
      <c r="K84" s="1529"/>
      <c r="L84" s="1529"/>
      <c r="M84" s="1529"/>
      <c r="N84" s="1529"/>
      <c r="O84" s="1529"/>
      <c r="P84" s="1614"/>
    </row>
    <row r="85" spans="1:25" s="1486" customFormat="1" ht="12.75" customHeight="1">
      <c r="A85" s="1538"/>
      <c r="C85" s="1484"/>
      <c r="D85" s="1484"/>
      <c r="E85" s="1484"/>
      <c r="F85" s="1519"/>
      <c r="G85" s="1496"/>
      <c r="I85" s="1529"/>
      <c r="J85" s="1529"/>
      <c r="K85" s="1529"/>
      <c r="L85" s="1529"/>
      <c r="M85" s="1529"/>
      <c r="N85" s="1529"/>
      <c r="O85" s="1529"/>
      <c r="P85" s="1614"/>
    </row>
    <row r="86" spans="1:25" s="1486" customFormat="1" ht="12.75" customHeight="1">
      <c r="E86" s="1484"/>
      <c r="F86" s="1519"/>
      <c r="G86" s="1496"/>
      <c r="I86" s="1529"/>
      <c r="J86" s="1529"/>
      <c r="K86" s="1529"/>
      <c r="L86" s="1529"/>
      <c r="M86" s="1529"/>
      <c r="N86" s="1529"/>
      <c r="O86" s="1529"/>
      <c r="P86" s="1614"/>
    </row>
    <row r="87" spans="1:25" s="1486" customFormat="1" ht="12.75" customHeight="1">
      <c r="A87" s="1508"/>
      <c r="B87" s="1539"/>
      <c r="C87" s="1539"/>
      <c r="D87" s="1539"/>
      <c r="E87" s="1484"/>
      <c r="F87" s="1519"/>
      <c r="G87" s="1496"/>
      <c r="I87" s="1529"/>
      <c r="J87" s="1529"/>
      <c r="K87" s="1529"/>
      <c r="L87" s="1529"/>
      <c r="M87" s="1529"/>
      <c r="N87" s="1529"/>
      <c r="O87" s="1529"/>
      <c r="P87" s="1614"/>
    </row>
    <row r="88" spans="1:25" s="1486" customFormat="1" ht="12.75" customHeight="1">
      <c r="A88" s="1529"/>
      <c r="B88" s="1529"/>
      <c r="C88" s="1529"/>
      <c r="D88" s="1529"/>
      <c r="E88" s="1484"/>
      <c r="F88" s="1519"/>
      <c r="G88" s="1496"/>
      <c r="I88" s="1529"/>
      <c r="J88" s="1529"/>
      <c r="K88" s="1529"/>
      <c r="L88" s="1529"/>
      <c r="M88" s="1529"/>
      <c r="N88" s="1529"/>
      <c r="O88" s="1529"/>
      <c r="P88" s="1614"/>
    </row>
    <row r="89" spans="1:25" s="1539" customFormat="1" ht="12.75" customHeight="1">
      <c r="A89" s="1541"/>
      <c r="B89" s="1541"/>
      <c r="C89" s="1541"/>
      <c r="D89" s="1541"/>
      <c r="E89" s="1540"/>
      <c r="F89" s="1519"/>
      <c r="G89" s="1496"/>
      <c r="I89" s="1529"/>
      <c r="J89" s="1529"/>
      <c r="K89" s="1529"/>
      <c r="L89" s="1529"/>
      <c r="M89" s="1529"/>
      <c r="N89" s="1529"/>
      <c r="O89" s="1529"/>
      <c r="P89" s="1614"/>
      <c r="Q89" s="1486"/>
    </row>
    <row r="90" spans="1:25" s="1529" customFormat="1" ht="12.75" customHeight="1">
      <c r="A90" s="1484"/>
      <c r="B90" s="1484"/>
      <c r="C90" s="1484"/>
      <c r="D90" s="1484"/>
      <c r="E90" s="1541"/>
      <c r="F90" s="1519"/>
      <c r="G90" s="1496"/>
      <c r="P90" s="1614"/>
      <c r="Q90" s="1486"/>
    </row>
    <row r="91" spans="1:25" s="1529" customFormat="1" ht="12.75" customHeight="1">
      <c r="A91" s="1484"/>
      <c r="B91" s="1484"/>
      <c r="C91" s="1484"/>
      <c r="D91" s="1484"/>
      <c r="E91" s="1541"/>
      <c r="F91" s="1519"/>
      <c r="G91" s="1496"/>
      <c r="P91" s="1614"/>
      <c r="Q91" s="1486"/>
    </row>
    <row r="92" spans="1:25" s="1486" customFormat="1" ht="12.75" customHeight="1">
      <c r="A92" s="1542"/>
      <c r="B92" s="1484"/>
      <c r="C92" s="1484"/>
      <c r="D92" s="1484"/>
      <c r="E92" s="1484"/>
      <c r="I92" s="1529"/>
      <c r="J92" s="1529"/>
      <c r="K92" s="1529"/>
      <c r="L92" s="1529"/>
      <c r="M92" s="1529"/>
      <c r="N92" s="1529"/>
      <c r="O92" s="1529"/>
      <c r="P92" s="1614"/>
    </row>
    <row r="93" spans="1:25" s="1486" customFormat="1" ht="12.75" customHeight="1">
      <c r="A93" s="1543"/>
      <c r="B93" s="1484"/>
      <c r="C93" s="1484"/>
      <c r="D93" s="1484"/>
      <c r="E93" s="1484"/>
      <c r="I93" s="1529"/>
      <c r="J93" s="1529"/>
      <c r="K93" s="1529"/>
      <c r="L93" s="1529"/>
      <c r="M93" s="1529"/>
      <c r="N93" s="1529"/>
      <c r="O93" s="1529"/>
      <c r="P93" s="1614"/>
    </row>
    <row r="94" spans="1:25" s="1486" customFormat="1" ht="12.75" customHeight="1">
      <c r="A94" s="1543"/>
      <c r="B94" s="1484"/>
      <c r="C94" s="1484"/>
      <c r="D94" s="1484"/>
      <c r="E94" s="1484"/>
      <c r="I94" s="1529"/>
      <c r="J94" s="1529"/>
      <c r="K94" s="1529"/>
      <c r="L94" s="1529"/>
      <c r="M94" s="1529"/>
      <c r="N94" s="1529"/>
      <c r="O94" s="1529"/>
      <c r="P94" s="1614"/>
    </row>
    <row r="95" spans="1:25" s="1486" customFormat="1" ht="12.75" customHeight="1">
      <c r="A95" s="1543"/>
      <c r="B95" s="1484"/>
      <c r="C95" s="1484"/>
      <c r="D95" s="1484"/>
      <c r="E95" s="1484"/>
      <c r="I95" s="1529"/>
      <c r="J95" s="1529"/>
      <c r="K95" s="1529"/>
      <c r="L95" s="1529"/>
      <c r="M95" s="1529"/>
      <c r="N95" s="1529"/>
      <c r="O95" s="1529"/>
      <c r="P95" s="1614"/>
    </row>
    <row r="96" spans="1:25" ht="12.75" customHeight="1">
      <c r="A96" s="1543"/>
      <c r="E96" s="1544"/>
      <c r="I96" s="1529"/>
      <c r="J96" s="1529"/>
      <c r="K96" s="1529"/>
      <c r="L96" s="1529"/>
      <c r="M96" s="1529"/>
      <c r="N96" s="1529"/>
      <c r="O96" s="1529"/>
      <c r="P96" s="1614"/>
      <c r="R96" s="1545"/>
      <c r="S96" s="1545"/>
      <c r="T96" s="1545"/>
      <c r="U96" s="1545"/>
      <c r="V96" s="1545"/>
      <c r="W96" s="1545"/>
      <c r="X96" s="1545"/>
      <c r="Y96" s="1545"/>
    </row>
    <row r="97" spans="1:25" ht="12.75" customHeight="1">
      <c r="A97" s="1546"/>
      <c r="B97" s="1544"/>
      <c r="C97" s="1544"/>
      <c r="D97" s="1544"/>
      <c r="E97" s="1544"/>
      <c r="I97" s="1529"/>
      <c r="J97" s="1529"/>
      <c r="K97" s="1529"/>
      <c r="L97" s="1529"/>
      <c r="M97" s="1529"/>
      <c r="N97" s="1529"/>
      <c r="O97" s="1529"/>
      <c r="P97" s="1614"/>
      <c r="R97" s="1545"/>
      <c r="S97" s="1545"/>
      <c r="T97" s="1545"/>
      <c r="U97" s="1545"/>
      <c r="V97" s="1545"/>
      <c r="W97" s="1545"/>
      <c r="X97" s="1545"/>
      <c r="Y97" s="1545"/>
    </row>
    <row r="98" spans="1:25" ht="12.75" customHeight="1">
      <c r="A98" s="1546"/>
      <c r="B98" s="1544"/>
      <c r="C98" s="1544"/>
      <c r="D98" s="1544"/>
      <c r="E98" s="1544"/>
      <c r="I98" s="1529"/>
      <c r="J98" s="1529"/>
      <c r="K98" s="1529"/>
      <c r="L98" s="1529"/>
      <c r="M98" s="1529"/>
      <c r="N98" s="1529"/>
      <c r="O98" s="1529"/>
      <c r="P98" s="1614"/>
      <c r="R98" s="1545"/>
      <c r="S98" s="1545"/>
      <c r="T98" s="1545"/>
      <c r="U98" s="1545"/>
      <c r="V98" s="1545"/>
      <c r="W98" s="1545"/>
      <c r="X98" s="1545"/>
      <c r="Y98" s="1545"/>
    </row>
    <row r="99" spans="1:25" ht="12.75" customHeight="1">
      <c r="A99" s="1546"/>
      <c r="B99" s="1544"/>
      <c r="C99" s="1544"/>
      <c r="D99" s="1544"/>
      <c r="E99" s="1544"/>
      <c r="I99" s="1529"/>
      <c r="J99" s="1529"/>
      <c r="K99" s="1529"/>
      <c r="L99" s="1529"/>
      <c r="M99" s="1529"/>
      <c r="N99" s="1529"/>
      <c r="O99" s="1529"/>
      <c r="P99" s="1614"/>
      <c r="R99" s="1545"/>
      <c r="S99" s="1545"/>
      <c r="T99" s="1545"/>
      <c r="U99" s="1545"/>
      <c r="V99" s="1545"/>
      <c r="W99" s="1545"/>
      <c r="X99" s="1545"/>
      <c r="Y99" s="1545"/>
    </row>
    <row r="100" spans="1:25" ht="12.75" customHeight="1">
      <c r="A100" s="1546"/>
      <c r="B100" s="1544"/>
      <c r="C100" s="1544"/>
      <c r="D100" s="1544"/>
      <c r="E100" s="1544"/>
      <c r="I100" s="1529"/>
      <c r="J100" s="1529"/>
      <c r="K100" s="1529"/>
      <c r="L100" s="1529"/>
      <c r="M100" s="1529"/>
      <c r="N100" s="1529"/>
      <c r="O100" s="1529"/>
      <c r="P100" s="1614"/>
      <c r="R100" s="1545"/>
      <c r="S100" s="1545"/>
      <c r="T100" s="1545"/>
      <c r="U100" s="1545"/>
      <c r="V100" s="1545"/>
      <c r="W100" s="1545"/>
      <c r="X100" s="1545"/>
      <c r="Y100" s="1545"/>
    </row>
    <row r="101" spans="1:25" ht="12.75" customHeight="1">
      <c r="A101" s="1546"/>
      <c r="B101" s="1544"/>
      <c r="C101" s="1544"/>
      <c r="D101" s="1544"/>
      <c r="E101" s="1544"/>
      <c r="I101" s="1529"/>
      <c r="J101" s="1529"/>
      <c r="K101" s="1529"/>
      <c r="L101" s="1529"/>
      <c r="M101" s="1529"/>
      <c r="N101" s="1529"/>
      <c r="O101" s="1529"/>
      <c r="P101" s="1614"/>
      <c r="R101" s="1545"/>
      <c r="S101" s="1545"/>
      <c r="T101" s="1545"/>
      <c r="U101" s="1545"/>
      <c r="V101" s="1545"/>
      <c r="W101" s="1545"/>
      <c r="X101" s="1545"/>
      <c r="Y101" s="1545"/>
    </row>
    <row r="102" spans="1:25" ht="12.75" customHeight="1">
      <c r="A102" s="1546"/>
      <c r="B102" s="1544"/>
      <c r="C102" s="1544"/>
      <c r="D102" s="1544"/>
      <c r="E102" s="1544"/>
      <c r="I102" s="1529"/>
      <c r="J102" s="1529"/>
      <c r="K102" s="1529"/>
      <c r="L102" s="1529"/>
      <c r="M102" s="1529"/>
      <c r="N102" s="1529"/>
      <c r="O102" s="1529"/>
      <c r="P102" s="1614"/>
      <c r="R102" s="1545"/>
      <c r="S102" s="1545"/>
      <c r="T102" s="1545"/>
      <c r="U102" s="1545"/>
      <c r="V102" s="1545"/>
      <c r="W102" s="1545"/>
      <c r="X102" s="1545"/>
      <c r="Y102" s="1545"/>
    </row>
    <row r="103" spans="1:25" ht="12.75" customHeight="1">
      <c r="A103" s="1546"/>
      <c r="B103" s="1544"/>
      <c r="C103" s="1544"/>
      <c r="D103" s="1544"/>
      <c r="E103" s="1544"/>
      <c r="I103" s="1529"/>
      <c r="J103" s="1529"/>
      <c r="K103" s="1529"/>
      <c r="L103" s="1529"/>
      <c r="M103" s="1529"/>
      <c r="N103" s="1529"/>
      <c r="O103" s="1529"/>
      <c r="P103" s="1614"/>
      <c r="R103" s="1545"/>
      <c r="S103" s="1545"/>
      <c r="T103" s="1545"/>
      <c r="U103" s="1545"/>
      <c r="V103" s="1545"/>
      <c r="W103" s="1545"/>
      <c r="X103" s="1545"/>
      <c r="Y103" s="1545"/>
    </row>
    <row r="104" spans="1:25" ht="12.75" customHeight="1">
      <c r="A104" s="1546"/>
      <c r="B104" s="1544"/>
      <c r="C104" s="1544"/>
      <c r="D104" s="1544"/>
      <c r="E104" s="1544"/>
      <c r="I104" s="1529"/>
      <c r="J104" s="1529"/>
      <c r="K104" s="1529"/>
      <c r="L104" s="1529"/>
      <c r="M104" s="1529"/>
      <c r="N104" s="1529"/>
      <c r="O104" s="1529"/>
      <c r="P104" s="1614"/>
      <c r="R104" s="1545"/>
      <c r="S104" s="1545"/>
      <c r="T104" s="1545"/>
      <c r="U104" s="1545"/>
      <c r="V104" s="1545"/>
      <c r="W104" s="1545"/>
      <c r="X104" s="1545"/>
      <c r="Y104" s="1545"/>
    </row>
    <row r="105" spans="1:25" ht="12.75" customHeight="1">
      <c r="A105" s="1546"/>
      <c r="B105" s="1544"/>
      <c r="C105" s="1544"/>
      <c r="D105" s="1544"/>
      <c r="E105" s="1544"/>
      <c r="I105" s="1529"/>
      <c r="J105" s="1529"/>
      <c r="K105" s="1529"/>
      <c r="L105" s="1529"/>
      <c r="M105" s="1529"/>
      <c r="N105" s="1529"/>
      <c r="O105" s="1529"/>
      <c r="P105" s="1614"/>
      <c r="R105" s="1545"/>
      <c r="S105" s="1545"/>
      <c r="T105" s="1545"/>
      <c r="U105" s="1545"/>
      <c r="V105" s="1545"/>
      <c r="W105" s="1545"/>
      <c r="X105" s="1545"/>
      <c r="Y105" s="1545"/>
    </row>
    <row r="106" spans="1:25" ht="12.75" customHeight="1">
      <c r="A106" s="1546"/>
      <c r="B106" s="1544"/>
      <c r="C106" s="1544"/>
      <c r="D106" s="1544"/>
      <c r="E106" s="1544"/>
      <c r="I106" s="1529"/>
      <c r="J106" s="1529"/>
      <c r="K106" s="1529"/>
      <c r="L106" s="1529"/>
      <c r="M106" s="1529"/>
      <c r="N106" s="1529"/>
      <c r="O106" s="1529"/>
      <c r="P106" s="1614"/>
      <c r="R106" s="1545"/>
      <c r="S106" s="1545"/>
      <c r="T106" s="1545"/>
      <c r="U106" s="1545"/>
      <c r="V106" s="1545"/>
      <c r="W106" s="1545"/>
      <c r="X106" s="1545"/>
      <c r="Y106" s="1545"/>
    </row>
    <row r="107" spans="1:25" ht="12.75" customHeight="1">
      <c r="A107" s="1546"/>
      <c r="B107" s="1544"/>
      <c r="C107" s="1544"/>
      <c r="D107" s="1544"/>
      <c r="E107" s="1544"/>
      <c r="I107" s="1529"/>
      <c r="J107" s="1529"/>
      <c r="K107" s="1529"/>
      <c r="L107" s="1529"/>
      <c r="M107" s="1529"/>
      <c r="N107" s="1529"/>
      <c r="O107" s="1529"/>
      <c r="P107" s="1614"/>
      <c r="R107" s="1545"/>
      <c r="S107" s="1545"/>
      <c r="T107" s="1545"/>
      <c r="U107" s="1545"/>
      <c r="V107" s="1545"/>
      <c r="W107" s="1545"/>
      <c r="X107" s="1545"/>
      <c r="Y107" s="1545"/>
    </row>
    <row r="108" spans="1:25" ht="12.75" customHeight="1">
      <c r="A108" s="1546"/>
      <c r="B108" s="1544"/>
      <c r="C108" s="1544"/>
      <c r="D108" s="1544"/>
      <c r="E108" s="1544"/>
      <c r="I108" s="1529"/>
      <c r="J108" s="1529"/>
      <c r="K108" s="1529"/>
      <c r="L108" s="1529"/>
      <c r="M108" s="1529"/>
      <c r="N108" s="1529"/>
      <c r="O108" s="1529"/>
      <c r="P108" s="1614"/>
      <c r="R108" s="1545"/>
      <c r="S108" s="1545"/>
      <c r="T108" s="1545"/>
      <c r="U108" s="1545"/>
      <c r="V108" s="1545"/>
      <c r="W108" s="1545"/>
      <c r="X108" s="1545"/>
      <c r="Y108" s="1545"/>
    </row>
    <row r="109" spans="1:25" ht="12.75" customHeight="1">
      <c r="A109" s="1546"/>
      <c r="B109" s="1544"/>
      <c r="C109" s="1544"/>
      <c r="D109" s="1544"/>
      <c r="E109" s="1544"/>
      <c r="I109" s="1529"/>
      <c r="J109" s="1529"/>
      <c r="K109" s="1529"/>
      <c r="L109" s="1529"/>
      <c r="M109" s="1529"/>
      <c r="N109" s="1529"/>
      <c r="O109" s="1529"/>
      <c r="P109" s="1614"/>
      <c r="R109" s="1545"/>
      <c r="S109" s="1545"/>
      <c r="T109" s="1545"/>
      <c r="U109" s="1545"/>
      <c r="V109" s="1545"/>
      <c r="W109" s="1545"/>
      <c r="X109" s="1545"/>
      <c r="Y109" s="1545"/>
    </row>
    <row r="110" spans="1:25" ht="12.75" customHeight="1">
      <c r="A110" s="1546"/>
      <c r="B110" s="1544"/>
      <c r="C110" s="1544"/>
      <c r="D110" s="1544"/>
      <c r="E110" s="1544"/>
      <c r="I110" s="1529"/>
      <c r="J110" s="1529"/>
      <c r="K110" s="1529"/>
      <c r="L110" s="1529"/>
      <c r="M110" s="1529"/>
      <c r="N110" s="1529"/>
      <c r="O110" s="1529"/>
      <c r="P110" s="1614"/>
      <c r="R110" s="1545"/>
      <c r="S110" s="1545"/>
      <c r="T110" s="1545"/>
      <c r="U110" s="1545"/>
      <c r="V110" s="1545"/>
      <c r="W110" s="1545"/>
      <c r="X110" s="1545"/>
      <c r="Y110" s="1545"/>
    </row>
    <row r="111" spans="1:25" ht="12.75" customHeight="1">
      <c r="A111" s="1546"/>
      <c r="B111" s="1544"/>
      <c r="C111" s="1544"/>
      <c r="D111" s="1544"/>
      <c r="E111" s="1544"/>
      <c r="I111" s="1529"/>
      <c r="J111" s="1529"/>
      <c r="K111" s="1529"/>
      <c r="L111" s="1529"/>
      <c r="M111" s="1529"/>
      <c r="N111" s="1529"/>
      <c r="O111" s="1529"/>
      <c r="P111" s="1614"/>
      <c r="R111" s="1545"/>
      <c r="S111" s="1545"/>
      <c r="T111" s="1545"/>
      <c r="U111" s="1545"/>
      <c r="V111" s="1545"/>
      <c r="W111" s="1545"/>
      <c r="X111" s="1545"/>
      <c r="Y111" s="1545"/>
    </row>
    <row r="112" spans="1:25" ht="12.75" customHeight="1">
      <c r="A112" s="1546"/>
      <c r="B112" s="1544"/>
      <c r="C112" s="1544"/>
      <c r="D112" s="1544"/>
      <c r="E112" s="1544"/>
      <c r="I112" s="1529"/>
      <c r="J112" s="1529"/>
      <c r="K112" s="1529"/>
      <c r="L112" s="1529"/>
      <c r="M112" s="1529"/>
      <c r="N112" s="1529"/>
      <c r="O112" s="1529"/>
      <c r="P112" s="1614"/>
      <c r="R112" s="1545"/>
      <c r="S112" s="1545"/>
      <c r="T112" s="1545"/>
      <c r="U112" s="1545"/>
      <c r="V112" s="1545"/>
      <c r="W112" s="1545"/>
      <c r="X112" s="1545"/>
      <c r="Y112" s="1545"/>
    </row>
    <row r="113" spans="1:25" ht="12.75" customHeight="1">
      <c r="A113" s="1546"/>
      <c r="B113" s="1544"/>
      <c r="C113" s="1544"/>
      <c r="D113" s="1544"/>
      <c r="E113" s="1544"/>
      <c r="I113" s="1529"/>
      <c r="J113" s="1529"/>
      <c r="K113" s="1529"/>
      <c r="L113" s="1529"/>
      <c r="M113" s="1529"/>
      <c r="N113" s="1529"/>
      <c r="O113" s="1529"/>
      <c r="P113" s="1614"/>
      <c r="R113" s="1545"/>
      <c r="S113" s="1545"/>
      <c r="T113" s="1545"/>
      <c r="U113" s="1545"/>
      <c r="V113" s="1545"/>
      <c r="W113" s="1545"/>
      <c r="X113" s="1545"/>
      <c r="Y113" s="1545"/>
    </row>
    <row r="114" spans="1:25" ht="12.75" customHeight="1">
      <c r="A114" s="1546"/>
      <c r="B114" s="1544"/>
      <c r="C114" s="1544"/>
      <c r="D114" s="1544"/>
      <c r="E114" s="1544"/>
      <c r="I114" s="1529"/>
      <c r="J114" s="1529"/>
      <c r="K114" s="1529"/>
      <c r="L114" s="1529"/>
      <c r="M114" s="1529"/>
      <c r="N114" s="1529"/>
      <c r="O114" s="1529"/>
      <c r="P114" s="1614"/>
      <c r="R114" s="1545"/>
      <c r="S114" s="1545"/>
      <c r="T114" s="1545"/>
      <c r="U114" s="1545"/>
      <c r="V114" s="1545"/>
      <c r="W114" s="1545"/>
      <c r="X114" s="1545"/>
      <c r="Y114" s="1545"/>
    </row>
    <row r="115" spans="1:25" ht="12.75" customHeight="1">
      <c r="A115" s="1546"/>
      <c r="B115" s="1544"/>
      <c r="C115" s="1544"/>
      <c r="D115" s="1544"/>
      <c r="E115" s="1544"/>
      <c r="I115" s="1529"/>
      <c r="J115" s="1529"/>
      <c r="K115" s="1529"/>
      <c r="L115" s="1529"/>
      <c r="M115" s="1529"/>
      <c r="N115" s="1529"/>
      <c r="O115" s="1529"/>
      <c r="P115" s="1614"/>
      <c r="R115" s="1545"/>
      <c r="S115" s="1545"/>
      <c r="T115" s="1545"/>
      <c r="U115" s="1545"/>
      <c r="V115" s="1545"/>
      <c r="W115" s="1545"/>
      <c r="X115" s="1545"/>
      <c r="Y115" s="1545"/>
    </row>
    <row r="116" spans="1:25" ht="12.75" customHeight="1">
      <c r="A116" s="1546"/>
      <c r="B116" s="1544"/>
      <c r="C116" s="1544"/>
      <c r="D116" s="1544"/>
      <c r="E116" s="1544"/>
      <c r="I116" s="1529"/>
      <c r="J116" s="1529"/>
      <c r="K116" s="1529"/>
      <c r="L116" s="1529"/>
      <c r="M116" s="1529"/>
      <c r="N116" s="1529"/>
      <c r="O116" s="1529"/>
      <c r="P116" s="1614"/>
      <c r="R116" s="1545"/>
      <c r="S116" s="1545"/>
      <c r="T116" s="1545"/>
      <c r="U116" s="1545"/>
      <c r="V116" s="1545"/>
      <c r="W116" s="1545"/>
      <c r="X116" s="1545"/>
      <c r="Y116" s="1545"/>
    </row>
    <row r="117" spans="1:25" ht="12.75" customHeight="1">
      <c r="A117" s="1546"/>
      <c r="B117" s="1544"/>
      <c r="C117" s="1544"/>
      <c r="D117" s="1544"/>
      <c r="E117" s="1544"/>
      <c r="I117" s="1529"/>
      <c r="J117" s="1529"/>
      <c r="K117" s="1529"/>
      <c r="L117" s="1529"/>
      <c r="M117" s="1529"/>
      <c r="N117" s="1529"/>
      <c r="O117" s="1529"/>
      <c r="P117" s="1614"/>
      <c r="R117" s="1545"/>
      <c r="S117" s="1545"/>
      <c r="T117" s="1545"/>
      <c r="U117" s="1545"/>
      <c r="V117" s="1545"/>
      <c r="W117" s="1545"/>
      <c r="X117" s="1545"/>
      <c r="Y117" s="1545"/>
    </row>
    <row r="118" spans="1:25" ht="12.75" customHeight="1">
      <c r="A118" s="1546"/>
      <c r="B118" s="1544"/>
      <c r="C118" s="1544"/>
      <c r="D118" s="1544"/>
      <c r="E118" s="1544"/>
      <c r="I118" s="1529"/>
      <c r="J118" s="1529"/>
      <c r="K118" s="1529"/>
      <c r="L118" s="1529"/>
      <c r="M118" s="1529"/>
      <c r="N118" s="1529"/>
      <c r="O118" s="1529"/>
      <c r="P118" s="1614"/>
      <c r="R118" s="1545"/>
      <c r="S118" s="1545"/>
      <c r="T118" s="1545"/>
      <c r="U118" s="1545"/>
      <c r="V118" s="1545"/>
      <c r="W118" s="1545"/>
      <c r="X118" s="1545"/>
      <c r="Y118" s="1545"/>
    </row>
    <row r="119" spans="1:25" ht="12.75" customHeight="1">
      <c r="A119" s="1544"/>
      <c r="B119" s="1544"/>
      <c r="C119" s="1544"/>
      <c r="D119" s="1544"/>
      <c r="E119" s="1544"/>
      <c r="I119" s="1529"/>
      <c r="J119" s="1529"/>
      <c r="K119" s="1529"/>
      <c r="L119" s="1529"/>
      <c r="M119" s="1529"/>
      <c r="N119" s="1529"/>
      <c r="O119" s="1529"/>
      <c r="P119" s="1614"/>
      <c r="R119" s="1545"/>
      <c r="S119" s="1545"/>
      <c r="T119" s="1545"/>
      <c r="U119" s="1545"/>
      <c r="V119" s="1545"/>
      <c r="W119" s="1545"/>
      <c r="X119" s="1545"/>
      <c r="Y119" s="1545"/>
    </row>
    <row r="120" spans="1:25" ht="12.75" customHeight="1">
      <c r="A120" s="1544"/>
      <c r="B120" s="1544"/>
      <c r="C120" s="1544"/>
      <c r="D120" s="1544"/>
      <c r="E120" s="1544"/>
      <c r="I120" s="1529"/>
      <c r="J120" s="1529"/>
      <c r="K120" s="1529"/>
      <c r="L120" s="1529"/>
      <c r="M120" s="1529"/>
      <c r="N120" s="1529"/>
      <c r="O120" s="1529"/>
      <c r="P120" s="1614"/>
      <c r="R120" s="1545"/>
      <c r="S120" s="1545"/>
      <c r="T120" s="1545"/>
      <c r="U120" s="1545"/>
      <c r="V120" s="1545"/>
      <c r="W120" s="1545"/>
      <c r="X120" s="1545"/>
      <c r="Y120" s="1545"/>
    </row>
    <row r="121" spans="1:25" ht="12.75" customHeight="1">
      <c r="A121" s="1544"/>
      <c r="B121" s="1544"/>
      <c r="C121" s="1544"/>
      <c r="D121" s="1544"/>
      <c r="E121" s="1544"/>
      <c r="I121" s="1529"/>
      <c r="J121" s="1529"/>
      <c r="K121" s="1529"/>
      <c r="L121" s="1529"/>
      <c r="M121" s="1529"/>
      <c r="N121" s="1529"/>
      <c r="O121" s="1529"/>
      <c r="P121" s="1614"/>
      <c r="R121" s="1545"/>
      <c r="S121" s="1545"/>
      <c r="T121" s="1545"/>
      <c r="U121" s="1545"/>
      <c r="V121" s="1545"/>
      <c r="W121" s="1545"/>
      <c r="X121" s="1545"/>
      <c r="Y121" s="1545"/>
    </row>
    <row r="122" spans="1:25" ht="12.75" customHeight="1">
      <c r="A122" s="1544"/>
      <c r="B122" s="1544"/>
      <c r="C122" s="1544"/>
      <c r="D122" s="1544"/>
      <c r="E122" s="1544"/>
      <c r="I122" s="1529"/>
      <c r="J122" s="1529"/>
      <c r="K122" s="1529"/>
      <c r="L122" s="1529"/>
      <c r="M122" s="1529"/>
      <c r="N122" s="1529"/>
      <c r="O122" s="1529"/>
      <c r="P122" s="1614"/>
      <c r="R122" s="1545"/>
      <c r="S122" s="1545"/>
      <c r="T122" s="1545"/>
      <c r="U122" s="1545"/>
      <c r="V122" s="1545"/>
      <c r="W122" s="1545"/>
      <c r="X122" s="1545"/>
      <c r="Y122" s="1545"/>
    </row>
    <row r="123" spans="1:25" ht="12.75" customHeight="1">
      <c r="A123" s="1544"/>
      <c r="B123" s="1544"/>
      <c r="C123" s="1544"/>
      <c r="D123" s="1544"/>
      <c r="E123" s="1544"/>
      <c r="I123" s="1529"/>
      <c r="J123" s="1529"/>
      <c r="K123" s="1529"/>
      <c r="L123" s="1529"/>
      <c r="M123" s="1529"/>
      <c r="N123" s="1529"/>
      <c r="O123" s="1529"/>
      <c r="P123" s="1614"/>
      <c r="R123" s="1545"/>
      <c r="S123" s="1545"/>
      <c r="T123" s="1545"/>
      <c r="U123" s="1545"/>
      <c r="V123" s="1545"/>
      <c r="W123" s="1545"/>
      <c r="X123" s="1545"/>
      <c r="Y123" s="1545"/>
    </row>
    <row r="124" spans="1:25" ht="12.75" customHeight="1">
      <c r="A124" s="1544"/>
      <c r="B124" s="1544"/>
      <c r="C124" s="1544"/>
      <c r="D124" s="1544"/>
      <c r="E124" s="1544"/>
      <c r="I124" s="1529"/>
      <c r="J124" s="1529"/>
      <c r="K124" s="1529"/>
      <c r="L124" s="1529"/>
      <c r="M124" s="1529"/>
      <c r="N124" s="1529"/>
      <c r="O124" s="1529"/>
      <c r="P124" s="1614"/>
      <c r="R124" s="1545"/>
      <c r="S124" s="1545"/>
      <c r="T124" s="1545"/>
      <c r="U124" s="1545"/>
      <c r="V124" s="1545"/>
      <c r="W124" s="1545"/>
      <c r="X124" s="1545"/>
      <c r="Y124" s="1545"/>
    </row>
    <row r="125" spans="1:25" ht="12.75" customHeight="1">
      <c r="A125" s="1544"/>
      <c r="B125" s="1544"/>
      <c r="C125" s="1544"/>
      <c r="D125" s="1544"/>
      <c r="E125" s="1544"/>
      <c r="I125" s="1529"/>
      <c r="J125" s="1529"/>
      <c r="K125" s="1529"/>
      <c r="L125" s="1529"/>
      <c r="M125" s="1529"/>
      <c r="N125" s="1529"/>
      <c r="O125" s="1529"/>
      <c r="P125" s="1614"/>
      <c r="R125" s="1545"/>
      <c r="S125" s="1545"/>
      <c r="T125" s="1545"/>
      <c r="U125" s="1545"/>
      <c r="V125" s="1545"/>
      <c r="W125" s="1545"/>
      <c r="X125" s="1545"/>
      <c r="Y125" s="1545"/>
    </row>
    <row r="126" spans="1:25" ht="12.75" customHeight="1">
      <c r="A126" s="1544"/>
      <c r="B126" s="1544"/>
      <c r="C126" s="1544"/>
      <c r="D126" s="1544"/>
      <c r="E126" s="1544"/>
      <c r="I126" s="1529"/>
      <c r="J126" s="1529"/>
      <c r="K126" s="1529"/>
      <c r="L126" s="1529"/>
      <c r="M126" s="1529"/>
      <c r="N126" s="1529"/>
      <c r="O126" s="1529"/>
      <c r="P126" s="1614"/>
      <c r="R126" s="1545"/>
      <c r="S126" s="1545"/>
      <c r="T126" s="1545"/>
      <c r="U126" s="1545"/>
      <c r="V126" s="1545"/>
      <c r="W126" s="1545"/>
      <c r="X126" s="1545"/>
      <c r="Y126" s="1545"/>
    </row>
    <row r="127" spans="1:25" ht="12.75" customHeight="1">
      <c r="A127" s="1544"/>
      <c r="B127" s="1544"/>
      <c r="C127" s="1544"/>
      <c r="D127" s="1544"/>
      <c r="E127" s="1544"/>
      <c r="I127" s="1529"/>
      <c r="J127" s="1529"/>
      <c r="K127" s="1529"/>
      <c r="L127" s="1529"/>
      <c r="M127" s="1529"/>
      <c r="N127" s="1529"/>
      <c r="O127" s="1529"/>
      <c r="P127" s="1614"/>
      <c r="R127" s="1545"/>
      <c r="S127" s="1545"/>
      <c r="T127" s="1545"/>
      <c r="U127" s="1545"/>
      <c r="V127" s="1545"/>
      <c r="W127" s="1545"/>
      <c r="X127" s="1545"/>
      <c r="Y127" s="1545"/>
    </row>
    <row r="128" spans="1:25">
      <c r="A128" s="1544"/>
      <c r="B128" s="1544"/>
      <c r="C128" s="1544"/>
      <c r="D128" s="1544"/>
      <c r="E128" s="1544"/>
      <c r="I128" s="1529"/>
      <c r="J128" s="1529"/>
      <c r="K128" s="1529"/>
      <c r="L128" s="1529"/>
      <c r="M128" s="1529"/>
      <c r="N128" s="1529"/>
      <c r="O128" s="1529"/>
      <c r="P128" s="1614"/>
      <c r="R128" s="1545"/>
      <c r="S128" s="1545"/>
      <c r="T128" s="1545"/>
      <c r="U128" s="1545"/>
      <c r="V128" s="1545"/>
      <c r="W128" s="1545"/>
      <c r="X128" s="1545"/>
      <c r="Y128" s="1545"/>
    </row>
    <row r="129" spans="1:25">
      <c r="A129" s="1544"/>
      <c r="B129" s="1544"/>
      <c r="C129" s="1544"/>
      <c r="D129" s="1544"/>
      <c r="E129" s="1544"/>
      <c r="I129" s="1529"/>
      <c r="J129" s="1529"/>
      <c r="K129" s="1529"/>
      <c r="L129" s="1529"/>
      <c r="M129" s="1529"/>
      <c r="N129" s="1529"/>
      <c r="O129" s="1529"/>
      <c r="P129" s="1614"/>
      <c r="R129" s="1545"/>
      <c r="S129" s="1545"/>
      <c r="T129" s="1545"/>
      <c r="U129" s="1545"/>
      <c r="V129" s="1545"/>
      <c r="W129" s="1545"/>
      <c r="X129" s="1545"/>
      <c r="Y129" s="1545"/>
    </row>
    <row r="130" spans="1:25">
      <c r="A130" s="1544"/>
      <c r="B130" s="1544"/>
      <c r="C130" s="1544"/>
      <c r="D130" s="1544"/>
      <c r="E130" s="1544"/>
      <c r="I130" s="1529"/>
      <c r="J130" s="1529"/>
      <c r="K130" s="1529"/>
      <c r="L130" s="1529"/>
      <c r="M130" s="1529"/>
      <c r="N130" s="1529"/>
      <c r="O130" s="1529"/>
      <c r="P130" s="1614"/>
      <c r="R130" s="1545"/>
      <c r="S130" s="1545"/>
      <c r="T130" s="1545"/>
      <c r="U130" s="1545"/>
      <c r="V130" s="1545"/>
      <c r="W130" s="1545"/>
      <c r="X130" s="1545"/>
      <c r="Y130" s="1545"/>
    </row>
    <row r="131" spans="1:25">
      <c r="A131" s="1544"/>
      <c r="B131" s="1544"/>
      <c r="C131" s="1544"/>
      <c r="D131" s="1544"/>
      <c r="E131" s="1544"/>
      <c r="I131" s="1529"/>
      <c r="J131" s="1529"/>
      <c r="K131" s="1529"/>
      <c r="L131" s="1529"/>
      <c r="M131" s="1529"/>
      <c r="N131" s="1529"/>
      <c r="O131" s="1529"/>
      <c r="P131" s="1614"/>
      <c r="R131" s="1545"/>
      <c r="S131" s="1545"/>
      <c r="T131" s="1545"/>
      <c r="U131" s="1545"/>
      <c r="V131" s="1545"/>
      <c r="W131" s="1545"/>
      <c r="X131" s="1545"/>
      <c r="Y131" s="1545"/>
    </row>
    <row r="132" spans="1:25">
      <c r="A132" s="1544"/>
      <c r="B132" s="1544"/>
      <c r="C132" s="1544"/>
      <c r="D132" s="1544"/>
      <c r="E132" s="1544"/>
      <c r="I132" s="1529"/>
      <c r="J132" s="1529"/>
      <c r="K132" s="1529"/>
      <c r="L132" s="1529"/>
      <c r="M132" s="1529"/>
      <c r="N132" s="1529"/>
      <c r="O132" s="1529"/>
      <c r="P132" s="1614"/>
      <c r="R132" s="1545"/>
      <c r="S132" s="1545"/>
      <c r="T132" s="1545"/>
      <c r="U132" s="1545"/>
      <c r="V132" s="1545"/>
      <c r="W132" s="1545"/>
      <c r="X132" s="1545"/>
      <c r="Y132" s="1545"/>
    </row>
    <row r="133" spans="1:25">
      <c r="A133" s="1544"/>
      <c r="B133" s="1544"/>
      <c r="C133" s="1544"/>
      <c r="D133" s="1544"/>
      <c r="E133" s="1544"/>
      <c r="I133" s="1529"/>
      <c r="J133" s="1529"/>
      <c r="K133" s="1529"/>
      <c r="L133" s="1529"/>
      <c r="M133" s="1529"/>
      <c r="N133" s="1529"/>
      <c r="O133" s="1529"/>
      <c r="P133" s="1614"/>
      <c r="R133" s="1545"/>
      <c r="S133" s="1545"/>
      <c r="T133" s="1545"/>
      <c r="U133" s="1545"/>
      <c r="V133" s="1545"/>
      <c r="W133" s="1545"/>
      <c r="X133" s="1545"/>
      <c r="Y133" s="1545"/>
    </row>
    <row r="134" spans="1:25">
      <c r="A134" s="1544"/>
      <c r="B134" s="1544"/>
      <c r="C134" s="1544"/>
      <c r="D134" s="1544"/>
      <c r="E134" s="1544"/>
      <c r="I134" s="1529"/>
      <c r="J134" s="1529"/>
      <c r="K134" s="1529"/>
      <c r="L134" s="1529"/>
      <c r="M134" s="1529"/>
      <c r="N134" s="1529"/>
      <c r="O134" s="1529"/>
      <c r="P134" s="1614"/>
      <c r="R134" s="1545"/>
      <c r="S134" s="1545"/>
      <c r="T134" s="1545"/>
      <c r="U134" s="1545"/>
      <c r="V134" s="1545"/>
      <c r="W134" s="1545"/>
      <c r="X134" s="1545"/>
      <c r="Y134" s="1545"/>
    </row>
    <row r="135" spans="1:25">
      <c r="A135" s="1544"/>
      <c r="B135" s="1544"/>
      <c r="C135" s="1544"/>
      <c r="D135" s="1544"/>
      <c r="E135" s="1544"/>
      <c r="I135" s="1529"/>
      <c r="J135" s="1529"/>
      <c r="K135" s="1529"/>
      <c r="L135" s="1529"/>
      <c r="M135" s="1529"/>
      <c r="N135" s="1529"/>
      <c r="O135" s="1529"/>
      <c r="P135" s="1614"/>
      <c r="R135" s="1545"/>
      <c r="S135" s="1545"/>
      <c r="T135" s="1545"/>
      <c r="U135" s="1545"/>
      <c r="V135" s="1545"/>
      <c r="W135" s="1545"/>
      <c r="X135" s="1545"/>
      <c r="Y135" s="1545"/>
    </row>
    <row r="136" spans="1:25">
      <c r="A136" s="1544"/>
      <c r="B136" s="1544"/>
      <c r="C136" s="1544"/>
      <c r="D136" s="1544"/>
      <c r="E136" s="1544"/>
      <c r="I136" s="1529"/>
      <c r="J136" s="1529"/>
      <c r="K136" s="1529"/>
      <c r="L136" s="1529"/>
      <c r="M136" s="1529"/>
      <c r="N136" s="1529"/>
      <c r="O136" s="1529"/>
      <c r="P136" s="1614"/>
      <c r="R136" s="1545"/>
      <c r="S136" s="1545"/>
      <c r="T136" s="1545"/>
      <c r="U136" s="1545"/>
      <c r="V136" s="1545"/>
      <c r="W136" s="1545"/>
      <c r="X136" s="1545"/>
      <c r="Y136" s="1545"/>
    </row>
    <row r="137" spans="1:25">
      <c r="A137" s="1544"/>
      <c r="B137" s="1544"/>
      <c r="C137" s="1544"/>
      <c r="D137" s="1544"/>
      <c r="E137" s="1544"/>
      <c r="I137" s="1529"/>
      <c r="J137" s="1529"/>
      <c r="K137" s="1529"/>
      <c r="L137" s="1529"/>
      <c r="M137" s="1529"/>
      <c r="N137" s="1529"/>
      <c r="O137" s="1529"/>
      <c r="P137" s="1614"/>
      <c r="R137" s="1545"/>
      <c r="S137" s="1545"/>
      <c r="T137" s="1545"/>
      <c r="U137" s="1545"/>
      <c r="V137" s="1545"/>
      <c r="W137" s="1545"/>
      <c r="X137" s="1545"/>
      <c r="Y137" s="1545"/>
    </row>
    <row r="138" spans="1:25">
      <c r="A138" s="1544"/>
      <c r="B138" s="1544"/>
      <c r="C138" s="1544"/>
      <c r="D138" s="1544"/>
      <c r="E138" s="1544"/>
      <c r="I138" s="1529"/>
      <c r="J138" s="1529"/>
      <c r="K138" s="1529"/>
      <c r="L138" s="1529"/>
      <c r="M138" s="1529"/>
      <c r="N138" s="1529"/>
      <c r="O138" s="1529"/>
      <c r="P138" s="1614"/>
      <c r="R138" s="1545"/>
      <c r="S138" s="1545"/>
      <c r="T138" s="1545"/>
      <c r="U138" s="1545"/>
      <c r="V138" s="1545"/>
      <c r="W138" s="1545"/>
      <c r="X138" s="1545"/>
      <c r="Y138" s="1545"/>
    </row>
    <row r="139" spans="1:25">
      <c r="A139" s="1544"/>
      <c r="B139" s="1544"/>
      <c r="C139" s="1544"/>
      <c r="D139" s="1544"/>
      <c r="E139" s="1544"/>
      <c r="I139" s="1529"/>
      <c r="J139" s="1529"/>
      <c r="K139" s="1529"/>
      <c r="L139" s="1529"/>
      <c r="M139" s="1529"/>
      <c r="N139" s="1529"/>
      <c r="O139" s="1529"/>
      <c r="P139" s="1614"/>
      <c r="R139" s="1545"/>
      <c r="S139" s="1545"/>
      <c r="T139" s="1545"/>
      <c r="U139" s="1545"/>
      <c r="V139" s="1545"/>
      <c r="W139" s="1545"/>
      <c r="X139" s="1545"/>
      <c r="Y139" s="1545"/>
    </row>
    <row r="140" spans="1:25">
      <c r="A140" s="1544"/>
      <c r="B140" s="1544"/>
      <c r="C140" s="1544"/>
      <c r="D140" s="1544"/>
      <c r="E140" s="1544"/>
      <c r="I140" s="1529"/>
      <c r="J140" s="1529"/>
      <c r="K140" s="1529"/>
      <c r="L140" s="1529"/>
      <c r="M140" s="1529"/>
      <c r="N140" s="1529"/>
      <c r="O140" s="1529"/>
      <c r="P140" s="1614"/>
      <c r="R140" s="1545"/>
      <c r="S140" s="1545"/>
      <c r="T140" s="1545"/>
      <c r="U140" s="1545"/>
      <c r="V140" s="1545"/>
      <c r="W140" s="1545"/>
      <c r="X140" s="1545"/>
      <c r="Y140" s="1545"/>
    </row>
    <row r="141" spans="1:25">
      <c r="A141" s="1544"/>
      <c r="B141" s="1544"/>
      <c r="C141" s="1544"/>
      <c r="D141" s="1544"/>
      <c r="E141" s="1544"/>
      <c r="I141" s="1529"/>
      <c r="J141" s="1529"/>
      <c r="K141" s="1529"/>
      <c r="L141" s="1529"/>
      <c r="M141" s="1529"/>
      <c r="N141" s="1529"/>
      <c r="O141" s="1529"/>
      <c r="P141" s="1614"/>
      <c r="R141" s="1545"/>
      <c r="S141" s="1545"/>
      <c r="T141" s="1545"/>
      <c r="U141" s="1545"/>
      <c r="V141" s="1545"/>
      <c r="W141" s="1545"/>
      <c r="X141" s="1545"/>
      <c r="Y141" s="1545"/>
    </row>
    <row r="142" spans="1:25">
      <c r="A142" s="1544"/>
      <c r="B142" s="1544"/>
      <c r="C142" s="1544"/>
      <c r="D142" s="1544"/>
      <c r="E142" s="1544"/>
      <c r="I142" s="1529"/>
      <c r="J142" s="1529"/>
      <c r="K142" s="1529"/>
      <c r="L142" s="1529"/>
      <c r="M142" s="1529"/>
      <c r="N142" s="1529"/>
      <c r="O142" s="1529"/>
      <c r="P142" s="1614"/>
      <c r="R142" s="1545"/>
      <c r="S142" s="1545"/>
      <c r="T142" s="1545"/>
      <c r="U142" s="1545"/>
      <c r="V142" s="1545"/>
      <c r="W142" s="1545"/>
      <c r="X142" s="1545"/>
      <c r="Y142" s="1545"/>
    </row>
    <row r="143" spans="1:25">
      <c r="A143" s="1544"/>
      <c r="B143" s="1544"/>
      <c r="C143" s="1544"/>
      <c r="D143" s="1544"/>
      <c r="E143" s="1544"/>
      <c r="I143" s="1529"/>
      <c r="J143" s="1529"/>
      <c r="K143" s="1529"/>
      <c r="L143" s="1529"/>
      <c r="M143" s="1529"/>
      <c r="N143" s="1529"/>
      <c r="O143" s="1529"/>
      <c r="P143" s="1614"/>
      <c r="R143" s="1545"/>
      <c r="S143" s="1545"/>
      <c r="T143" s="1545"/>
      <c r="U143" s="1545"/>
      <c r="V143" s="1545"/>
      <c r="W143" s="1545"/>
      <c r="X143" s="1545"/>
      <c r="Y143" s="1545"/>
    </row>
    <row r="144" spans="1:25">
      <c r="A144" s="1544"/>
      <c r="B144" s="1544"/>
      <c r="C144" s="1544"/>
      <c r="D144" s="1544"/>
      <c r="E144" s="1544"/>
      <c r="I144" s="1529"/>
      <c r="J144" s="1529"/>
      <c r="K144" s="1529"/>
      <c r="L144" s="1529"/>
      <c r="M144" s="1529"/>
      <c r="N144" s="1529"/>
      <c r="O144" s="1529"/>
      <c r="P144" s="1614"/>
      <c r="R144" s="1545"/>
      <c r="S144" s="1545"/>
      <c r="T144" s="1545"/>
      <c r="U144" s="1545"/>
      <c r="V144" s="1545"/>
      <c r="W144" s="1545"/>
      <c r="X144" s="1545"/>
      <c r="Y144" s="1545"/>
    </row>
    <row r="145" spans="1:25">
      <c r="A145" s="1544"/>
      <c r="B145" s="1544"/>
      <c r="C145" s="1544"/>
      <c r="D145" s="1544"/>
      <c r="E145" s="1544"/>
      <c r="I145" s="1529"/>
      <c r="J145" s="1529"/>
      <c r="K145" s="1529"/>
      <c r="L145" s="1529"/>
      <c r="M145" s="1529"/>
      <c r="N145" s="1529"/>
      <c r="O145" s="1529"/>
      <c r="P145" s="1614"/>
      <c r="R145" s="1545"/>
      <c r="S145" s="1545"/>
      <c r="T145" s="1545"/>
      <c r="U145" s="1545"/>
      <c r="V145" s="1545"/>
      <c r="W145" s="1545"/>
      <c r="X145" s="1545"/>
      <c r="Y145" s="1545"/>
    </row>
    <row r="146" spans="1:25">
      <c r="A146" s="1544"/>
      <c r="B146" s="1544"/>
      <c r="C146" s="1544"/>
      <c r="D146" s="1544"/>
      <c r="E146" s="1544"/>
      <c r="I146" s="1529"/>
      <c r="J146" s="1529"/>
      <c r="K146" s="1529"/>
      <c r="L146" s="1529"/>
      <c r="M146" s="1529"/>
      <c r="N146" s="1529"/>
      <c r="O146" s="1529"/>
      <c r="P146" s="1614"/>
      <c r="R146" s="1545"/>
      <c r="S146" s="1545"/>
      <c r="T146" s="1545"/>
      <c r="U146" s="1545"/>
      <c r="V146" s="1545"/>
      <c r="W146" s="1545"/>
      <c r="X146" s="1545"/>
      <c r="Y146" s="1545"/>
    </row>
    <row r="147" spans="1:25">
      <c r="A147" s="1544"/>
      <c r="B147" s="1544"/>
      <c r="C147" s="1544"/>
      <c r="D147" s="1544"/>
      <c r="E147" s="1544"/>
      <c r="I147" s="1529"/>
      <c r="J147" s="1529"/>
      <c r="K147" s="1529"/>
      <c r="L147" s="1529"/>
      <c r="M147" s="1529"/>
      <c r="N147" s="1529"/>
      <c r="O147" s="1529"/>
      <c r="P147" s="1614"/>
      <c r="R147" s="1545"/>
      <c r="S147" s="1545"/>
      <c r="T147" s="1545"/>
      <c r="U147" s="1545"/>
      <c r="V147" s="1545"/>
      <c r="W147" s="1545"/>
      <c r="X147" s="1545"/>
      <c r="Y147" s="1545"/>
    </row>
    <row r="148" spans="1:25">
      <c r="A148" s="1544"/>
      <c r="B148" s="1544"/>
      <c r="C148" s="1544"/>
      <c r="D148" s="1544"/>
      <c r="E148" s="1544"/>
      <c r="I148" s="1529"/>
      <c r="J148" s="1529"/>
      <c r="K148" s="1529"/>
      <c r="L148" s="1529"/>
      <c r="M148" s="1529"/>
      <c r="N148" s="1529"/>
      <c r="O148" s="1529"/>
      <c r="P148" s="1614"/>
      <c r="R148" s="1545"/>
      <c r="S148" s="1545"/>
      <c r="T148" s="1545"/>
      <c r="U148" s="1545"/>
      <c r="V148" s="1545"/>
      <c r="W148" s="1545"/>
      <c r="X148" s="1545"/>
      <c r="Y148" s="1545"/>
    </row>
    <row r="149" spans="1:25">
      <c r="A149" s="1544"/>
      <c r="B149" s="1544"/>
      <c r="C149" s="1544"/>
      <c r="D149" s="1544"/>
      <c r="E149" s="1544"/>
      <c r="I149" s="1529"/>
      <c r="J149" s="1529"/>
      <c r="K149" s="1529"/>
      <c r="L149" s="1529"/>
      <c r="M149" s="1529"/>
      <c r="N149" s="1529"/>
      <c r="O149" s="1529"/>
      <c r="P149" s="1614"/>
      <c r="R149" s="1545"/>
      <c r="S149" s="1545"/>
      <c r="T149" s="1545"/>
      <c r="U149" s="1545"/>
      <c r="V149" s="1545"/>
      <c r="W149" s="1545"/>
      <c r="X149" s="1545"/>
      <c r="Y149" s="1545"/>
    </row>
    <row r="150" spans="1:25">
      <c r="A150" s="1544"/>
      <c r="B150" s="1544"/>
      <c r="C150" s="1544"/>
      <c r="D150" s="1544"/>
      <c r="E150" s="1544"/>
      <c r="I150" s="1529"/>
      <c r="J150" s="1529"/>
      <c r="K150" s="1529"/>
      <c r="L150" s="1529"/>
      <c r="M150" s="1529"/>
      <c r="N150" s="1529"/>
      <c r="O150" s="1529"/>
      <c r="P150" s="1614"/>
      <c r="R150" s="1545"/>
      <c r="S150" s="1545"/>
      <c r="T150" s="1545"/>
      <c r="U150" s="1545"/>
      <c r="V150" s="1545"/>
      <c r="W150" s="1545"/>
      <c r="X150" s="1545"/>
      <c r="Y150" s="1545"/>
    </row>
    <row r="151" spans="1:25">
      <c r="A151" s="1544"/>
      <c r="B151" s="1544"/>
      <c r="C151" s="1544"/>
      <c r="D151" s="1544"/>
      <c r="E151" s="1544"/>
      <c r="I151" s="1529"/>
      <c r="J151" s="1529"/>
      <c r="K151" s="1529"/>
      <c r="L151" s="1529"/>
      <c r="M151" s="1529"/>
      <c r="N151" s="1529"/>
      <c r="O151" s="1529"/>
      <c r="P151" s="1614"/>
      <c r="R151" s="1545"/>
      <c r="S151" s="1545"/>
      <c r="T151" s="1545"/>
      <c r="U151" s="1545"/>
      <c r="V151" s="1545"/>
      <c r="W151" s="1545"/>
      <c r="X151" s="1545"/>
      <c r="Y151" s="1545"/>
    </row>
    <row r="152" spans="1:25">
      <c r="A152" s="1544"/>
      <c r="B152" s="1544"/>
      <c r="C152" s="1544"/>
      <c r="D152" s="1544"/>
      <c r="E152" s="1544"/>
      <c r="I152" s="1529"/>
      <c r="J152" s="1529"/>
      <c r="K152" s="1529"/>
      <c r="L152" s="1529"/>
      <c r="M152" s="1529"/>
      <c r="N152" s="1529"/>
      <c r="O152" s="1529"/>
      <c r="P152" s="1614"/>
      <c r="R152" s="1545"/>
      <c r="S152" s="1545"/>
      <c r="T152" s="1545"/>
      <c r="U152" s="1545"/>
      <c r="V152" s="1545"/>
      <c r="W152" s="1545"/>
      <c r="X152" s="1545"/>
      <c r="Y152" s="1545"/>
    </row>
    <row r="153" spans="1:25">
      <c r="A153" s="1544"/>
      <c r="B153" s="1544"/>
      <c r="C153" s="1544"/>
      <c r="D153" s="1544"/>
      <c r="E153" s="1544"/>
      <c r="I153" s="1529"/>
      <c r="J153" s="1529"/>
      <c r="K153" s="1529"/>
      <c r="L153" s="1529"/>
      <c r="M153" s="1529"/>
      <c r="N153" s="1529"/>
      <c r="O153" s="1529"/>
      <c r="P153" s="1614"/>
      <c r="R153" s="1545"/>
      <c r="S153" s="1545"/>
      <c r="T153" s="1545"/>
      <c r="U153" s="1545"/>
      <c r="V153" s="1545"/>
      <c r="W153" s="1545"/>
      <c r="X153" s="1545"/>
      <c r="Y153" s="1545"/>
    </row>
    <row r="154" spans="1:25">
      <c r="A154" s="1544"/>
      <c r="B154" s="1544"/>
      <c r="C154" s="1544"/>
      <c r="D154" s="1544"/>
      <c r="E154" s="1544"/>
      <c r="I154" s="1529"/>
      <c r="J154" s="1529"/>
      <c r="K154" s="1529"/>
      <c r="L154" s="1529"/>
      <c r="M154" s="1529"/>
      <c r="N154" s="1529"/>
      <c r="O154" s="1529"/>
      <c r="P154" s="1614"/>
      <c r="R154" s="1545"/>
      <c r="S154" s="1545"/>
      <c r="T154" s="1545"/>
      <c r="U154" s="1545"/>
      <c r="V154" s="1545"/>
      <c r="W154" s="1545"/>
      <c r="X154" s="1545"/>
      <c r="Y154" s="1545"/>
    </row>
    <row r="155" spans="1:25">
      <c r="A155" s="1544"/>
      <c r="B155" s="1544"/>
      <c r="C155" s="1544"/>
      <c r="D155" s="1544"/>
      <c r="E155" s="1544"/>
      <c r="I155" s="1529"/>
      <c r="J155" s="1529"/>
      <c r="K155" s="1529"/>
      <c r="L155" s="1529"/>
      <c r="M155" s="1529"/>
      <c r="N155" s="1529"/>
      <c r="O155" s="1529"/>
      <c r="P155" s="1614"/>
      <c r="R155" s="1545"/>
      <c r="S155" s="1545"/>
      <c r="T155" s="1545"/>
      <c r="U155" s="1545"/>
      <c r="V155" s="1545"/>
      <c r="W155" s="1545"/>
      <c r="X155" s="1545"/>
      <c r="Y155" s="1545"/>
    </row>
    <row r="156" spans="1:25">
      <c r="A156" s="1544"/>
      <c r="B156" s="1544"/>
      <c r="C156" s="1544"/>
      <c r="D156" s="1544"/>
      <c r="E156" s="1544"/>
      <c r="I156" s="1529"/>
      <c r="J156" s="1529"/>
      <c r="K156" s="1529"/>
      <c r="L156" s="1529"/>
      <c r="M156" s="1529"/>
      <c r="N156" s="1529"/>
      <c r="O156" s="1529"/>
      <c r="P156" s="1614"/>
      <c r="R156" s="1545"/>
      <c r="S156" s="1545"/>
      <c r="T156" s="1545"/>
      <c r="U156" s="1545"/>
      <c r="V156" s="1545"/>
      <c r="W156" s="1545"/>
      <c r="X156" s="1545"/>
      <c r="Y156" s="1545"/>
    </row>
    <row r="157" spans="1:25">
      <c r="A157" s="1544"/>
      <c r="B157" s="1544"/>
      <c r="C157" s="1544"/>
      <c r="D157" s="1544"/>
      <c r="E157" s="1544"/>
      <c r="I157" s="1529"/>
      <c r="J157" s="1529"/>
      <c r="K157" s="1529"/>
      <c r="L157" s="1529"/>
      <c r="M157" s="1529"/>
      <c r="N157" s="1529"/>
      <c r="O157" s="1529"/>
      <c r="P157" s="1614"/>
      <c r="R157" s="1545"/>
      <c r="S157" s="1545"/>
      <c r="T157" s="1545"/>
      <c r="U157" s="1545"/>
      <c r="V157" s="1545"/>
      <c r="W157" s="1545"/>
      <c r="X157" s="1545"/>
      <c r="Y157" s="1545"/>
    </row>
    <row r="158" spans="1:25">
      <c r="A158" s="1544"/>
      <c r="B158" s="1544"/>
      <c r="C158" s="1544"/>
      <c r="D158" s="1544"/>
      <c r="E158" s="1544"/>
      <c r="I158" s="1529"/>
      <c r="J158" s="1529"/>
      <c r="K158" s="1529"/>
      <c r="L158" s="1529"/>
      <c r="M158" s="1529"/>
      <c r="N158" s="1529"/>
      <c r="O158" s="1529"/>
      <c r="P158" s="1614"/>
      <c r="R158" s="1545"/>
      <c r="S158" s="1545"/>
      <c r="T158" s="1545"/>
      <c r="U158" s="1545"/>
      <c r="V158" s="1545"/>
      <c r="W158" s="1545"/>
      <c r="X158" s="1545"/>
      <c r="Y158" s="1545"/>
    </row>
    <row r="159" spans="1:25">
      <c r="A159" s="1544"/>
      <c r="B159" s="1544"/>
      <c r="C159" s="1544"/>
      <c r="D159" s="1544"/>
      <c r="E159" s="1544"/>
      <c r="I159" s="1529"/>
      <c r="J159" s="1529"/>
      <c r="K159" s="1529"/>
      <c r="L159" s="1529"/>
      <c r="M159" s="1529"/>
      <c r="N159" s="1529"/>
      <c r="O159" s="1529"/>
      <c r="P159" s="1614"/>
      <c r="R159" s="1545"/>
      <c r="S159" s="1545"/>
      <c r="T159" s="1545"/>
      <c r="U159" s="1545"/>
      <c r="V159" s="1545"/>
      <c r="W159" s="1545"/>
      <c r="X159" s="1545"/>
      <c r="Y159" s="1545"/>
    </row>
    <row r="160" spans="1:25">
      <c r="A160" s="1544"/>
      <c r="B160" s="1544"/>
      <c r="C160" s="1544"/>
      <c r="D160" s="1544"/>
      <c r="E160" s="1544"/>
      <c r="I160" s="1529"/>
      <c r="J160" s="1529"/>
      <c r="K160" s="1529"/>
      <c r="L160" s="1529"/>
      <c r="M160" s="1529"/>
      <c r="N160" s="1529"/>
      <c r="O160" s="1529"/>
      <c r="P160" s="1614"/>
      <c r="R160" s="1545"/>
      <c r="S160" s="1545"/>
      <c r="T160" s="1545"/>
      <c r="U160" s="1545"/>
      <c r="V160" s="1545"/>
      <c r="W160" s="1545"/>
      <c r="X160" s="1545"/>
      <c r="Y160" s="1545"/>
    </row>
    <row r="161" spans="1:25">
      <c r="A161" s="1544"/>
      <c r="B161" s="1544"/>
      <c r="C161" s="1544"/>
      <c r="D161" s="1544"/>
      <c r="E161" s="1544"/>
      <c r="I161" s="1529"/>
      <c r="J161" s="1529"/>
      <c r="K161" s="1529"/>
      <c r="L161" s="1529"/>
      <c r="M161" s="1529"/>
      <c r="N161" s="1529"/>
      <c r="O161" s="1529"/>
      <c r="P161" s="1614"/>
      <c r="R161" s="1545"/>
      <c r="S161" s="1545"/>
      <c r="T161" s="1545"/>
      <c r="U161" s="1545"/>
      <c r="V161" s="1545"/>
      <c r="W161" s="1545"/>
      <c r="X161" s="1545"/>
      <c r="Y161" s="1545"/>
    </row>
    <row r="162" spans="1:25">
      <c r="A162" s="1544"/>
      <c r="B162" s="1544"/>
      <c r="C162" s="1544"/>
      <c r="D162" s="1544"/>
      <c r="E162" s="1544"/>
      <c r="I162" s="1529"/>
      <c r="J162" s="1529"/>
      <c r="K162" s="1529"/>
      <c r="L162" s="1529"/>
      <c r="M162" s="1529"/>
      <c r="N162" s="1529"/>
      <c r="O162" s="1529"/>
      <c r="P162" s="1614"/>
      <c r="R162" s="1545"/>
      <c r="S162" s="1545"/>
      <c r="T162" s="1545"/>
      <c r="U162" s="1545"/>
      <c r="V162" s="1545"/>
      <c r="W162" s="1545"/>
      <c r="X162" s="1545"/>
      <c r="Y162" s="1545"/>
    </row>
    <row r="163" spans="1:25">
      <c r="A163" s="1544"/>
      <c r="B163" s="1544"/>
      <c r="C163" s="1544"/>
      <c r="D163" s="1544"/>
      <c r="E163" s="1544"/>
      <c r="I163" s="1529"/>
      <c r="J163" s="1529"/>
      <c r="K163" s="1529"/>
      <c r="L163" s="1529"/>
      <c r="M163" s="1529"/>
      <c r="N163" s="1529"/>
      <c r="O163" s="1529"/>
      <c r="P163" s="1614"/>
      <c r="R163" s="1545"/>
      <c r="S163" s="1545"/>
      <c r="T163" s="1545"/>
      <c r="U163" s="1545"/>
      <c r="V163" s="1545"/>
      <c r="W163" s="1545"/>
      <c r="X163" s="1545"/>
      <c r="Y163" s="1545"/>
    </row>
    <row r="164" spans="1:25">
      <c r="A164" s="1544"/>
      <c r="B164" s="1544"/>
      <c r="C164" s="1544"/>
      <c r="D164" s="1544"/>
      <c r="E164" s="1544"/>
      <c r="I164" s="1529"/>
      <c r="J164" s="1529"/>
      <c r="K164" s="1529"/>
      <c r="L164" s="1529"/>
      <c r="M164" s="1529"/>
      <c r="N164" s="1529"/>
      <c r="O164" s="1529"/>
      <c r="P164" s="1614"/>
      <c r="R164" s="1545"/>
      <c r="S164" s="1545"/>
      <c r="T164" s="1545"/>
      <c r="U164" s="1545"/>
      <c r="V164" s="1545"/>
      <c r="W164" s="1545"/>
      <c r="X164" s="1545"/>
      <c r="Y164" s="1545"/>
    </row>
    <row r="165" spans="1:25">
      <c r="A165" s="1544"/>
      <c r="B165" s="1544"/>
      <c r="C165" s="1544"/>
      <c r="D165" s="1544"/>
      <c r="E165" s="1544"/>
      <c r="I165" s="1529"/>
      <c r="J165" s="1529"/>
      <c r="K165" s="1529"/>
      <c r="L165" s="1529"/>
      <c r="M165" s="1529"/>
      <c r="N165" s="1529"/>
      <c r="O165" s="1529"/>
      <c r="P165" s="1614"/>
      <c r="R165" s="1545"/>
      <c r="S165" s="1545"/>
      <c r="T165" s="1545"/>
      <c r="U165" s="1545"/>
      <c r="V165" s="1545"/>
      <c r="W165" s="1545"/>
      <c r="X165" s="1545"/>
      <c r="Y165" s="1545"/>
    </row>
    <row r="166" spans="1:25">
      <c r="A166" s="1544"/>
      <c r="B166" s="1544"/>
      <c r="C166" s="1544"/>
      <c r="D166" s="1544"/>
      <c r="E166" s="1544"/>
      <c r="I166" s="1529"/>
      <c r="J166" s="1529"/>
      <c r="K166" s="1529"/>
      <c r="L166" s="1529"/>
      <c r="M166" s="1529"/>
      <c r="N166" s="1529"/>
      <c r="O166" s="1529"/>
      <c r="P166" s="1614"/>
      <c r="R166" s="1545"/>
      <c r="S166" s="1545"/>
      <c r="T166" s="1545"/>
      <c r="U166" s="1545"/>
      <c r="V166" s="1545"/>
      <c r="W166" s="1545"/>
      <c r="X166" s="1545"/>
      <c r="Y166" s="1545"/>
    </row>
    <row r="167" spans="1:25">
      <c r="A167" s="1544"/>
      <c r="B167" s="1544"/>
      <c r="C167" s="1544"/>
      <c r="D167" s="1544"/>
      <c r="E167" s="1544"/>
      <c r="I167" s="1529"/>
      <c r="J167" s="1529"/>
      <c r="K167" s="1529"/>
      <c r="L167" s="1529"/>
      <c r="M167" s="1529"/>
      <c r="N167" s="1529"/>
      <c r="O167" s="1529"/>
      <c r="P167" s="1614"/>
      <c r="R167" s="1545"/>
      <c r="S167" s="1545"/>
      <c r="T167" s="1545"/>
      <c r="U167" s="1545"/>
      <c r="V167" s="1545"/>
      <c r="W167" s="1545"/>
      <c r="X167" s="1545"/>
      <c r="Y167" s="1545"/>
    </row>
    <row r="168" spans="1:25">
      <c r="A168" s="1544"/>
      <c r="B168" s="1544"/>
      <c r="C168" s="1544"/>
      <c r="D168" s="1544"/>
      <c r="E168" s="1544"/>
      <c r="I168" s="1529"/>
      <c r="J168" s="1529"/>
      <c r="K168" s="1529"/>
      <c r="L168" s="1529"/>
      <c r="M168" s="1529"/>
      <c r="N168" s="1529"/>
      <c r="O168" s="1529"/>
      <c r="P168" s="1614"/>
      <c r="R168" s="1545"/>
      <c r="S168" s="1545"/>
      <c r="T168" s="1545"/>
      <c r="U168" s="1545"/>
      <c r="V168" s="1545"/>
      <c r="W168" s="1545"/>
      <c r="X168" s="1545"/>
      <c r="Y168" s="1545"/>
    </row>
    <row r="169" spans="1:25">
      <c r="A169" s="1544"/>
      <c r="B169" s="1544"/>
      <c r="C169" s="1544"/>
      <c r="D169" s="1544"/>
      <c r="E169" s="1544"/>
      <c r="I169" s="1529"/>
      <c r="J169" s="1529"/>
      <c r="K169" s="1529"/>
      <c r="L169" s="1529"/>
      <c r="M169" s="1529"/>
      <c r="N169" s="1529"/>
      <c r="O169" s="1529"/>
      <c r="P169" s="1614"/>
      <c r="R169" s="1545"/>
      <c r="S169" s="1545"/>
      <c r="T169" s="1545"/>
      <c r="U169" s="1545"/>
      <c r="V169" s="1545"/>
      <c r="W169" s="1545"/>
      <c r="X169" s="1545"/>
      <c r="Y169" s="1545"/>
    </row>
    <row r="170" spans="1:25">
      <c r="A170" s="1544"/>
      <c r="B170" s="1544"/>
      <c r="C170" s="1544"/>
      <c r="D170" s="1544"/>
      <c r="E170" s="1544"/>
      <c r="I170" s="1529"/>
      <c r="J170" s="1529"/>
      <c r="K170" s="1529"/>
      <c r="L170" s="1529"/>
      <c r="M170" s="1529"/>
      <c r="N170" s="1529"/>
      <c r="O170" s="1529"/>
      <c r="P170" s="1614"/>
      <c r="R170" s="1545"/>
      <c r="S170" s="1545"/>
      <c r="T170" s="1545"/>
      <c r="U170" s="1545"/>
      <c r="V170" s="1545"/>
      <c r="W170" s="1545"/>
      <c r="X170" s="1545"/>
      <c r="Y170" s="1545"/>
    </row>
    <row r="171" spans="1:25">
      <c r="A171" s="1544"/>
      <c r="B171" s="1544"/>
      <c r="C171" s="1544"/>
      <c r="D171" s="1544"/>
      <c r="E171" s="1544"/>
      <c r="I171" s="1529"/>
      <c r="J171" s="1529"/>
      <c r="K171" s="1529"/>
      <c r="L171" s="1529"/>
      <c r="M171" s="1529"/>
      <c r="N171" s="1529"/>
      <c r="O171" s="1529"/>
      <c r="P171" s="1614"/>
      <c r="R171" s="1545"/>
      <c r="S171" s="1545"/>
      <c r="T171" s="1545"/>
      <c r="U171" s="1545"/>
      <c r="V171" s="1545"/>
      <c r="W171" s="1545"/>
      <c r="X171" s="1545"/>
      <c r="Y171" s="1545"/>
    </row>
    <row r="172" spans="1:25">
      <c r="A172" s="1544"/>
      <c r="B172" s="1544"/>
      <c r="C172" s="1544"/>
      <c r="D172" s="1544"/>
      <c r="E172" s="1544"/>
      <c r="I172" s="1529"/>
      <c r="J172" s="1529"/>
      <c r="K172" s="1529"/>
      <c r="L172" s="1529"/>
      <c r="M172" s="1529"/>
      <c r="N172" s="1529"/>
      <c r="O172" s="1529"/>
      <c r="P172" s="1614"/>
      <c r="R172" s="1545"/>
      <c r="S172" s="1545"/>
      <c r="T172" s="1545"/>
      <c r="U172" s="1545"/>
      <c r="V172" s="1545"/>
      <c r="W172" s="1545"/>
      <c r="X172" s="1545"/>
      <c r="Y172" s="1545"/>
    </row>
    <row r="173" spans="1:25">
      <c r="A173" s="1544"/>
      <c r="B173" s="1544"/>
      <c r="C173" s="1544"/>
      <c r="D173" s="1544"/>
      <c r="E173" s="1544"/>
      <c r="I173" s="1529"/>
      <c r="J173" s="1529"/>
      <c r="K173" s="1529"/>
      <c r="L173" s="1529"/>
      <c r="M173" s="1529"/>
      <c r="N173" s="1529"/>
      <c r="O173" s="1529"/>
      <c r="P173" s="1614"/>
      <c r="R173" s="1545"/>
      <c r="S173" s="1545"/>
      <c r="T173" s="1545"/>
      <c r="U173" s="1545"/>
      <c r="V173" s="1545"/>
      <c r="W173" s="1545"/>
      <c r="X173" s="1545"/>
      <c r="Y173" s="1545"/>
    </row>
    <row r="174" spans="1:25">
      <c r="A174" s="1544"/>
      <c r="B174" s="1544"/>
      <c r="C174" s="1544"/>
      <c r="D174" s="1544"/>
      <c r="E174" s="1544"/>
      <c r="I174" s="1529"/>
      <c r="J174" s="1529"/>
      <c r="K174" s="1529"/>
      <c r="L174" s="1529"/>
      <c r="M174" s="1529"/>
      <c r="N174" s="1529"/>
      <c r="O174" s="1529"/>
      <c r="P174" s="1614"/>
      <c r="R174" s="1545"/>
      <c r="S174" s="1545"/>
      <c r="T174" s="1545"/>
      <c r="U174" s="1545"/>
      <c r="V174" s="1545"/>
      <c r="W174" s="1545"/>
      <c r="X174" s="1545"/>
      <c r="Y174" s="1545"/>
    </row>
    <row r="175" spans="1:25">
      <c r="A175" s="1544"/>
      <c r="B175" s="1544"/>
      <c r="C175" s="1544"/>
      <c r="D175" s="1544"/>
      <c r="E175" s="1544"/>
      <c r="I175" s="1529"/>
      <c r="J175" s="1529"/>
      <c r="K175" s="1529"/>
      <c r="L175" s="1529"/>
      <c r="M175" s="1529"/>
      <c r="N175" s="1529"/>
      <c r="O175" s="1529"/>
      <c r="P175" s="1614"/>
      <c r="R175" s="1545"/>
      <c r="S175" s="1545"/>
      <c r="T175" s="1545"/>
      <c r="U175" s="1545"/>
      <c r="V175" s="1545"/>
      <c r="W175" s="1545"/>
      <c r="X175" s="1545"/>
      <c r="Y175" s="1545"/>
    </row>
    <row r="176" spans="1:25">
      <c r="A176" s="1544"/>
      <c r="B176" s="1544"/>
      <c r="C176" s="1544"/>
      <c r="D176" s="1544"/>
      <c r="E176" s="1544"/>
      <c r="I176" s="1529"/>
      <c r="J176" s="1529"/>
      <c r="K176" s="1529"/>
      <c r="L176" s="1529"/>
      <c r="M176" s="1529"/>
      <c r="N176" s="1529"/>
      <c r="O176" s="1529"/>
      <c r="P176" s="1614"/>
      <c r="R176" s="1545"/>
      <c r="S176" s="1545"/>
      <c r="T176" s="1545"/>
      <c r="U176" s="1545"/>
      <c r="V176" s="1545"/>
      <c r="W176" s="1545"/>
      <c r="X176" s="1545"/>
      <c r="Y176" s="1545"/>
    </row>
    <row r="177" spans="1:25">
      <c r="A177" s="1544"/>
      <c r="B177" s="1544"/>
      <c r="C177" s="1544"/>
      <c r="D177" s="1544"/>
      <c r="E177" s="1544"/>
      <c r="I177" s="1529"/>
      <c r="J177" s="1529"/>
      <c r="K177" s="1529"/>
      <c r="L177" s="1529"/>
      <c r="M177" s="1529"/>
      <c r="N177" s="1529"/>
      <c r="O177" s="1529"/>
      <c r="P177" s="1614"/>
      <c r="R177" s="1545"/>
      <c r="S177" s="1545"/>
      <c r="T177" s="1545"/>
      <c r="U177" s="1545"/>
      <c r="V177" s="1545"/>
      <c r="W177" s="1545"/>
      <c r="X177" s="1545"/>
      <c r="Y177" s="1545"/>
    </row>
    <row r="178" spans="1:25">
      <c r="A178" s="1544"/>
      <c r="B178" s="1544"/>
      <c r="C178" s="1544"/>
      <c r="D178" s="1544"/>
      <c r="E178" s="1544"/>
      <c r="I178" s="1529"/>
      <c r="J178" s="1529"/>
      <c r="K178" s="1529"/>
      <c r="L178" s="1529"/>
      <c r="M178" s="1529"/>
      <c r="N178" s="1529"/>
      <c r="O178" s="1529"/>
      <c r="P178" s="1614"/>
      <c r="R178" s="1545"/>
      <c r="S178" s="1545"/>
      <c r="T178" s="1545"/>
      <c r="U178" s="1545"/>
      <c r="V178" s="1545"/>
      <c r="W178" s="1545"/>
      <c r="X178" s="1545"/>
      <c r="Y178" s="1545"/>
    </row>
    <row r="179" spans="1:25">
      <c r="A179" s="1544"/>
      <c r="B179" s="1544"/>
      <c r="C179" s="1544"/>
      <c r="D179" s="1544"/>
      <c r="E179" s="1544"/>
      <c r="I179" s="1529"/>
      <c r="J179" s="1529"/>
      <c r="K179" s="1529"/>
      <c r="L179" s="1529"/>
      <c r="M179" s="1529"/>
      <c r="N179" s="1529"/>
      <c r="O179" s="1529"/>
      <c r="P179" s="1614"/>
      <c r="R179" s="1545"/>
      <c r="S179" s="1545"/>
      <c r="T179" s="1545"/>
      <c r="U179" s="1545"/>
      <c r="V179" s="1545"/>
      <c r="W179" s="1545"/>
      <c r="X179" s="1545"/>
      <c r="Y179" s="1545"/>
    </row>
    <row r="180" spans="1:25">
      <c r="A180" s="1544"/>
      <c r="B180" s="1544"/>
      <c r="C180" s="1544"/>
      <c r="D180" s="1544"/>
      <c r="E180" s="1544"/>
      <c r="I180" s="1529"/>
      <c r="J180" s="1529"/>
      <c r="K180" s="1529"/>
      <c r="L180" s="1529"/>
      <c r="M180" s="1529"/>
      <c r="N180" s="1529"/>
      <c r="O180" s="1529"/>
      <c r="P180" s="1614"/>
      <c r="R180" s="1545"/>
      <c r="S180" s="1545"/>
      <c r="T180" s="1545"/>
      <c r="U180" s="1545"/>
      <c r="V180" s="1545"/>
      <c r="W180" s="1545"/>
      <c r="X180" s="1545"/>
      <c r="Y180" s="1545"/>
    </row>
    <row r="181" spans="1:25">
      <c r="A181" s="1544"/>
      <c r="B181" s="1544"/>
      <c r="C181" s="1544"/>
      <c r="D181" s="1544"/>
      <c r="E181" s="1544"/>
      <c r="I181" s="1529"/>
      <c r="J181" s="1529"/>
      <c r="K181" s="1529"/>
      <c r="L181" s="1529"/>
      <c r="M181" s="1529"/>
      <c r="N181" s="1529"/>
      <c r="O181" s="1529"/>
      <c r="P181" s="1614"/>
      <c r="R181" s="1545"/>
      <c r="S181" s="1545"/>
      <c r="T181" s="1545"/>
      <c r="U181" s="1545"/>
      <c r="V181" s="1545"/>
      <c r="W181" s="1545"/>
      <c r="X181" s="1545"/>
      <c r="Y181" s="1545"/>
    </row>
    <row r="182" spans="1:25">
      <c r="A182" s="1544"/>
      <c r="B182" s="1544"/>
      <c r="C182" s="1544"/>
      <c r="D182" s="1544"/>
      <c r="E182" s="1544"/>
      <c r="I182" s="1529"/>
      <c r="J182" s="1529"/>
      <c r="K182" s="1529"/>
      <c r="L182" s="1529"/>
      <c r="M182" s="1529"/>
      <c r="N182" s="1529"/>
      <c r="O182" s="1529"/>
      <c r="P182" s="1614"/>
      <c r="R182" s="1545"/>
      <c r="S182" s="1545"/>
      <c r="T182" s="1545"/>
      <c r="U182" s="1545"/>
      <c r="V182" s="1545"/>
      <c r="W182" s="1545"/>
      <c r="X182" s="1545"/>
      <c r="Y182" s="1545"/>
    </row>
    <row r="183" spans="1:25">
      <c r="A183" s="1544"/>
      <c r="B183" s="1544"/>
      <c r="C183" s="1544"/>
      <c r="D183" s="1544"/>
      <c r="E183" s="1544"/>
      <c r="I183" s="1529"/>
      <c r="J183" s="1529"/>
      <c r="K183" s="1529"/>
      <c r="L183" s="1529"/>
      <c r="M183" s="1529"/>
      <c r="N183" s="1529"/>
      <c r="O183" s="1529"/>
      <c r="P183" s="1614"/>
      <c r="R183" s="1545"/>
      <c r="S183" s="1545"/>
      <c r="T183" s="1545"/>
      <c r="U183" s="1545"/>
      <c r="V183" s="1545"/>
      <c r="W183" s="1545"/>
      <c r="X183" s="1545"/>
      <c r="Y183" s="1545"/>
    </row>
    <row r="184" spans="1:25">
      <c r="A184" s="1544"/>
      <c r="B184" s="1544"/>
      <c r="C184" s="1544"/>
      <c r="D184" s="1544"/>
      <c r="E184" s="1544"/>
      <c r="I184" s="1529"/>
      <c r="J184" s="1529"/>
      <c r="K184" s="1529"/>
      <c r="L184" s="1529"/>
      <c r="M184" s="1529"/>
      <c r="N184" s="1529"/>
      <c r="O184" s="1529"/>
      <c r="P184" s="1614"/>
      <c r="R184" s="1545"/>
      <c r="S184" s="1545"/>
      <c r="T184" s="1545"/>
      <c r="U184" s="1545"/>
      <c r="V184" s="1545"/>
      <c r="W184" s="1545"/>
      <c r="X184" s="1545"/>
      <c r="Y184" s="1545"/>
    </row>
    <row r="185" spans="1:25">
      <c r="A185" s="1544"/>
      <c r="B185" s="1544"/>
      <c r="C185" s="1544"/>
      <c r="D185" s="1544"/>
      <c r="E185" s="1544"/>
      <c r="I185" s="1529"/>
      <c r="J185" s="1529"/>
      <c r="K185" s="1529"/>
      <c r="L185" s="1529"/>
      <c r="M185" s="1529"/>
      <c r="N185" s="1529"/>
      <c r="O185" s="1529"/>
      <c r="P185" s="1614"/>
      <c r="R185" s="1545"/>
      <c r="S185" s="1545"/>
      <c r="T185" s="1545"/>
      <c r="U185" s="1545"/>
      <c r="V185" s="1545"/>
      <c r="W185" s="1545"/>
      <c r="X185" s="1545"/>
      <c r="Y185" s="1545"/>
    </row>
    <row r="186" spans="1:25">
      <c r="A186" s="1544"/>
      <c r="B186" s="1544"/>
      <c r="C186" s="1544"/>
      <c r="D186" s="1544"/>
      <c r="E186" s="1544"/>
      <c r="I186" s="1529"/>
      <c r="J186" s="1529"/>
      <c r="K186" s="1529"/>
      <c r="L186" s="1529"/>
      <c r="M186" s="1529"/>
      <c r="N186" s="1529"/>
      <c r="O186" s="1529"/>
      <c r="P186" s="1614"/>
      <c r="R186" s="1545"/>
      <c r="S186" s="1545"/>
      <c r="T186" s="1545"/>
      <c r="U186" s="1545"/>
      <c r="V186" s="1545"/>
      <c r="W186" s="1545"/>
      <c r="X186" s="1545"/>
      <c r="Y186" s="1545"/>
    </row>
    <row r="187" spans="1:25">
      <c r="A187" s="1544"/>
      <c r="B187" s="1544"/>
      <c r="C187" s="1544"/>
      <c r="D187" s="1544"/>
      <c r="E187" s="1544"/>
      <c r="I187" s="1529"/>
      <c r="J187" s="1529"/>
      <c r="K187" s="1529"/>
      <c r="L187" s="1529"/>
      <c r="M187" s="1529"/>
      <c r="N187" s="1529"/>
      <c r="O187" s="1529"/>
      <c r="P187" s="1614"/>
      <c r="R187" s="1545"/>
      <c r="S187" s="1545"/>
      <c r="T187" s="1545"/>
      <c r="U187" s="1545"/>
      <c r="V187" s="1545"/>
      <c r="W187" s="1545"/>
      <c r="X187" s="1545"/>
      <c r="Y187" s="1545"/>
    </row>
    <row r="188" spans="1:25">
      <c r="A188" s="1544"/>
      <c r="B188" s="1544"/>
      <c r="C188" s="1544"/>
      <c r="D188" s="1544"/>
      <c r="E188" s="1544"/>
      <c r="I188" s="1529"/>
      <c r="J188" s="1529"/>
      <c r="K188" s="1529"/>
      <c r="L188" s="1529"/>
      <c r="M188" s="1529"/>
      <c r="N188" s="1529"/>
      <c r="O188" s="1529"/>
      <c r="P188" s="1614"/>
      <c r="R188" s="1545"/>
      <c r="S188" s="1545"/>
      <c r="T188" s="1545"/>
      <c r="U188" s="1545"/>
      <c r="V188" s="1545"/>
      <c r="W188" s="1545"/>
      <c r="X188" s="1545"/>
      <c r="Y188" s="1545"/>
    </row>
    <row r="189" spans="1:25">
      <c r="A189" s="1544"/>
      <c r="B189" s="1544"/>
      <c r="C189" s="1544"/>
      <c r="D189" s="1544"/>
      <c r="E189" s="1544"/>
      <c r="I189" s="1529"/>
      <c r="J189" s="1529"/>
      <c r="K189" s="1529"/>
      <c r="L189" s="1529"/>
      <c r="M189" s="1529"/>
      <c r="N189" s="1529"/>
      <c r="O189" s="1529"/>
      <c r="P189" s="1614"/>
      <c r="R189" s="1545"/>
      <c r="S189" s="1545"/>
      <c r="T189" s="1545"/>
      <c r="U189" s="1545"/>
      <c r="V189" s="1545"/>
      <c r="W189" s="1545"/>
      <c r="X189" s="1545"/>
      <c r="Y189" s="1545"/>
    </row>
    <row r="190" spans="1:25">
      <c r="A190" s="1544"/>
      <c r="B190" s="1544"/>
      <c r="C190" s="1544"/>
      <c r="D190" s="1544"/>
      <c r="E190" s="1544"/>
      <c r="I190" s="1529"/>
      <c r="J190" s="1529"/>
      <c r="K190" s="1529"/>
      <c r="L190" s="1529"/>
      <c r="M190" s="1529"/>
      <c r="N190" s="1529"/>
      <c r="O190" s="1529"/>
      <c r="P190" s="1614"/>
      <c r="R190" s="1545"/>
      <c r="S190" s="1545"/>
      <c r="T190" s="1545"/>
      <c r="U190" s="1545"/>
      <c r="V190" s="1545"/>
      <c r="W190" s="1545"/>
      <c r="X190" s="1545"/>
      <c r="Y190" s="1545"/>
    </row>
    <row r="191" spans="1:25">
      <c r="A191" s="1544"/>
      <c r="B191" s="1544"/>
      <c r="C191" s="1544"/>
      <c r="D191" s="1544"/>
      <c r="E191" s="1544"/>
      <c r="I191" s="1529"/>
      <c r="J191" s="1529"/>
      <c r="K191" s="1529"/>
      <c r="L191" s="1529"/>
      <c r="M191" s="1529"/>
      <c r="N191" s="1529"/>
      <c r="O191" s="1529"/>
      <c r="P191" s="1614"/>
      <c r="R191" s="1545"/>
      <c r="S191" s="1545"/>
      <c r="T191" s="1545"/>
      <c r="U191" s="1545"/>
      <c r="V191" s="1545"/>
      <c r="W191" s="1545"/>
      <c r="X191" s="1545"/>
      <c r="Y191" s="1545"/>
    </row>
    <row r="192" spans="1:25">
      <c r="A192" s="1544"/>
      <c r="B192" s="1544"/>
      <c r="C192" s="1544"/>
      <c r="D192" s="1544"/>
      <c r="E192" s="1544"/>
      <c r="I192" s="1529"/>
      <c r="J192" s="1529"/>
      <c r="K192" s="1529"/>
      <c r="L192" s="1529"/>
      <c r="M192" s="1529"/>
      <c r="N192" s="1529"/>
      <c r="O192" s="1529"/>
      <c r="P192" s="1614"/>
      <c r="R192" s="1545"/>
      <c r="S192" s="1545"/>
      <c r="T192" s="1545"/>
      <c r="U192" s="1545"/>
      <c r="V192" s="1545"/>
      <c r="W192" s="1545"/>
      <c r="X192" s="1545"/>
      <c r="Y192" s="1545"/>
    </row>
    <row r="193" spans="1:25">
      <c r="A193" s="1544"/>
      <c r="B193" s="1544"/>
      <c r="C193" s="1544"/>
      <c r="D193" s="1544"/>
      <c r="E193" s="1544"/>
      <c r="I193" s="1529"/>
      <c r="J193" s="1529"/>
      <c r="K193" s="1529"/>
      <c r="L193" s="1529"/>
      <c r="M193" s="1529"/>
      <c r="N193" s="1529"/>
      <c r="O193" s="1529"/>
      <c r="P193" s="1614"/>
      <c r="R193" s="1545"/>
      <c r="S193" s="1545"/>
      <c r="T193" s="1545"/>
      <c r="U193" s="1545"/>
      <c r="V193" s="1545"/>
      <c r="W193" s="1545"/>
      <c r="X193" s="1545"/>
      <c r="Y193" s="1545"/>
    </row>
    <row r="194" spans="1:25">
      <c r="A194" s="1544"/>
      <c r="B194" s="1544"/>
      <c r="C194" s="1544"/>
      <c r="D194" s="1544"/>
      <c r="E194" s="1544"/>
      <c r="I194" s="1529"/>
      <c r="J194" s="1529"/>
      <c r="K194" s="1529"/>
      <c r="L194" s="1529"/>
      <c r="M194" s="1529"/>
      <c r="N194" s="1529"/>
      <c r="O194" s="1529"/>
      <c r="P194" s="1614"/>
      <c r="R194" s="1545"/>
      <c r="S194" s="1545"/>
      <c r="T194" s="1545"/>
      <c r="U194" s="1545"/>
      <c r="V194" s="1545"/>
      <c r="W194" s="1545"/>
      <c r="X194" s="1545"/>
      <c r="Y194" s="1545"/>
    </row>
    <row r="195" spans="1:25">
      <c r="A195" s="1544"/>
      <c r="B195" s="1544"/>
      <c r="C195" s="1544"/>
      <c r="D195" s="1544"/>
      <c r="E195" s="1544"/>
      <c r="I195" s="1529"/>
      <c r="J195" s="1529"/>
      <c r="K195" s="1529"/>
      <c r="L195" s="1529"/>
      <c r="M195" s="1529"/>
      <c r="N195" s="1529"/>
      <c r="O195" s="1529"/>
      <c r="P195" s="1614"/>
      <c r="R195" s="1545"/>
      <c r="S195" s="1545"/>
      <c r="T195" s="1545"/>
      <c r="U195" s="1545"/>
      <c r="V195" s="1545"/>
      <c r="W195" s="1545"/>
      <c r="X195" s="1545"/>
      <c r="Y195" s="1545"/>
    </row>
    <row r="196" spans="1:25">
      <c r="A196" s="1544"/>
      <c r="B196" s="1544"/>
      <c r="C196" s="1544"/>
      <c r="D196" s="1544"/>
      <c r="E196" s="1544"/>
      <c r="I196" s="1529"/>
      <c r="J196" s="1529"/>
      <c r="K196" s="1529"/>
      <c r="L196" s="1529"/>
      <c r="M196" s="1529"/>
      <c r="N196" s="1529"/>
      <c r="O196" s="1529"/>
      <c r="P196" s="1614"/>
      <c r="R196" s="1545"/>
      <c r="S196" s="1545"/>
      <c r="T196" s="1545"/>
      <c r="U196" s="1545"/>
      <c r="V196" s="1545"/>
      <c r="W196" s="1545"/>
      <c r="X196" s="1545"/>
      <c r="Y196" s="1545"/>
    </row>
    <row r="197" spans="1:25">
      <c r="A197" s="1544"/>
      <c r="B197" s="1544"/>
      <c r="C197" s="1544"/>
      <c r="D197" s="1544"/>
      <c r="E197" s="1544"/>
      <c r="I197" s="1529"/>
      <c r="J197" s="1529"/>
      <c r="K197" s="1529"/>
      <c r="L197" s="1529"/>
      <c r="M197" s="1529"/>
      <c r="N197" s="1529"/>
      <c r="O197" s="1529"/>
      <c r="P197" s="1614"/>
      <c r="R197" s="1545"/>
      <c r="S197" s="1545"/>
      <c r="T197" s="1545"/>
      <c r="U197" s="1545"/>
      <c r="V197" s="1545"/>
      <c r="W197" s="1545"/>
      <c r="X197" s="1545"/>
      <c r="Y197" s="1545"/>
    </row>
    <row r="198" spans="1:25">
      <c r="A198" s="1544"/>
      <c r="B198" s="1544"/>
      <c r="C198" s="1544"/>
      <c r="D198" s="1544"/>
      <c r="E198" s="1544"/>
      <c r="I198" s="1529"/>
      <c r="J198" s="1529"/>
      <c r="K198" s="1529"/>
      <c r="L198" s="1529"/>
      <c r="M198" s="1529"/>
      <c r="N198" s="1529"/>
      <c r="O198" s="1529"/>
      <c r="P198" s="1614"/>
      <c r="R198" s="1545"/>
      <c r="S198" s="1545"/>
      <c r="T198" s="1545"/>
      <c r="U198" s="1545"/>
      <c r="V198" s="1545"/>
      <c r="W198" s="1545"/>
      <c r="X198" s="1545"/>
      <c r="Y198" s="1545"/>
    </row>
    <row r="199" spans="1:25">
      <c r="A199" s="1544"/>
      <c r="B199" s="1544"/>
      <c r="C199" s="1544"/>
      <c r="D199" s="1544"/>
      <c r="E199" s="1544"/>
      <c r="I199" s="1529"/>
      <c r="J199" s="1529"/>
      <c r="K199" s="1529"/>
      <c r="L199" s="1529"/>
      <c r="M199" s="1529"/>
      <c r="N199" s="1529"/>
      <c r="O199" s="1529"/>
      <c r="P199" s="1614"/>
      <c r="R199" s="1545"/>
      <c r="S199" s="1545"/>
      <c r="T199" s="1545"/>
      <c r="U199" s="1545"/>
      <c r="V199" s="1545"/>
      <c r="W199" s="1545"/>
      <c r="X199" s="1545"/>
      <c r="Y199" s="1545"/>
    </row>
    <row r="200" spans="1:25">
      <c r="A200" s="1544"/>
      <c r="B200" s="1544"/>
      <c r="C200" s="1544"/>
      <c r="D200" s="1544"/>
      <c r="E200" s="1544"/>
      <c r="I200" s="1529"/>
      <c r="J200" s="1529"/>
      <c r="K200" s="1529"/>
      <c r="L200" s="1529"/>
      <c r="M200" s="1529"/>
      <c r="N200" s="1529"/>
      <c r="O200" s="1529"/>
      <c r="P200" s="1614"/>
      <c r="R200" s="1545"/>
      <c r="S200" s="1545"/>
      <c r="T200" s="1545"/>
      <c r="U200" s="1545"/>
      <c r="V200" s="1545"/>
      <c r="W200" s="1545"/>
      <c r="X200" s="1545"/>
      <c r="Y200" s="1545"/>
    </row>
    <row r="201" spans="1:25">
      <c r="A201" s="1544"/>
      <c r="B201" s="1544"/>
      <c r="C201" s="1544"/>
      <c r="D201" s="1544"/>
      <c r="E201" s="1544"/>
      <c r="I201" s="1529"/>
      <c r="J201" s="1529"/>
      <c r="K201" s="1529"/>
      <c r="L201" s="1529"/>
      <c r="M201" s="1529"/>
      <c r="N201" s="1529"/>
      <c r="O201" s="1529"/>
      <c r="P201" s="1614"/>
      <c r="R201" s="1545"/>
      <c r="S201" s="1545"/>
      <c r="T201" s="1545"/>
      <c r="U201" s="1545"/>
      <c r="V201" s="1545"/>
      <c r="W201" s="1545"/>
      <c r="X201" s="1545"/>
      <c r="Y201" s="1545"/>
    </row>
    <row r="202" spans="1:25">
      <c r="A202" s="1544"/>
      <c r="B202" s="1544"/>
      <c r="C202" s="1544"/>
      <c r="D202" s="1544"/>
      <c r="E202" s="1544"/>
      <c r="I202" s="1529"/>
      <c r="J202" s="1529"/>
      <c r="K202" s="1529"/>
      <c r="L202" s="1529"/>
      <c r="M202" s="1529"/>
      <c r="N202" s="1529"/>
      <c r="O202" s="1529"/>
      <c r="P202" s="1614"/>
      <c r="R202" s="1545"/>
      <c r="S202" s="1545"/>
      <c r="T202" s="1545"/>
      <c r="U202" s="1545"/>
      <c r="V202" s="1545"/>
      <c r="W202" s="1545"/>
      <c r="X202" s="1545"/>
      <c r="Y202" s="1545"/>
    </row>
    <row r="203" spans="1:25">
      <c r="A203" s="1544"/>
      <c r="B203" s="1544"/>
      <c r="C203" s="1544"/>
      <c r="D203" s="1544"/>
      <c r="E203" s="1544"/>
      <c r="I203" s="1529"/>
      <c r="J203" s="1529"/>
      <c r="K203" s="1529"/>
      <c r="L203" s="1529"/>
      <c r="M203" s="1529"/>
      <c r="N203" s="1529"/>
      <c r="O203" s="1529"/>
      <c r="P203" s="1614"/>
      <c r="R203" s="1545"/>
      <c r="S203" s="1545"/>
      <c r="T203" s="1545"/>
      <c r="U203" s="1545"/>
      <c r="V203" s="1545"/>
      <c r="W203" s="1545"/>
      <c r="X203" s="1545"/>
      <c r="Y203" s="1545"/>
    </row>
    <row r="204" spans="1:25">
      <c r="A204" s="1544"/>
      <c r="B204" s="1544"/>
      <c r="C204" s="1544"/>
      <c r="D204" s="1544"/>
      <c r="E204" s="1544"/>
      <c r="I204" s="1529"/>
      <c r="J204" s="1529"/>
      <c r="K204" s="1529"/>
      <c r="L204" s="1529"/>
      <c r="M204" s="1529"/>
      <c r="N204" s="1529"/>
      <c r="O204" s="1529"/>
      <c r="P204" s="1614"/>
      <c r="R204" s="1545"/>
      <c r="S204" s="1545"/>
      <c r="T204" s="1545"/>
      <c r="U204" s="1545"/>
      <c r="V204" s="1545"/>
      <c r="W204" s="1545"/>
      <c r="X204" s="1545"/>
      <c r="Y204" s="1545"/>
    </row>
    <row r="205" spans="1:25">
      <c r="A205" s="1544"/>
      <c r="B205" s="1544"/>
      <c r="C205" s="1544"/>
      <c r="D205" s="1544"/>
      <c r="E205" s="1544"/>
      <c r="I205" s="1529"/>
      <c r="J205" s="1529"/>
      <c r="K205" s="1529"/>
      <c r="L205" s="1529"/>
      <c r="M205" s="1529"/>
      <c r="N205" s="1529"/>
      <c r="O205" s="1529"/>
      <c r="P205" s="1614"/>
      <c r="R205" s="1545"/>
      <c r="S205" s="1545"/>
      <c r="T205" s="1545"/>
      <c r="U205" s="1545"/>
      <c r="V205" s="1545"/>
      <c r="W205" s="1545"/>
      <c r="X205" s="1545"/>
      <c r="Y205" s="1545"/>
    </row>
    <row r="206" spans="1:25">
      <c r="A206" s="1544"/>
      <c r="B206" s="1544"/>
      <c r="C206" s="1544"/>
      <c r="D206" s="1544"/>
      <c r="E206" s="1544"/>
      <c r="I206" s="1529"/>
      <c r="J206" s="1529"/>
      <c r="K206" s="1529"/>
      <c r="L206" s="1529"/>
      <c r="M206" s="1529"/>
      <c r="N206" s="1529"/>
      <c r="O206" s="1529"/>
      <c r="P206" s="1614"/>
      <c r="R206" s="1545"/>
      <c r="S206" s="1545"/>
      <c r="T206" s="1545"/>
      <c r="U206" s="1545"/>
      <c r="V206" s="1545"/>
      <c r="W206" s="1545"/>
      <c r="X206" s="1545"/>
      <c r="Y206" s="1545"/>
    </row>
    <row r="207" spans="1:25">
      <c r="A207" s="1544"/>
      <c r="B207" s="1544"/>
      <c r="C207" s="1544"/>
      <c r="D207" s="1544"/>
      <c r="E207" s="1544"/>
      <c r="I207" s="1529"/>
      <c r="J207" s="1529"/>
      <c r="K207" s="1529"/>
      <c r="L207" s="1529"/>
      <c r="M207" s="1529"/>
      <c r="N207" s="1529"/>
      <c r="O207" s="1529"/>
      <c r="P207" s="1614"/>
      <c r="R207" s="1545"/>
      <c r="S207" s="1545"/>
      <c r="T207" s="1545"/>
      <c r="U207" s="1545"/>
      <c r="V207" s="1545"/>
      <c r="W207" s="1545"/>
      <c r="X207" s="1545"/>
      <c r="Y207" s="1545"/>
    </row>
    <row r="208" spans="1:25">
      <c r="A208" s="1544"/>
      <c r="B208" s="1544"/>
      <c r="C208" s="1544"/>
      <c r="D208" s="1544"/>
      <c r="E208" s="1544"/>
      <c r="I208" s="1529"/>
      <c r="J208" s="1529"/>
      <c r="K208" s="1529"/>
      <c r="L208" s="1529"/>
      <c r="M208" s="1529"/>
      <c r="N208" s="1529"/>
      <c r="O208" s="1529"/>
      <c r="P208" s="1614"/>
      <c r="R208" s="1545"/>
      <c r="S208" s="1545"/>
      <c r="T208" s="1545"/>
      <c r="U208" s="1545"/>
      <c r="V208" s="1545"/>
      <c r="W208" s="1545"/>
      <c r="X208" s="1545"/>
      <c r="Y208" s="1545"/>
    </row>
    <row r="209" spans="1:25">
      <c r="A209" s="1544"/>
      <c r="B209" s="1544"/>
      <c r="C209" s="1544"/>
      <c r="D209" s="1544"/>
      <c r="E209" s="1544"/>
      <c r="I209" s="1529"/>
      <c r="J209" s="1529"/>
      <c r="K209" s="1529"/>
      <c r="L209" s="1529"/>
      <c r="M209" s="1529"/>
      <c r="N209" s="1529"/>
      <c r="O209" s="1529"/>
      <c r="P209" s="1614"/>
      <c r="R209" s="1545"/>
      <c r="S209" s="1545"/>
      <c r="T209" s="1545"/>
      <c r="U209" s="1545"/>
      <c r="V209" s="1545"/>
      <c r="W209" s="1545"/>
      <c r="X209" s="1545"/>
      <c r="Y209" s="1545"/>
    </row>
    <row r="210" spans="1:25">
      <c r="A210" s="1544"/>
      <c r="B210" s="1544"/>
      <c r="C210" s="1544"/>
      <c r="D210" s="1544"/>
      <c r="E210" s="1544"/>
      <c r="I210" s="1529"/>
      <c r="J210" s="1529"/>
      <c r="K210" s="1529"/>
      <c r="L210" s="1529"/>
      <c r="M210" s="1529"/>
      <c r="N210" s="1529"/>
      <c r="O210" s="1529"/>
      <c r="P210" s="1614"/>
      <c r="R210" s="1545"/>
      <c r="S210" s="1545"/>
      <c r="T210" s="1545"/>
      <c r="U210" s="1545"/>
      <c r="V210" s="1545"/>
      <c r="W210" s="1545"/>
      <c r="X210" s="1545"/>
      <c r="Y210" s="1545"/>
    </row>
    <row r="211" spans="1:25">
      <c r="A211" s="1544"/>
      <c r="B211" s="1544"/>
      <c r="C211" s="1544"/>
      <c r="D211" s="1544"/>
      <c r="E211" s="1544"/>
      <c r="I211" s="1529"/>
      <c r="J211" s="1529"/>
      <c r="K211" s="1529"/>
      <c r="L211" s="1529"/>
      <c r="M211" s="1529"/>
      <c r="N211" s="1529"/>
      <c r="O211" s="1529"/>
      <c r="P211" s="1614"/>
      <c r="R211" s="1545"/>
      <c r="S211" s="1545"/>
      <c r="T211" s="1545"/>
      <c r="U211" s="1545"/>
      <c r="V211" s="1545"/>
      <c r="W211" s="1545"/>
      <c r="X211" s="1545"/>
      <c r="Y211" s="1545"/>
    </row>
    <row r="212" spans="1:25">
      <c r="A212" s="1544"/>
      <c r="B212" s="1544"/>
      <c r="C212" s="1544"/>
      <c r="D212" s="1544"/>
      <c r="E212" s="1544"/>
      <c r="I212" s="1529"/>
      <c r="J212" s="1529"/>
      <c r="K212" s="1529"/>
      <c r="L212" s="1529"/>
      <c r="M212" s="1529"/>
      <c r="N212" s="1529"/>
      <c r="O212" s="1529"/>
      <c r="P212" s="1614"/>
      <c r="R212" s="1545"/>
      <c r="S212" s="1545"/>
      <c r="T212" s="1545"/>
      <c r="U212" s="1545"/>
      <c r="V212" s="1545"/>
      <c r="W212" s="1545"/>
      <c r="X212" s="1545"/>
      <c r="Y212" s="1545"/>
    </row>
    <row r="213" spans="1:25">
      <c r="A213" s="1544"/>
      <c r="B213" s="1544"/>
      <c r="C213" s="1544"/>
      <c r="D213" s="1544"/>
      <c r="E213" s="1544"/>
      <c r="I213" s="1529"/>
      <c r="J213" s="1529"/>
      <c r="K213" s="1529"/>
      <c r="L213" s="1529"/>
      <c r="M213" s="1529"/>
      <c r="N213" s="1529"/>
      <c r="O213" s="1529"/>
      <c r="P213" s="1614"/>
      <c r="R213" s="1545"/>
      <c r="S213" s="1545"/>
      <c r="T213" s="1545"/>
      <c r="U213" s="1545"/>
      <c r="V213" s="1545"/>
      <c r="W213" s="1545"/>
      <c r="X213" s="1545"/>
      <c r="Y213" s="1545"/>
    </row>
    <row r="214" spans="1:25">
      <c r="A214" s="1544"/>
      <c r="B214" s="1544"/>
      <c r="C214" s="1544"/>
      <c r="D214" s="1544"/>
      <c r="E214" s="1544"/>
      <c r="I214" s="1529"/>
      <c r="J214" s="1529"/>
      <c r="K214" s="1529"/>
      <c r="L214" s="1529"/>
      <c r="M214" s="1529"/>
      <c r="N214" s="1529"/>
      <c r="O214" s="1529"/>
      <c r="P214" s="1614"/>
      <c r="R214" s="1545"/>
      <c r="S214" s="1545"/>
      <c r="T214" s="1545"/>
      <c r="U214" s="1545"/>
      <c r="V214" s="1545"/>
      <c r="W214" s="1545"/>
      <c r="X214" s="1545"/>
      <c r="Y214" s="1545"/>
    </row>
    <row r="215" spans="1:25">
      <c r="A215" s="1544"/>
      <c r="B215" s="1544"/>
      <c r="C215" s="1544"/>
      <c r="D215" s="1544"/>
      <c r="E215" s="1544"/>
      <c r="I215" s="1529"/>
      <c r="J215" s="1529"/>
      <c r="K215" s="1529"/>
      <c r="L215" s="1529"/>
      <c r="M215" s="1529"/>
      <c r="N215" s="1529"/>
      <c r="O215" s="1529"/>
      <c r="P215" s="1614"/>
      <c r="R215" s="1545"/>
      <c r="S215" s="1545"/>
      <c r="T215" s="1545"/>
      <c r="U215" s="1545"/>
      <c r="V215" s="1545"/>
      <c r="W215" s="1545"/>
      <c r="X215" s="1545"/>
      <c r="Y215" s="1545"/>
    </row>
    <row r="216" spans="1:25">
      <c r="A216" s="1544"/>
      <c r="B216" s="1544"/>
      <c r="C216" s="1544"/>
      <c r="D216" s="1544"/>
      <c r="E216" s="1544"/>
      <c r="I216" s="1529"/>
      <c r="J216" s="1529"/>
      <c r="K216" s="1529"/>
      <c r="L216" s="1529"/>
      <c r="M216" s="1529"/>
      <c r="N216" s="1529"/>
      <c r="O216" s="1529"/>
      <c r="P216" s="1614"/>
      <c r="R216" s="1545"/>
      <c r="S216" s="1545"/>
      <c r="T216" s="1545"/>
      <c r="U216" s="1545"/>
      <c r="V216" s="1545"/>
      <c r="W216" s="1545"/>
      <c r="X216" s="1545"/>
      <c r="Y216" s="1545"/>
    </row>
    <row r="217" spans="1:25">
      <c r="A217" s="1544"/>
      <c r="B217" s="1544"/>
      <c r="C217" s="1544"/>
      <c r="D217" s="1544"/>
      <c r="E217" s="1544"/>
      <c r="I217" s="1529"/>
      <c r="J217" s="1529"/>
      <c r="K217" s="1529"/>
      <c r="L217" s="1529"/>
      <c r="M217" s="1529"/>
      <c r="N217" s="1529"/>
      <c r="O217" s="1529"/>
      <c r="P217" s="1614"/>
      <c r="R217" s="1545"/>
      <c r="S217" s="1545"/>
      <c r="T217" s="1545"/>
      <c r="U217" s="1545"/>
      <c r="V217" s="1545"/>
      <c r="W217" s="1545"/>
      <c r="X217" s="1545"/>
      <c r="Y217" s="1545"/>
    </row>
    <row r="218" spans="1:25">
      <c r="A218" s="1544"/>
      <c r="B218" s="1544"/>
      <c r="C218" s="1544"/>
      <c r="D218" s="1544"/>
      <c r="E218" s="1544"/>
      <c r="I218" s="1529"/>
      <c r="J218" s="1529"/>
      <c r="K218" s="1529"/>
      <c r="L218" s="1529"/>
      <c r="M218" s="1529"/>
      <c r="N218" s="1529"/>
      <c r="O218" s="1529"/>
      <c r="P218" s="1614"/>
      <c r="R218" s="1545"/>
      <c r="S218" s="1545"/>
      <c r="T218" s="1545"/>
      <c r="U218" s="1545"/>
      <c r="V218" s="1545"/>
      <c r="W218" s="1545"/>
      <c r="X218" s="1545"/>
      <c r="Y218" s="1545"/>
    </row>
    <row r="219" spans="1:25">
      <c r="A219" s="1544"/>
      <c r="B219" s="1544"/>
      <c r="C219" s="1544"/>
      <c r="D219" s="1544"/>
      <c r="E219" s="1544"/>
      <c r="I219" s="1529"/>
      <c r="J219" s="1529"/>
      <c r="K219" s="1529"/>
      <c r="L219" s="1529"/>
      <c r="M219" s="1529"/>
      <c r="N219" s="1529"/>
      <c r="O219" s="1529"/>
      <c r="P219" s="1614"/>
      <c r="R219" s="1545"/>
      <c r="S219" s="1545"/>
      <c r="T219" s="1545"/>
      <c r="U219" s="1545"/>
      <c r="V219" s="1545"/>
      <c r="W219" s="1545"/>
      <c r="X219" s="1545"/>
      <c r="Y219" s="1545"/>
    </row>
    <row r="220" spans="1:25">
      <c r="A220" s="1544"/>
      <c r="B220" s="1544"/>
      <c r="C220" s="1544"/>
      <c r="D220" s="1544"/>
      <c r="E220" s="1544"/>
      <c r="I220" s="1529"/>
      <c r="J220" s="1529"/>
      <c r="K220" s="1529"/>
      <c r="L220" s="1529"/>
      <c r="M220" s="1529"/>
      <c r="N220" s="1529"/>
      <c r="O220" s="1529"/>
      <c r="P220" s="1614"/>
      <c r="R220" s="1545"/>
      <c r="S220" s="1545"/>
      <c r="T220" s="1545"/>
      <c r="U220" s="1545"/>
      <c r="V220" s="1545"/>
      <c r="W220" s="1545"/>
      <c r="X220" s="1545"/>
      <c r="Y220" s="1545"/>
    </row>
    <row r="221" spans="1:25">
      <c r="A221" s="1544"/>
      <c r="B221" s="1544"/>
      <c r="C221" s="1544"/>
      <c r="D221" s="1544"/>
      <c r="E221" s="1544"/>
      <c r="I221" s="1529"/>
      <c r="J221" s="1529"/>
      <c r="K221" s="1529"/>
      <c r="L221" s="1529"/>
      <c r="M221" s="1529"/>
      <c r="N221" s="1529"/>
      <c r="O221" s="1529"/>
      <c r="P221" s="1614"/>
      <c r="R221" s="1545"/>
      <c r="S221" s="1545"/>
      <c r="T221" s="1545"/>
      <c r="U221" s="1545"/>
      <c r="V221" s="1545"/>
      <c r="W221" s="1545"/>
      <c r="X221" s="1545"/>
      <c r="Y221" s="1545"/>
    </row>
    <row r="222" spans="1:25">
      <c r="A222" s="1544"/>
      <c r="B222" s="1544"/>
      <c r="C222" s="1544"/>
      <c r="D222" s="1544"/>
      <c r="E222" s="1544"/>
      <c r="I222" s="1529"/>
      <c r="J222" s="1529"/>
      <c r="K222" s="1529"/>
      <c r="L222" s="1529"/>
      <c r="M222" s="1529"/>
      <c r="N222" s="1529"/>
      <c r="O222" s="1529"/>
      <c r="P222" s="1614"/>
      <c r="R222" s="1545"/>
      <c r="S222" s="1545"/>
      <c r="T222" s="1545"/>
      <c r="U222" s="1545"/>
      <c r="V222" s="1545"/>
      <c r="W222" s="1545"/>
      <c r="X222" s="1545"/>
      <c r="Y222" s="1545"/>
    </row>
    <row r="223" spans="1:25">
      <c r="A223" s="1544"/>
      <c r="B223" s="1544"/>
      <c r="C223" s="1544"/>
      <c r="D223" s="1544"/>
      <c r="E223" s="1544"/>
      <c r="I223" s="1529"/>
      <c r="J223" s="1529"/>
      <c r="K223" s="1529"/>
      <c r="L223" s="1529"/>
      <c r="M223" s="1529"/>
      <c r="N223" s="1529"/>
      <c r="O223" s="1529"/>
      <c r="P223" s="1614"/>
      <c r="R223" s="1545"/>
      <c r="S223" s="1545"/>
      <c r="T223" s="1545"/>
      <c r="U223" s="1545"/>
      <c r="V223" s="1545"/>
      <c r="W223" s="1545"/>
      <c r="X223" s="1545"/>
      <c r="Y223" s="1545"/>
    </row>
    <row r="224" spans="1:25">
      <c r="A224" s="1544"/>
      <c r="B224" s="1544"/>
      <c r="C224" s="1544"/>
      <c r="D224" s="1544"/>
      <c r="E224" s="1544"/>
      <c r="I224" s="1529"/>
      <c r="J224" s="1529"/>
      <c r="K224" s="1529"/>
      <c r="L224" s="1529"/>
      <c r="M224" s="1529"/>
      <c r="N224" s="1529"/>
      <c r="O224" s="1529"/>
      <c r="P224" s="1614"/>
      <c r="R224" s="1545"/>
      <c r="S224" s="1545"/>
      <c r="T224" s="1545"/>
      <c r="U224" s="1545"/>
      <c r="V224" s="1545"/>
      <c r="W224" s="1545"/>
      <c r="X224" s="1545"/>
      <c r="Y224" s="1545"/>
    </row>
    <row r="225" spans="1:25">
      <c r="A225" s="1544"/>
      <c r="B225" s="1544"/>
      <c r="C225" s="1544"/>
      <c r="D225" s="1544"/>
      <c r="E225" s="1544"/>
      <c r="I225" s="1529"/>
      <c r="J225" s="1529"/>
      <c r="K225" s="1529"/>
      <c r="L225" s="1529"/>
      <c r="M225" s="1529"/>
      <c r="N225" s="1529"/>
      <c r="O225" s="1529"/>
      <c r="P225" s="1614"/>
      <c r="R225" s="1545"/>
      <c r="S225" s="1545"/>
      <c r="T225" s="1545"/>
      <c r="U225" s="1545"/>
      <c r="V225" s="1545"/>
      <c r="W225" s="1545"/>
      <c r="X225" s="1545"/>
      <c r="Y225" s="1545"/>
    </row>
    <row r="226" spans="1:25">
      <c r="A226" s="1544"/>
      <c r="B226" s="1544"/>
      <c r="C226" s="1544"/>
      <c r="D226" s="1544"/>
      <c r="E226" s="1544"/>
      <c r="I226" s="1529"/>
      <c r="J226" s="1529"/>
      <c r="K226" s="1529"/>
      <c r="L226" s="1529"/>
      <c r="M226" s="1529"/>
      <c r="N226" s="1529"/>
      <c r="O226" s="1529"/>
      <c r="P226" s="1614"/>
      <c r="R226" s="1545"/>
      <c r="S226" s="1545"/>
      <c r="T226" s="1545"/>
      <c r="U226" s="1545"/>
      <c r="V226" s="1545"/>
      <c r="W226" s="1545"/>
      <c r="X226" s="1545"/>
      <c r="Y226" s="1545"/>
    </row>
    <row r="227" spans="1:25">
      <c r="A227" s="1544"/>
      <c r="B227" s="1544"/>
      <c r="C227" s="1544"/>
      <c r="D227" s="1544"/>
      <c r="E227" s="1544"/>
      <c r="I227" s="1529"/>
      <c r="J227" s="1529"/>
      <c r="K227" s="1529"/>
      <c r="L227" s="1529"/>
      <c r="M227" s="1529"/>
      <c r="N227" s="1529"/>
      <c r="O227" s="1529"/>
      <c r="P227" s="1614"/>
      <c r="R227" s="1545"/>
      <c r="S227" s="1545"/>
      <c r="T227" s="1545"/>
      <c r="U227" s="1545"/>
      <c r="V227" s="1545"/>
      <c r="W227" s="1545"/>
      <c r="X227" s="1545"/>
      <c r="Y227" s="1545"/>
    </row>
    <row r="228" spans="1:25">
      <c r="A228" s="1544"/>
      <c r="B228" s="1544"/>
      <c r="C228" s="1544"/>
      <c r="D228" s="1544"/>
      <c r="E228" s="1544"/>
      <c r="I228" s="1529"/>
      <c r="J228" s="1529"/>
      <c r="K228" s="1529"/>
      <c r="L228" s="1529"/>
      <c r="M228" s="1529"/>
      <c r="N228" s="1529"/>
      <c r="O228" s="1529"/>
      <c r="P228" s="1614"/>
      <c r="R228" s="1545"/>
      <c r="S228" s="1545"/>
      <c r="T228" s="1545"/>
      <c r="U228" s="1545"/>
      <c r="V228" s="1545"/>
      <c r="W228" s="1545"/>
      <c r="X228" s="1545"/>
      <c r="Y228" s="1545"/>
    </row>
    <row r="229" spans="1:25">
      <c r="A229" s="1544"/>
      <c r="B229" s="1544"/>
      <c r="C229" s="1544"/>
      <c r="D229" s="1544"/>
      <c r="E229" s="1544"/>
      <c r="I229" s="1529"/>
      <c r="J229" s="1529"/>
      <c r="K229" s="1529"/>
      <c r="L229" s="1529"/>
      <c r="M229" s="1529"/>
      <c r="N229" s="1529"/>
      <c r="O229" s="1529"/>
      <c r="P229" s="1614"/>
      <c r="R229" s="1545"/>
      <c r="S229" s="1545"/>
      <c r="T229" s="1545"/>
      <c r="U229" s="1545"/>
      <c r="V229" s="1545"/>
      <c r="W229" s="1545"/>
      <c r="X229" s="1545"/>
      <c r="Y229" s="1545"/>
    </row>
    <row r="230" spans="1:25">
      <c r="A230" s="1544"/>
      <c r="B230" s="1544"/>
      <c r="C230" s="1544"/>
      <c r="D230" s="1544"/>
      <c r="E230" s="1544"/>
      <c r="I230" s="1529"/>
      <c r="J230" s="1529"/>
      <c r="K230" s="1529"/>
      <c r="L230" s="1529"/>
      <c r="M230" s="1529"/>
      <c r="N230" s="1529"/>
      <c r="O230" s="1529"/>
      <c r="P230" s="1614"/>
      <c r="R230" s="1545"/>
      <c r="S230" s="1545"/>
      <c r="T230" s="1545"/>
      <c r="U230" s="1545"/>
      <c r="V230" s="1545"/>
      <c r="W230" s="1545"/>
      <c r="X230" s="1545"/>
      <c r="Y230" s="1545"/>
    </row>
    <row r="231" spans="1:25">
      <c r="A231" s="1544"/>
      <c r="B231" s="1544"/>
      <c r="C231" s="1544"/>
      <c r="D231" s="1544"/>
      <c r="E231" s="1544"/>
      <c r="I231" s="1529"/>
      <c r="J231" s="1529"/>
      <c r="K231" s="1529"/>
      <c r="L231" s="1529"/>
      <c r="M231" s="1529"/>
      <c r="N231" s="1529"/>
      <c r="O231" s="1529"/>
      <c r="P231" s="1614"/>
      <c r="R231" s="1545"/>
      <c r="S231" s="1545"/>
      <c r="T231" s="1545"/>
      <c r="U231" s="1545"/>
      <c r="V231" s="1545"/>
      <c r="W231" s="1545"/>
      <c r="X231" s="1545"/>
      <c r="Y231" s="1545"/>
    </row>
    <row r="232" spans="1:25">
      <c r="A232" s="1544"/>
      <c r="B232" s="1544"/>
      <c r="C232" s="1544"/>
      <c r="D232" s="1544"/>
      <c r="E232" s="1544"/>
      <c r="I232" s="1529"/>
      <c r="J232" s="1529"/>
      <c r="K232" s="1529"/>
      <c r="L232" s="1529"/>
      <c r="M232" s="1529"/>
      <c r="N232" s="1529"/>
      <c r="O232" s="1529"/>
      <c r="P232" s="1614"/>
      <c r="R232" s="1545"/>
      <c r="S232" s="1545"/>
      <c r="T232" s="1545"/>
      <c r="U232" s="1545"/>
      <c r="V232" s="1545"/>
      <c r="W232" s="1545"/>
      <c r="X232" s="1545"/>
      <c r="Y232" s="1545"/>
    </row>
    <row r="233" spans="1:25">
      <c r="A233" s="1544"/>
      <c r="B233" s="1544"/>
      <c r="C233" s="1544"/>
      <c r="D233" s="1544"/>
      <c r="E233" s="1544"/>
      <c r="I233" s="1529"/>
      <c r="J233" s="1529"/>
      <c r="K233" s="1529"/>
      <c r="L233" s="1529"/>
      <c r="M233" s="1529"/>
      <c r="N233" s="1529"/>
      <c r="O233" s="1529"/>
      <c r="P233" s="1614"/>
      <c r="R233" s="1545"/>
      <c r="S233" s="1545"/>
      <c r="T233" s="1545"/>
      <c r="U233" s="1545"/>
      <c r="V233" s="1545"/>
      <c r="W233" s="1545"/>
      <c r="X233" s="1545"/>
      <c r="Y233" s="1545"/>
    </row>
    <row r="234" spans="1:25">
      <c r="A234" s="1544"/>
      <c r="B234" s="1544"/>
      <c r="C234" s="1544"/>
      <c r="D234" s="1544"/>
      <c r="E234" s="1544"/>
      <c r="I234" s="1529"/>
      <c r="J234" s="1529"/>
      <c r="K234" s="1529"/>
      <c r="L234" s="1529"/>
      <c r="M234" s="1529"/>
      <c r="N234" s="1529"/>
      <c r="O234" s="1529"/>
      <c r="P234" s="1614"/>
      <c r="R234" s="1545"/>
      <c r="S234" s="1545"/>
      <c r="T234" s="1545"/>
      <c r="U234" s="1545"/>
      <c r="V234" s="1545"/>
      <c r="W234" s="1545"/>
      <c r="X234" s="1545"/>
      <c r="Y234" s="1545"/>
    </row>
    <row r="235" spans="1:25">
      <c r="A235" s="1544"/>
      <c r="B235" s="1544"/>
      <c r="C235" s="1544"/>
      <c r="D235" s="1544"/>
      <c r="E235" s="1544"/>
      <c r="I235" s="1529"/>
      <c r="J235" s="1529"/>
      <c r="K235" s="1529"/>
      <c r="L235" s="1529"/>
      <c r="M235" s="1529"/>
      <c r="N235" s="1529"/>
      <c r="O235" s="1529"/>
      <c r="P235" s="1614"/>
      <c r="R235" s="1545"/>
      <c r="S235" s="1545"/>
      <c r="T235" s="1545"/>
      <c r="U235" s="1545"/>
      <c r="V235" s="1545"/>
      <c r="W235" s="1545"/>
      <c r="X235" s="1545"/>
      <c r="Y235" s="1545"/>
    </row>
    <row r="236" spans="1:25">
      <c r="A236" s="1544"/>
      <c r="B236" s="1544"/>
      <c r="C236" s="1544"/>
      <c r="D236" s="1544"/>
      <c r="E236" s="1544"/>
      <c r="I236" s="1529"/>
      <c r="J236" s="1529"/>
      <c r="K236" s="1529"/>
      <c r="L236" s="1529"/>
      <c r="M236" s="1529"/>
      <c r="N236" s="1529"/>
      <c r="O236" s="1529"/>
      <c r="P236" s="1614"/>
      <c r="R236" s="1545"/>
      <c r="S236" s="1545"/>
      <c r="T236" s="1545"/>
      <c r="U236" s="1545"/>
      <c r="V236" s="1545"/>
      <c r="W236" s="1545"/>
      <c r="X236" s="1545"/>
      <c r="Y236" s="1545"/>
    </row>
    <row r="237" spans="1:25">
      <c r="A237" s="1544"/>
      <c r="B237" s="1544"/>
      <c r="C237" s="1544"/>
      <c r="D237" s="1544"/>
      <c r="E237" s="1544"/>
      <c r="I237" s="1529"/>
      <c r="J237" s="1529"/>
      <c r="K237" s="1529"/>
      <c r="L237" s="1529"/>
      <c r="M237" s="1529"/>
      <c r="N237" s="1529"/>
      <c r="O237" s="1529"/>
      <c r="P237" s="1614"/>
      <c r="R237" s="1545"/>
      <c r="S237" s="1545"/>
      <c r="T237" s="1545"/>
      <c r="U237" s="1545"/>
      <c r="V237" s="1545"/>
      <c r="W237" s="1545"/>
      <c r="X237" s="1545"/>
      <c r="Y237" s="1545"/>
    </row>
    <row r="238" spans="1:25">
      <c r="A238" s="1544"/>
      <c r="B238" s="1544"/>
      <c r="C238" s="1544"/>
      <c r="D238" s="1544"/>
      <c r="E238" s="1544"/>
      <c r="I238" s="1529"/>
      <c r="J238" s="1529"/>
      <c r="K238" s="1529"/>
      <c r="L238" s="1529"/>
      <c r="M238" s="1529"/>
      <c r="N238" s="1529"/>
      <c r="O238" s="1529"/>
      <c r="P238" s="1614"/>
      <c r="R238" s="1545"/>
      <c r="S238" s="1545"/>
      <c r="T238" s="1545"/>
      <c r="U238" s="1545"/>
      <c r="V238" s="1545"/>
      <c r="W238" s="1545"/>
      <c r="X238" s="1545"/>
      <c r="Y238" s="1545"/>
    </row>
    <row r="239" spans="1:25">
      <c r="A239" s="1544"/>
      <c r="B239" s="1544"/>
      <c r="C239" s="1544"/>
      <c r="D239" s="1544"/>
      <c r="E239" s="1544"/>
      <c r="I239" s="1529"/>
      <c r="J239" s="1529"/>
      <c r="K239" s="1529"/>
      <c r="L239" s="1529"/>
      <c r="M239" s="1529"/>
      <c r="N239" s="1529"/>
      <c r="O239" s="1529"/>
      <c r="P239" s="1614"/>
      <c r="R239" s="1545"/>
      <c r="S239" s="1545"/>
      <c r="T239" s="1545"/>
      <c r="U239" s="1545"/>
      <c r="V239" s="1545"/>
      <c r="W239" s="1545"/>
      <c r="X239" s="1545"/>
      <c r="Y239" s="1545"/>
    </row>
    <row r="240" spans="1:25">
      <c r="A240" s="1544"/>
      <c r="B240" s="1544"/>
      <c r="C240" s="1544"/>
      <c r="D240" s="1544"/>
      <c r="E240" s="1544"/>
      <c r="I240" s="1529"/>
      <c r="J240" s="1529"/>
      <c r="K240" s="1529"/>
      <c r="L240" s="1529"/>
      <c r="M240" s="1529"/>
      <c r="N240" s="1529"/>
      <c r="O240" s="1529"/>
      <c r="P240" s="1614"/>
      <c r="R240" s="1545"/>
      <c r="S240" s="1545"/>
      <c r="T240" s="1545"/>
      <c r="U240" s="1545"/>
      <c r="V240" s="1545"/>
      <c r="W240" s="1545"/>
      <c r="X240" s="1545"/>
      <c r="Y240" s="1545"/>
    </row>
    <row r="241" spans="1:25">
      <c r="A241" s="1544"/>
      <c r="B241" s="1544"/>
      <c r="C241" s="1544"/>
      <c r="D241" s="1544"/>
      <c r="E241" s="1544"/>
      <c r="I241" s="1529"/>
      <c r="J241" s="1529"/>
      <c r="K241" s="1529"/>
      <c r="L241" s="1529"/>
      <c r="M241" s="1529"/>
      <c r="N241" s="1529"/>
      <c r="O241" s="1529"/>
      <c r="P241" s="1614"/>
      <c r="R241" s="1545"/>
      <c r="S241" s="1545"/>
      <c r="T241" s="1545"/>
      <c r="U241" s="1545"/>
      <c r="V241" s="1545"/>
      <c r="W241" s="1545"/>
      <c r="X241" s="1545"/>
      <c r="Y241" s="1545"/>
    </row>
    <row r="242" spans="1:25">
      <c r="A242" s="1544"/>
      <c r="B242" s="1544"/>
      <c r="C242" s="1544"/>
      <c r="D242" s="1544"/>
      <c r="E242" s="1544"/>
      <c r="I242" s="1529"/>
      <c r="J242" s="1529"/>
      <c r="K242" s="1529"/>
      <c r="L242" s="1529"/>
      <c r="M242" s="1529"/>
      <c r="N242" s="1529"/>
      <c r="O242" s="1529"/>
      <c r="P242" s="1614"/>
      <c r="R242" s="1545"/>
      <c r="S242" s="1545"/>
      <c r="T242" s="1545"/>
      <c r="U242" s="1545"/>
      <c r="V242" s="1545"/>
      <c r="W242" s="1545"/>
      <c r="X242" s="1545"/>
      <c r="Y242" s="1545"/>
    </row>
    <row r="243" spans="1:25">
      <c r="A243" s="1544"/>
      <c r="B243" s="1544"/>
      <c r="C243" s="1544"/>
      <c r="D243" s="1544"/>
      <c r="E243" s="1544"/>
      <c r="I243" s="1529"/>
      <c r="J243" s="1529"/>
      <c r="K243" s="1529"/>
      <c r="L243" s="1529"/>
      <c r="M243" s="1529"/>
      <c r="N243" s="1529"/>
      <c r="O243" s="1529"/>
      <c r="P243" s="1614"/>
      <c r="R243" s="1545"/>
      <c r="S243" s="1545"/>
      <c r="T243" s="1545"/>
      <c r="U243" s="1545"/>
      <c r="V243" s="1545"/>
      <c r="W243" s="1545"/>
      <c r="X243" s="1545"/>
      <c r="Y243" s="1545"/>
    </row>
    <row r="244" spans="1:25">
      <c r="A244" s="1544"/>
      <c r="B244" s="1544"/>
      <c r="C244" s="1544"/>
      <c r="D244" s="1544"/>
      <c r="E244" s="1544"/>
      <c r="I244" s="1529"/>
      <c r="J244" s="1529"/>
      <c r="K244" s="1529"/>
      <c r="L244" s="1529"/>
      <c r="M244" s="1529"/>
      <c r="N244" s="1529"/>
      <c r="O244" s="1529"/>
      <c r="P244" s="1614"/>
      <c r="R244" s="1545"/>
      <c r="S244" s="1545"/>
      <c r="T244" s="1545"/>
      <c r="U244" s="1545"/>
      <c r="V244" s="1545"/>
      <c r="W244" s="1545"/>
      <c r="X244" s="1545"/>
      <c r="Y244" s="1545"/>
    </row>
    <row r="245" spans="1:25">
      <c r="A245" s="1544"/>
      <c r="B245" s="1544"/>
      <c r="C245" s="1544"/>
      <c r="D245" s="1544"/>
      <c r="E245" s="1544"/>
      <c r="I245" s="1529"/>
      <c r="J245" s="1529"/>
      <c r="K245" s="1529"/>
      <c r="L245" s="1529"/>
      <c r="M245" s="1529"/>
      <c r="N245" s="1529"/>
      <c r="O245" s="1529"/>
      <c r="P245" s="1614"/>
      <c r="R245" s="1545"/>
      <c r="S245" s="1545"/>
      <c r="T245" s="1545"/>
      <c r="U245" s="1545"/>
      <c r="V245" s="1545"/>
      <c r="W245" s="1545"/>
      <c r="X245" s="1545"/>
      <c r="Y245" s="1545"/>
    </row>
    <row r="246" spans="1:25">
      <c r="A246" s="1544"/>
      <c r="B246" s="1544"/>
      <c r="C246" s="1544"/>
      <c r="D246" s="1544"/>
      <c r="E246" s="1544"/>
      <c r="I246" s="1529"/>
      <c r="J246" s="1529"/>
      <c r="K246" s="1529"/>
      <c r="L246" s="1529"/>
      <c r="M246" s="1529"/>
      <c r="N246" s="1529"/>
      <c r="O246" s="1529"/>
      <c r="P246" s="1614"/>
      <c r="R246" s="1545"/>
      <c r="S246" s="1545"/>
      <c r="T246" s="1545"/>
      <c r="U246" s="1545"/>
      <c r="V246" s="1545"/>
      <c r="W246" s="1545"/>
      <c r="X246" s="1545"/>
      <c r="Y246" s="1545"/>
    </row>
    <row r="247" spans="1:25">
      <c r="A247" s="1544"/>
      <c r="B247" s="1544"/>
      <c r="C247" s="1544"/>
      <c r="D247" s="1544"/>
      <c r="E247" s="1544"/>
      <c r="I247" s="1529"/>
      <c r="J247" s="1529"/>
      <c r="K247" s="1529"/>
      <c r="L247" s="1529"/>
      <c r="M247" s="1529"/>
      <c r="N247" s="1529"/>
      <c r="O247" s="1529"/>
      <c r="P247" s="1614"/>
      <c r="R247" s="1545"/>
      <c r="S247" s="1545"/>
      <c r="T247" s="1545"/>
      <c r="U247" s="1545"/>
      <c r="V247" s="1545"/>
      <c r="W247" s="1545"/>
      <c r="X247" s="1545"/>
      <c r="Y247" s="1545"/>
    </row>
    <row r="248" spans="1:25">
      <c r="A248" s="1544"/>
      <c r="B248" s="1544"/>
      <c r="C248" s="1544"/>
      <c r="D248" s="1544"/>
      <c r="E248" s="1544"/>
      <c r="I248" s="1529"/>
      <c r="J248" s="1529"/>
      <c r="K248" s="1529"/>
      <c r="L248" s="1529"/>
      <c r="M248" s="1529"/>
      <c r="N248" s="1529"/>
      <c r="O248" s="1529"/>
      <c r="P248" s="1614"/>
      <c r="R248" s="1545"/>
      <c r="S248" s="1545"/>
      <c r="T248" s="1545"/>
      <c r="U248" s="1545"/>
      <c r="V248" s="1545"/>
      <c r="W248" s="1545"/>
      <c r="X248" s="1545"/>
      <c r="Y248" s="1545"/>
    </row>
    <row r="249" spans="1:25">
      <c r="A249" s="1544"/>
      <c r="B249" s="1544"/>
      <c r="C249" s="1544"/>
      <c r="D249" s="1544"/>
      <c r="E249" s="1544"/>
      <c r="I249" s="1529"/>
      <c r="J249" s="1529"/>
      <c r="K249" s="1529"/>
      <c r="L249" s="1529"/>
      <c r="M249" s="1529"/>
      <c r="N249" s="1529"/>
      <c r="O249" s="1529"/>
      <c r="P249" s="1614"/>
      <c r="R249" s="1545"/>
      <c r="S249" s="1545"/>
      <c r="T249" s="1545"/>
      <c r="U249" s="1545"/>
      <c r="V249" s="1545"/>
      <c r="W249" s="1545"/>
      <c r="X249" s="1545"/>
      <c r="Y249" s="1545"/>
    </row>
    <row r="250" spans="1:25">
      <c r="A250" s="1544"/>
      <c r="B250" s="1544"/>
      <c r="C250" s="1544"/>
      <c r="D250" s="1544"/>
      <c r="E250" s="1544"/>
      <c r="I250" s="1529"/>
      <c r="J250" s="1529"/>
      <c r="K250" s="1529"/>
      <c r="L250" s="1529"/>
      <c r="M250" s="1529"/>
      <c r="N250" s="1529"/>
      <c r="O250" s="1529"/>
      <c r="P250" s="1614"/>
      <c r="R250" s="1545"/>
      <c r="S250" s="1545"/>
      <c r="T250" s="1545"/>
      <c r="U250" s="1545"/>
      <c r="V250" s="1545"/>
      <c r="W250" s="1545"/>
      <c r="X250" s="1545"/>
      <c r="Y250" s="1545"/>
    </row>
    <row r="251" spans="1:25">
      <c r="A251" s="1544"/>
      <c r="B251" s="1544"/>
      <c r="C251" s="1544"/>
      <c r="D251" s="1544"/>
      <c r="E251" s="1544"/>
      <c r="I251" s="1529"/>
      <c r="J251" s="1529"/>
      <c r="K251" s="1529"/>
      <c r="L251" s="1529"/>
      <c r="M251" s="1529"/>
      <c r="N251" s="1529"/>
      <c r="O251" s="1529"/>
      <c r="P251" s="1614"/>
      <c r="R251" s="1545"/>
      <c r="S251" s="1545"/>
      <c r="T251" s="1545"/>
      <c r="U251" s="1545"/>
      <c r="V251" s="1545"/>
      <c r="W251" s="1545"/>
      <c r="X251" s="1545"/>
      <c r="Y251" s="1545"/>
    </row>
    <row r="252" spans="1:25">
      <c r="A252" s="1544"/>
      <c r="B252" s="1544"/>
      <c r="C252" s="1544"/>
      <c r="D252" s="1544"/>
      <c r="E252" s="1544"/>
      <c r="I252" s="1529"/>
      <c r="J252" s="1529"/>
      <c r="K252" s="1529"/>
      <c r="L252" s="1529"/>
      <c r="M252" s="1529"/>
      <c r="N252" s="1529"/>
      <c r="O252" s="1529"/>
      <c r="P252" s="1614"/>
      <c r="R252" s="1545"/>
      <c r="S252" s="1545"/>
      <c r="T252" s="1545"/>
      <c r="U252" s="1545"/>
      <c r="V252" s="1545"/>
      <c r="W252" s="1545"/>
      <c r="X252" s="1545"/>
      <c r="Y252" s="1545"/>
    </row>
    <row r="253" spans="1:25">
      <c r="A253" s="1544"/>
      <c r="B253" s="1544"/>
      <c r="C253" s="1544"/>
      <c r="D253" s="1544"/>
      <c r="E253" s="1544"/>
      <c r="I253" s="1529"/>
      <c r="J253" s="1529"/>
      <c r="K253" s="1529"/>
      <c r="L253" s="1529"/>
      <c r="M253" s="1529"/>
      <c r="N253" s="1529"/>
      <c r="O253" s="1529"/>
      <c r="P253" s="1614"/>
      <c r="R253" s="1545"/>
      <c r="S253" s="1545"/>
      <c r="T253" s="1545"/>
      <c r="U253" s="1545"/>
      <c r="V253" s="1545"/>
      <c r="W253" s="1545"/>
      <c r="X253" s="1545"/>
      <c r="Y253" s="1545"/>
    </row>
    <row r="254" spans="1:25">
      <c r="A254" s="1544"/>
      <c r="B254" s="1544"/>
      <c r="C254" s="1544"/>
      <c r="D254" s="1544"/>
      <c r="E254" s="1544"/>
      <c r="I254" s="1529"/>
      <c r="J254" s="1529"/>
      <c r="K254" s="1529"/>
      <c r="L254" s="1529"/>
      <c r="M254" s="1529"/>
      <c r="N254" s="1529"/>
      <c r="O254" s="1529"/>
      <c r="P254" s="1614"/>
      <c r="R254" s="1545"/>
      <c r="S254" s="1545"/>
      <c r="T254" s="1545"/>
      <c r="U254" s="1545"/>
      <c r="V254" s="1545"/>
      <c r="W254" s="1545"/>
      <c r="X254" s="1545"/>
      <c r="Y254" s="1545"/>
    </row>
    <row r="255" spans="1:25">
      <c r="A255" s="1544"/>
      <c r="B255" s="1544"/>
      <c r="C255" s="1544"/>
      <c r="D255" s="1544"/>
      <c r="E255" s="1544"/>
      <c r="I255" s="1529"/>
      <c r="J255" s="1529"/>
      <c r="K255" s="1529"/>
      <c r="L255" s="1529"/>
      <c r="M255" s="1529"/>
      <c r="N255" s="1529"/>
      <c r="O255" s="1529"/>
      <c r="P255" s="1614"/>
      <c r="R255" s="1545"/>
      <c r="S255" s="1545"/>
      <c r="T255" s="1545"/>
      <c r="U255" s="1545"/>
      <c r="V255" s="1545"/>
      <c r="W255" s="1545"/>
      <c r="X255" s="1545"/>
      <c r="Y255" s="1545"/>
    </row>
    <row r="256" spans="1:25">
      <c r="A256" s="1544"/>
      <c r="B256" s="1544"/>
      <c r="C256" s="1544"/>
      <c r="D256" s="1544"/>
      <c r="E256" s="1544"/>
      <c r="I256" s="1529"/>
      <c r="J256" s="1529"/>
      <c r="K256" s="1529"/>
      <c r="L256" s="1529"/>
      <c r="M256" s="1529"/>
      <c r="N256" s="1529"/>
      <c r="O256" s="1529"/>
      <c r="P256" s="1614"/>
      <c r="R256" s="1545"/>
      <c r="S256" s="1545"/>
      <c r="T256" s="1545"/>
      <c r="U256" s="1545"/>
      <c r="V256" s="1545"/>
      <c r="W256" s="1545"/>
      <c r="X256" s="1545"/>
      <c r="Y256" s="1545"/>
    </row>
    <row r="257" spans="1:25">
      <c r="A257" s="1544"/>
      <c r="B257" s="1544"/>
      <c r="C257" s="1544"/>
      <c r="D257" s="1544"/>
      <c r="E257" s="1544"/>
      <c r="I257" s="1529"/>
      <c r="J257" s="1529"/>
      <c r="K257" s="1529"/>
      <c r="L257" s="1529"/>
      <c r="M257" s="1529"/>
      <c r="N257" s="1529"/>
      <c r="O257" s="1529"/>
      <c r="P257" s="1614"/>
      <c r="R257" s="1545"/>
      <c r="S257" s="1545"/>
      <c r="T257" s="1545"/>
      <c r="U257" s="1545"/>
      <c r="V257" s="1545"/>
      <c r="W257" s="1545"/>
      <c r="X257" s="1545"/>
      <c r="Y257" s="1545"/>
    </row>
    <row r="258" spans="1:25">
      <c r="A258" s="1544"/>
      <c r="B258" s="1544"/>
      <c r="C258" s="1544"/>
      <c r="D258" s="1544"/>
      <c r="E258" s="1544"/>
      <c r="I258" s="1529"/>
      <c r="J258" s="1529"/>
      <c r="K258" s="1529"/>
      <c r="L258" s="1529"/>
      <c r="M258" s="1529"/>
      <c r="N258" s="1529"/>
      <c r="O258" s="1529"/>
      <c r="P258" s="1614"/>
      <c r="R258" s="1545"/>
      <c r="S258" s="1545"/>
      <c r="T258" s="1545"/>
      <c r="U258" s="1545"/>
      <c r="V258" s="1545"/>
      <c r="W258" s="1545"/>
      <c r="X258" s="1545"/>
      <c r="Y258" s="1545"/>
    </row>
    <row r="259" spans="1:25">
      <c r="A259" s="1544"/>
      <c r="B259" s="1544"/>
      <c r="C259" s="1544"/>
      <c r="D259" s="1544"/>
      <c r="E259" s="1544"/>
      <c r="I259" s="1529"/>
      <c r="J259" s="1529"/>
      <c r="K259" s="1529"/>
      <c r="L259" s="1529"/>
      <c r="M259" s="1529"/>
      <c r="N259" s="1529"/>
      <c r="O259" s="1529"/>
      <c r="P259" s="1614"/>
      <c r="R259" s="1545"/>
      <c r="S259" s="1545"/>
      <c r="T259" s="1545"/>
      <c r="U259" s="1545"/>
      <c r="V259" s="1545"/>
      <c r="W259" s="1545"/>
      <c r="X259" s="1545"/>
      <c r="Y259" s="1545"/>
    </row>
    <row r="260" spans="1:25">
      <c r="A260" s="1544"/>
      <c r="B260" s="1544"/>
      <c r="C260" s="1544"/>
      <c r="D260" s="1544"/>
      <c r="E260" s="1544"/>
      <c r="I260" s="1529"/>
      <c r="J260" s="1529"/>
      <c r="K260" s="1529"/>
      <c r="L260" s="1529"/>
      <c r="M260" s="1529"/>
      <c r="N260" s="1529"/>
      <c r="O260" s="1529"/>
      <c r="P260" s="1614"/>
      <c r="R260" s="1545"/>
      <c r="S260" s="1545"/>
      <c r="T260" s="1545"/>
      <c r="U260" s="1545"/>
      <c r="V260" s="1545"/>
      <c r="W260" s="1545"/>
      <c r="X260" s="1545"/>
      <c r="Y260" s="1545"/>
    </row>
    <row r="261" spans="1:25">
      <c r="A261" s="1544"/>
      <c r="B261" s="1544"/>
      <c r="C261" s="1544"/>
      <c r="D261" s="1544"/>
      <c r="E261" s="1544"/>
      <c r="I261" s="1529"/>
      <c r="J261" s="1529"/>
      <c r="K261" s="1529"/>
      <c r="L261" s="1529"/>
      <c r="M261" s="1529"/>
      <c r="N261" s="1529"/>
      <c r="O261" s="1529"/>
      <c r="P261" s="1614"/>
      <c r="R261" s="1545"/>
      <c r="S261" s="1545"/>
      <c r="T261" s="1545"/>
      <c r="U261" s="1545"/>
      <c r="V261" s="1545"/>
      <c r="W261" s="1545"/>
      <c r="X261" s="1545"/>
      <c r="Y261" s="1545"/>
    </row>
    <row r="262" spans="1:25">
      <c r="A262" s="1544"/>
      <c r="B262" s="1544"/>
      <c r="C262" s="1544"/>
      <c r="D262" s="1544"/>
      <c r="E262" s="1544"/>
      <c r="I262" s="1529"/>
      <c r="J262" s="1529"/>
      <c r="K262" s="1529"/>
      <c r="L262" s="1529"/>
      <c r="M262" s="1529"/>
      <c r="N262" s="1529"/>
      <c r="O262" s="1529"/>
      <c r="P262" s="1614"/>
      <c r="R262" s="1545"/>
      <c r="S262" s="1545"/>
      <c r="T262" s="1545"/>
      <c r="U262" s="1545"/>
      <c r="V262" s="1545"/>
      <c r="W262" s="1545"/>
      <c r="X262" s="1545"/>
      <c r="Y262" s="1545"/>
    </row>
    <row r="263" spans="1:25">
      <c r="A263" s="1544"/>
      <c r="B263" s="1544"/>
      <c r="C263" s="1544"/>
      <c r="D263" s="1544"/>
      <c r="E263" s="1544"/>
      <c r="I263" s="1529"/>
      <c r="J263" s="1529"/>
      <c r="K263" s="1529"/>
      <c r="L263" s="1529"/>
      <c r="M263" s="1529"/>
      <c r="N263" s="1529"/>
      <c r="O263" s="1529"/>
      <c r="P263" s="1614"/>
      <c r="R263" s="1545"/>
      <c r="S263" s="1545"/>
      <c r="T263" s="1545"/>
      <c r="U263" s="1545"/>
      <c r="V263" s="1545"/>
      <c r="W263" s="1545"/>
      <c r="X263" s="1545"/>
      <c r="Y263" s="1545"/>
    </row>
    <row r="264" spans="1:25">
      <c r="A264" s="1544"/>
      <c r="B264" s="1544"/>
      <c r="C264" s="1544"/>
      <c r="D264" s="1544"/>
      <c r="E264" s="1544"/>
      <c r="I264" s="1529"/>
      <c r="J264" s="1529"/>
      <c r="K264" s="1529"/>
      <c r="L264" s="1529"/>
      <c r="M264" s="1529"/>
      <c r="N264" s="1529"/>
      <c r="O264" s="1529"/>
      <c r="P264" s="1614"/>
      <c r="R264" s="1545"/>
      <c r="S264" s="1545"/>
      <c r="T264" s="1545"/>
      <c r="U264" s="1545"/>
      <c r="V264" s="1545"/>
      <c r="W264" s="1545"/>
      <c r="X264" s="1545"/>
      <c r="Y264" s="1545"/>
    </row>
    <row r="265" spans="1:25">
      <c r="A265" s="1544"/>
      <c r="B265" s="1544"/>
      <c r="C265" s="1544"/>
      <c r="D265" s="1544"/>
      <c r="E265" s="1544"/>
      <c r="I265" s="1529"/>
      <c r="J265" s="1529"/>
      <c r="K265" s="1529"/>
      <c r="L265" s="1529"/>
      <c r="M265" s="1529"/>
      <c r="N265" s="1529"/>
      <c r="O265" s="1529"/>
      <c r="P265" s="1614"/>
      <c r="R265" s="1545"/>
      <c r="S265" s="1545"/>
      <c r="T265" s="1545"/>
      <c r="U265" s="1545"/>
      <c r="V265" s="1545"/>
      <c r="W265" s="1545"/>
      <c r="X265" s="1545"/>
      <c r="Y265" s="1545"/>
    </row>
    <row r="266" spans="1:25">
      <c r="A266" s="1544"/>
      <c r="B266" s="1544"/>
      <c r="C266" s="1544"/>
      <c r="D266" s="1544"/>
      <c r="E266" s="1544"/>
      <c r="I266" s="1529"/>
      <c r="J266" s="1529"/>
      <c r="K266" s="1529"/>
      <c r="L266" s="1529"/>
      <c r="M266" s="1529"/>
      <c r="N266" s="1529"/>
      <c r="O266" s="1529"/>
      <c r="P266" s="1614"/>
      <c r="R266" s="1545"/>
      <c r="S266" s="1545"/>
      <c r="T266" s="1545"/>
      <c r="U266" s="1545"/>
      <c r="V266" s="1545"/>
      <c r="W266" s="1545"/>
      <c r="X266" s="1545"/>
      <c r="Y266" s="1545"/>
    </row>
    <row r="267" spans="1:25">
      <c r="A267" s="1544"/>
      <c r="B267" s="1544"/>
      <c r="C267" s="1544"/>
      <c r="D267" s="1544"/>
      <c r="E267" s="1544"/>
      <c r="I267" s="1529"/>
      <c r="J267" s="1529"/>
      <c r="K267" s="1529"/>
      <c r="L267" s="1529"/>
      <c r="M267" s="1529"/>
      <c r="N267" s="1529"/>
      <c r="O267" s="1529"/>
      <c r="P267" s="1614"/>
      <c r="R267" s="1545"/>
      <c r="S267" s="1545"/>
      <c r="T267" s="1545"/>
      <c r="U267" s="1545"/>
      <c r="V267" s="1545"/>
      <c r="W267" s="1545"/>
      <c r="X267" s="1545"/>
      <c r="Y267" s="1545"/>
    </row>
    <row r="268" spans="1:25">
      <c r="A268" s="1544"/>
      <c r="B268" s="1544"/>
      <c r="C268" s="1544"/>
      <c r="D268" s="1544"/>
      <c r="E268" s="1544"/>
      <c r="I268" s="1529"/>
      <c r="J268" s="1529"/>
      <c r="K268" s="1529"/>
      <c r="L268" s="1529"/>
      <c r="M268" s="1529"/>
      <c r="N268" s="1529"/>
      <c r="O268" s="1529"/>
      <c r="P268" s="1614"/>
      <c r="R268" s="1545"/>
      <c r="S268" s="1545"/>
      <c r="T268" s="1545"/>
      <c r="U268" s="1545"/>
      <c r="V268" s="1545"/>
      <c r="W268" s="1545"/>
      <c r="X268" s="1545"/>
      <c r="Y268" s="1545"/>
    </row>
    <row r="269" spans="1:25">
      <c r="A269" s="1544"/>
      <c r="B269" s="1544"/>
      <c r="C269" s="1544"/>
      <c r="D269" s="1544"/>
      <c r="E269" s="1544"/>
      <c r="I269" s="1529"/>
      <c r="J269" s="1529"/>
      <c r="K269" s="1529"/>
      <c r="L269" s="1529"/>
      <c r="M269" s="1529"/>
      <c r="N269" s="1529"/>
      <c r="O269" s="1529"/>
      <c r="P269" s="1614"/>
      <c r="R269" s="1545"/>
      <c r="S269" s="1545"/>
      <c r="T269" s="1545"/>
      <c r="U269" s="1545"/>
      <c r="V269" s="1545"/>
      <c r="W269" s="1545"/>
      <c r="X269" s="1545"/>
      <c r="Y269" s="1545"/>
    </row>
    <row r="270" spans="1:25">
      <c r="A270" s="1544"/>
      <c r="B270" s="1544"/>
      <c r="C270" s="1544"/>
      <c r="D270" s="1544"/>
      <c r="E270" s="1544"/>
      <c r="I270" s="1529"/>
      <c r="J270" s="1529"/>
      <c r="K270" s="1529"/>
      <c r="L270" s="1529"/>
      <c r="M270" s="1529"/>
      <c r="N270" s="1529"/>
      <c r="O270" s="1529"/>
      <c r="P270" s="1614"/>
      <c r="R270" s="1545"/>
      <c r="S270" s="1545"/>
      <c r="T270" s="1545"/>
      <c r="U270" s="1545"/>
      <c r="V270" s="1545"/>
      <c r="W270" s="1545"/>
      <c r="X270" s="1545"/>
      <c r="Y270" s="1545"/>
    </row>
    <row r="271" spans="1:25">
      <c r="A271" s="1544"/>
      <c r="B271" s="1544"/>
      <c r="C271" s="1544"/>
      <c r="D271" s="1544"/>
      <c r="E271" s="1544"/>
      <c r="I271" s="1529"/>
      <c r="J271" s="1529"/>
      <c r="K271" s="1529"/>
      <c r="L271" s="1529"/>
      <c r="M271" s="1529"/>
      <c r="N271" s="1529"/>
      <c r="O271" s="1529"/>
      <c r="P271" s="1614"/>
      <c r="R271" s="1545"/>
      <c r="S271" s="1545"/>
      <c r="T271" s="1545"/>
      <c r="U271" s="1545"/>
      <c r="V271" s="1545"/>
      <c r="W271" s="1545"/>
      <c r="X271" s="1545"/>
      <c r="Y271" s="1545"/>
    </row>
    <row r="272" spans="1:25">
      <c r="A272" s="1544"/>
      <c r="B272" s="1544"/>
      <c r="C272" s="1544"/>
      <c r="D272" s="1544"/>
      <c r="E272" s="1544"/>
      <c r="I272" s="1529"/>
      <c r="J272" s="1529"/>
      <c r="K272" s="1529"/>
      <c r="L272" s="1529"/>
      <c r="M272" s="1529"/>
      <c r="N272" s="1529"/>
      <c r="O272" s="1529"/>
      <c r="P272" s="1614"/>
      <c r="R272" s="1545"/>
      <c r="S272" s="1545"/>
      <c r="T272" s="1545"/>
      <c r="U272" s="1545"/>
      <c r="V272" s="1545"/>
      <c r="W272" s="1545"/>
      <c r="X272" s="1545"/>
      <c r="Y272" s="1545"/>
    </row>
    <row r="273" spans="1:25">
      <c r="A273" s="1544"/>
      <c r="B273" s="1544"/>
      <c r="C273" s="1544"/>
      <c r="D273" s="1544"/>
      <c r="E273" s="1544"/>
      <c r="I273" s="1529"/>
      <c r="J273" s="1529"/>
      <c r="K273" s="1529"/>
      <c r="L273" s="1529"/>
      <c r="M273" s="1529"/>
      <c r="N273" s="1529"/>
      <c r="O273" s="1529"/>
      <c r="P273" s="1614"/>
      <c r="R273" s="1545"/>
      <c r="S273" s="1545"/>
      <c r="T273" s="1545"/>
      <c r="U273" s="1545"/>
      <c r="V273" s="1545"/>
      <c r="W273" s="1545"/>
      <c r="X273" s="1545"/>
      <c r="Y273" s="1545"/>
    </row>
    <row r="274" spans="1:25">
      <c r="A274" s="1544"/>
      <c r="B274" s="1544"/>
      <c r="C274" s="1544"/>
      <c r="D274" s="1544"/>
      <c r="E274" s="1544"/>
      <c r="I274" s="1529"/>
      <c r="J274" s="1529"/>
      <c r="K274" s="1529"/>
      <c r="L274" s="1529"/>
      <c r="M274" s="1529"/>
      <c r="N274" s="1529"/>
      <c r="O274" s="1529"/>
      <c r="P274" s="1614"/>
      <c r="R274" s="1545"/>
      <c r="S274" s="1545"/>
      <c r="T274" s="1545"/>
      <c r="U274" s="1545"/>
      <c r="V274" s="1545"/>
      <c r="W274" s="1545"/>
      <c r="X274" s="1545"/>
      <c r="Y274" s="1545"/>
    </row>
    <row r="275" spans="1:25">
      <c r="A275" s="1544"/>
      <c r="B275" s="1544"/>
      <c r="C275" s="1544"/>
      <c r="D275" s="1544"/>
      <c r="E275" s="1544"/>
      <c r="I275" s="1529"/>
      <c r="J275" s="1529"/>
      <c r="K275" s="1529"/>
      <c r="L275" s="1529"/>
      <c r="M275" s="1529"/>
      <c r="N275" s="1529"/>
      <c r="O275" s="1529"/>
      <c r="P275" s="1614"/>
      <c r="R275" s="1545"/>
      <c r="S275" s="1545"/>
      <c r="T275" s="1545"/>
      <c r="U275" s="1545"/>
      <c r="V275" s="1545"/>
      <c r="W275" s="1545"/>
      <c r="X275" s="1545"/>
      <c r="Y275" s="1545"/>
    </row>
    <row r="276" spans="1:25">
      <c r="A276" s="1544"/>
      <c r="B276" s="1544"/>
      <c r="C276" s="1544"/>
      <c r="D276" s="1544"/>
      <c r="E276" s="1544"/>
      <c r="I276" s="1529"/>
      <c r="J276" s="1529"/>
      <c r="K276" s="1529"/>
      <c r="L276" s="1529"/>
      <c r="M276" s="1529"/>
      <c r="N276" s="1529"/>
      <c r="O276" s="1529"/>
      <c r="P276" s="1614"/>
      <c r="R276" s="1545"/>
      <c r="S276" s="1545"/>
      <c r="T276" s="1545"/>
      <c r="U276" s="1545"/>
      <c r="V276" s="1545"/>
      <c r="W276" s="1545"/>
      <c r="X276" s="1545"/>
      <c r="Y276" s="1545"/>
    </row>
    <row r="277" spans="1:25">
      <c r="A277" s="1544"/>
      <c r="B277" s="1544"/>
      <c r="C277" s="1544"/>
      <c r="D277" s="1544"/>
      <c r="E277" s="1544"/>
      <c r="I277" s="1529"/>
      <c r="J277" s="1529"/>
      <c r="K277" s="1529"/>
      <c r="L277" s="1529"/>
      <c r="M277" s="1529"/>
      <c r="N277" s="1529"/>
      <c r="O277" s="1529"/>
      <c r="P277" s="1614"/>
      <c r="R277" s="1545"/>
      <c r="S277" s="1545"/>
      <c r="T277" s="1545"/>
      <c r="U277" s="1545"/>
      <c r="V277" s="1545"/>
      <c r="W277" s="1545"/>
      <c r="X277" s="1545"/>
      <c r="Y277" s="1545"/>
    </row>
    <row r="278" spans="1:25">
      <c r="A278" s="1544"/>
      <c r="B278" s="1544"/>
      <c r="C278" s="1544"/>
      <c r="D278" s="1544"/>
      <c r="E278" s="1544"/>
      <c r="I278" s="1529"/>
      <c r="J278" s="1529"/>
      <c r="K278" s="1529"/>
      <c r="L278" s="1529"/>
      <c r="M278" s="1529"/>
      <c r="N278" s="1529"/>
      <c r="O278" s="1529"/>
      <c r="P278" s="1614"/>
      <c r="R278" s="1545"/>
      <c r="S278" s="1545"/>
      <c r="T278" s="1545"/>
      <c r="U278" s="1545"/>
      <c r="V278" s="1545"/>
      <c r="W278" s="1545"/>
      <c r="X278" s="1545"/>
      <c r="Y278" s="1545"/>
    </row>
    <row r="279" spans="1:25">
      <c r="A279" s="1544"/>
      <c r="B279" s="1544"/>
      <c r="C279" s="1544"/>
      <c r="D279" s="1544"/>
      <c r="E279" s="1544"/>
      <c r="I279" s="1529"/>
      <c r="J279" s="1529"/>
      <c r="K279" s="1529"/>
      <c r="L279" s="1529"/>
      <c r="M279" s="1529"/>
      <c r="N279" s="1529"/>
      <c r="O279" s="1529"/>
      <c r="P279" s="1614"/>
      <c r="R279" s="1545"/>
      <c r="S279" s="1545"/>
      <c r="T279" s="1545"/>
      <c r="U279" s="1545"/>
      <c r="V279" s="1545"/>
      <c r="W279" s="1545"/>
      <c r="X279" s="1545"/>
      <c r="Y279" s="1545"/>
    </row>
    <row r="280" spans="1:25">
      <c r="A280" s="1544"/>
      <c r="B280" s="1544"/>
      <c r="C280" s="1544"/>
      <c r="D280" s="1544"/>
      <c r="E280" s="1544"/>
      <c r="I280" s="1529"/>
      <c r="J280" s="1529"/>
      <c r="K280" s="1529"/>
      <c r="L280" s="1529"/>
      <c r="M280" s="1529"/>
      <c r="N280" s="1529"/>
      <c r="O280" s="1529"/>
      <c r="P280" s="1614"/>
      <c r="R280" s="1545"/>
      <c r="S280" s="1545"/>
      <c r="T280" s="1545"/>
      <c r="U280" s="1545"/>
      <c r="V280" s="1545"/>
      <c r="W280" s="1545"/>
      <c r="X280" s="1545"/>
      <c r="Y280" s="1545"/>
    </row>
    <row r="281" spans="1:25">
      <c r="A281" s="1544"/>
      <c r="B281" s="1544"/>
      <c r="C281" s="1544"/>
      <c r="D281" s="1544"/>
      <c r="E281" s="1544"/>
      <c r="I281" s="1529"/>
      <c r="J281" s="1529"/>
      <c r="K281" s="1529"/>
      <c r="L281" s="1529"/>
      <c r="M281" s="1529"/>
      <c r="N281" s="1529"/>
      <c r="O281" s="1529"/>
      <c r="P281" s="1614"/>
      <c r="R281" s="1545"/>
      <c r="S281" s="1545"/>
      <c r="T281" s="1545"/>
      <c r="U281" s="1545"/>
      <c r="V281" s="1545"/>
      <c r="W281" s="1545"/>
      <c r="X281" s="1545"/>
      <c r="Y281" s="1545"/>
    </row>
    <row r="282" spans="1:25">
      <c r="A282" s="1544"/>
      <c r="B282" s="1544"/>
      <c r="C282" s="1544"/>
      <c r="D282" s="1544"/>
      <c r="E282" s="1544"/>
      <c r="I282" s="1529"/>
      <c r="J282" s="1529"/>
      <c r="K282" s="1529"/>
      <c r="L282" s="1529"/>
      <c r="M282" s="1529"/>
      <c r="N282" s="1529"/>
      <c r="O282" s="1529"/>
      <c r="P282" s="1614"/>
      <c r="R282" s="1545"/>
      <c r="S282" s="1545"/>
      <c r="T282" s="1545"/>
      <c r="U282" s="1545"/>
      <c r="V282" s="1545"/>
      <c r="W282" s="1545"/>
      <c r="X282" s="1545"/>
      <c r="Y282" s="1545"/>
    </row>
    <row r="283" spans="1:25">
      <c r="A283" s="1544"/>
      <c r="B283" s="1544"/>
      <c r="C283" s="1544"/>
      <c r="D283" s="1544"/>
      <c r="E283" s="1544"/>
      <c r="I283" s="1529"/>
      <c r="J283" s="1529"/>
      <c r="K283" s="1529"/>
      <c r="L283" s="1529"/>
      <c r="M283" s="1529"/>
      <c r="N283" s="1529"/>
      <c r="O283" s="1529"/>
      <c r="P283" s="1614"/>
      <c r="R283" s="1545"/>
      <c r="S283" s="1545"/>
      <c r="T283" s="1545"/>
      <c r="U283" s="1545"/>
      <c r="V283" s="1545"/>
      <c r="W283" s="1545"/>
      <c r="X283" s="1545"/>
      <c r="Y283" s="1545"/>
    </row>
    <row r="284" spans="1:25">
      <c r="A284" s="1544"/>
      <c r="B284" s="1544"/>
      <c r="C284" s="1544"/>
      <c r="D284" s="1544"/>
      <c r="E284" s="1544"/>
      <c r="I284" s="1529"/>
      <c r="J284" s="1529"/>
      <c r="K284" s="1529"/>
      <c r="L284" s="1529"/>
      <c r="M284" s="1529"/>
      <c r="N284" s="1529"/>
      <c r="O284" s="1529"/>
      <c r="P284" s="1614"/>
      <c r="R284" s="1545"/>
      <c r="S284" s="1545"/>
      <c r="T284" s="1545"/>
      <c r="U284" s="1545"/>
      <c r="V284" s="1545"/>
      <c r="W284" s="1545"/>
      <c r="X284" s="1545"/>
      <c r="Y284" s="1545"/>
    </row>
    <row r="285" spans="1:25">
      <c r="A285" s="1544"/>
      <c r="B285" s="1544"/>
      <c r="C285" s="1544"/>
      <c r="D285" s="1544"/>
      <c r="E285" s="1544"/>
      <c r="I285" s="1529"/>
      <c r="J285" s="1529"/>
      <c r="K285" s="1529"/>
      <c r="L285" s="1529"/>
      <c r="M285" s="1529"/>
      <c r="N285" s="1529"/>
      <c r="O285" s="1529"/>
      <c r="P285" s="1614"/>
      <c r="R285" s="1545"/>
      <c r="S285" s="1545"/>
      <c r="T285" s="1545"/>
      <c r="U285" s="1545"/>
      <c r="V285" s="1545"/>
      <c r="W285" s="1545"/>
      <c r="X285" s="1545"/>
      <c r="Y285" s="1545"/>
    </row>
    <row r="286" spans="1:25">
      <c r="A286" s="1544"/>
      <c r="B286" s="1544"/>
      <c r="C286" s="1544"/>
      <c r="D286" s="1544"/>
      <c r="E286" s="1544"/>
      <c r="I286" s="1529"/>
      <c r="J286" s="1529"/>
      <c r="K286" s="1529"/>
      <c r="L286" s="1529"/>
      <c r="M286" s="1529"/>
      <c r="N286" s="1529"/>
      <c r="O286" s="1529"/>
      <c r="P286" s="1614"/>
      <c r="R286" s="1545"/>
      <c r="S286" s="1545"/>
      <c r="T286" s="1545"/>
      <c r="U286" s="1545"/>
      <c r="V286" s="1545"/>
      <c r="W286" s="1545"/>
      <c r="X286" s="1545"/>
      <c r="Y286" s="1545"/>
    </row>
    <row r="287" spans="1:25">
      <c r="A287" s="1544"/>
      <c r="B287" s="1544"/>
      <c r="C287" s="1544"/>
      <c r="D287" s="1544"/>
      <c r="E287" s="1544"/>
      <c r="I287" s="1529"/>
      <c r="J287" s="1529"/>
      <c r="K287" s="1529"/>
      <c r="L287" s="1529"/>
      <c r="M287" s="1529"/>
      <c r="N287" s="1529"/>
      <c r="O287" s="1529"/>
      <c r="P287" s="1497"/>
      <c r="R287" s="1545"/>
      <c r="S287" s="1545"/>
      <c r="T287" s="1545"/>
      <c r="U287" s="1545"/>
      <c r="V287" s="1545"/>
      <c r="W287" s="1545"/>
      <c r="X287" s="1545"/>
      <c r="Y287" s="1545"/>
    </row>
    <row r="288" spans="1:25">
      <c r="A288" s="1544"/>
      <c r="B288" s="1544"/>
      <c r="C288" s="1544"/>
      <c r="D288" s="1544"/>
      <c r="E288" s="1544"/>
      <c r="I288" s="1529"/>
      <c r="J288" s="1529"/>
      <c r="K288" s="1529"/>
      <c r="L288" s="1529"/>
      <c r="M288" s="1529"/>
      <c r="N288" s="1529"/>
      <c r="O288" s="1529"/>
      <c r="P288" s="1497"/>
      <c r="R288" s="1545"/>
      <c r="S288" s="1545"/>
      <c r="T288" s="1545"/>
      <c r="U288" s="1545"/>
      <c r="V288" s="1545"/>
      <c r="W288" s="1545"/>
      <c r="X288" s="1545"/>
      <c r="Y288" s="1545"/>
    </row>
    <row r="289" spans="1:25">
      <c r="A289" s="1544"/>
      <c r="B289" s="1544"/>
      <c r="C289" s="1544"/>
      <c r="D289" s="1544"/>
      <c r="E289" s="1544"/>
      <c r="I289" s="1529"/>
      <c r="J289" s="1529"/>
      <c r="K289" s="1529"/>
      <c r="L289" s="1529"/>
      <c r="M289" s="1529"/>
      <c r="N289" s="1529"/>
      <c r="O289" s="1529"/>
      <c r="P289" s="1497"/>
      <c r="R289" s="1545"/>
      <c r="S289" s="1545"/>
      <c r="T289" s="1545"/>
      <c r="U289" s="1545"/>
      <c r="V289" s="1545"/>
      <c r="W289" s="1545"/>
      <c r="X289" s="1545"/>
      <c r="Y289" s="1545"/>
    </row>
    <row r="290" spans="1:25">
      <c r="A290" s="1544"/>
      <c r="B290" s="1544"/>
      <c r="C290" s="1544"/>
      <c r="D290" s="1544"/>
      <c r="E290" s="1544"/>
      <c r="I290" s="1529"/>
      <c r="J290" s="1529"/>
      <c r="K290" s="1529"/>
      <c r="L290" s="1529"/>
      <c r="M290" s="1529"/>
      <c r="N290" s="1529"/>
      <c r="O290" s="1529"/>
      <c r="P290" s="1497"/>
      <c r="R290" s="1545"/>
      <c r="S290" s="1545"/>
      <c r="T290" s="1545"/>
      <c r="U290" s="1545"/>
      <c r="V290" s="1545"/>
      <c r="W290" s="1545"/>
      <c r="X290" s="1545"/>
      <c r="Y290" s="1545"/>
    </row>
    <row r="291" spans="1:25">
      <c r="A291" s="1544"/>
      <c r="B291" s="1544"/>
      <c r="C291" s="1544"/>
      <c r="D291" s="1544"/>
      <c r="E291" s="1544"/>
      <c r="I291" s="1529"/>
      <c r="J291" s="1529"/>
      <c r="K291" s="1529"/>
      <c r="L291" s="1529"/>
      <c r="M291" s="1529"/>
      <c r="N291" s="1529"/>
      <c r="O291" s="1529"/>
      <c r="P291" s="1497"/>
      <c r="R291" s="1545"/>
      <c r="S291" s="1545"/>
      <c r="T291" s="1545"/>
      <c r="U291" s="1545"/>
      <c r="V291" s="1545"/>
      <c r="W291" s="1545"/>
      <c r="X291" s="1545"/>
      <c r="Y291" s="1545"/>
    </row>
    <row r="292" spans="1:25">
      <c r="A292" s="1544"/>
      <c r="B292" s="1544"/>
      <c r="C292" s="1544"/>
      <c r="D292" s="1544"/>
      <c r="E292" s="1544"/>
      <c r="I292" s="1529"/>
      <c r="J292" s="1529"/>
      <c r="K292" s="1529"/>
      <c r="L292" s="1529"/>
      <c r="M292" s="1529"/>
      <c r="N292" s="1529"/>
      <c r="O292" s="1529"/>
      <c r="P292" s="1497"/>
      <c r="R292" s="1545"/>
      <c r="S292" s="1545"/>
      <c r="T292" s="1545"/>
      <c r="U292" s="1545"/>
      <c r="V292" s="1545"/>
      <c r="W292" s="1545"/>
      <c r="X292" s="1545"/>
      <c r="Y292" s="1545"/>
    </row>
    <row r="293" spans="1:25">
      <c r="A293" s="1544"/>
      <c r="B293" s="1544"/>
      <c r="C293" s="1544"/>
      <c r="D293" s="1544"/>
      <c r="E293" s="1544"/>
      <c r="I293" s="1529"/>
      <c r="J293" s="1529"/>
      <c r="K293" s="1529"/>
      <c r="L293" s="1529"/>
      <c r="M293" s="1529"/>
      <c r="N293" s="1529"/>
      <c r="O293" s="1529"/>
      <c r="P293" s="1497"/>
      <c r="R293" s="1545"/>
      <c r="S293" s="1545"/>
      <c r="T293" s="1545"/>
      <c r="U293" s="1545"/>
      <c r="V293" s="1545"/>
      <c r="W293" s="1545"/>
      <c r="X293" s="1545"/>
      <c r="Y293" s="1545"/>
    </row>
    <row r="294" spans="1:25">
      <c r="A294" s="1544"/>
      <c r="B294" s="1544"/>
      <c r="C294" s="1544"/>
      <c r="D294" s="1544"/>
      <c r="E294" s="1544"/>
      <c r="I294" s="1529"/>
      <c r="J294" s="1529"/>
      <c r="K294" s="1529"/>
      <c r="L294" s="1529"/>
      <c r="M294" s="1529"/>
      <c r="N294" s="1529"/>
      <c r="O294" s="1529"/>
      <c r="P294" s="1497"/>
      <c r="R294" s="1545"/>
      <c r="S294" s="1545"/>
      <c r="T294" s="1545"/>
      <c r="U294" s="1545"/>
      <c r="V294" s="1545"/>
      <c r="W294" s="1545"/>
      <c r="X294" s="1545"/>
      <c r="Y294" s="1545"/>
    </row>
    <row r="295" spans="1:25">
      <c r="A295" s="1544"/>
      <c r="B295" s="1544"/>
      <c r="C295" s="1544"/>
      <c r="D295" s="1544"/>
      <c r="E295" s="1544"/>
      <c r="I295" s="1529"/>
      <c r="J295" s="1529"/>
      <c r="K295" s="1529"/>
      <c r="L295" s="1529"/>
      <c r="M295" s="1529"/>
      <c r="N295" s="1529"/>
      <c r="O295" s="1529"/>
      <c r="P295" s="1497"/>
      <c r="R295" s="1545"/>
      <c r="S295" s="1545"/>
      <c r="T295" s="1545"/>
      <c r="U295" s="1545"/>
      <c r="V295" s="1545"/>
      <c r="W295" s="1545"/>
      <c r="X295" s="1545"/>
      <c r="Y295" s="1545"/>
    </row>
    <row r="296" spans="1:25">
      <c r="A296" s="1544"/>
      <c r="B296" s="1544"/>
      <c r="C296" s="1544"/>
      <c r="D296" s="1544"/>
      <c r="E296" s="1544"/>
      <c r="I296" s="1529"/>
      <c r="J296" s="1529"/>
      <c r="K296" s="1529"/>
      <c r="L296" s="1529"/>
      <c r="M296" s="1529"/>
      <c r="N296" s="1529"/>
      <c r="O296" s="1529"/>
      <c r="P296" s="1497"/>
      <c r="R296" s="1545"/>
      <c r="S296" s="1545"/>
      <c r="T296" s="1545"/>
      <c r="U296" s="1545"/>
      <c r="V296" s="1545"/>
      <c r="W296" s="1545"/>
      <c r="X296" s="1545"/>
      <c r="Y296" s="1545"/>
    </row>
    <row r="297" spans="1:25">
      <c r="A297" s="1544"/>
      <c r="B297" s="1544"/>
      <c r="C297" s="1544"/>
      <c r="D297" s="1544"/>
      <c r="E297" s="1544"/>
      <c r="I297" s="1529"/>
      <c r="J297" s="1529"/>
      <c r="K297" s="1529"/>
      <c r="L297" s="1529"/>
      <c r="M297" s="1529"/>
      <c r="N297" s="1529"/>
      <c r="O297" s="1529"/>
      <c r="P297" s="1497"/>
      <c r="R297" s="1545"/>
      <c r="S297" s="1545"/>
      <c r="T297" s="1545"/>
      <c r="U297" s="1545"/>
      <c r="V297" s="1545"/>
      <c r="W297" s="1545"/>
      <c r="X297" s="1545"/>
      <c r="Y297" s="1545"/>
    </row>
    <row r="298" spans="1:25">
      <c r="A298" s="1544"/>
      <c r="B298" s="1544"/>
      <c r="C298" s="1544"/>
      <c r="D298" s="1544"/>
      <c r="E298" s="1544"/>
      <c r="I298" s="1529"/>
      <c r="J298" s="1529"/>
      <c r="K298" s="1529"/>
      <c r="L298" s="1529"/>
      <c r="M298" s="1529"/>
      <c r="N298" s="1529"/>
      <c r="O298" s="1529"/>
      <c r="P298" s="1497"/>
      <c r="R298" s="1545"/>
      <c r="S298" s="1545"/>
      <c r="T298" s="1545"/>
      <c r="U298" s="1545"/>
      <c r="V298" s="1545"/>
      <c r="W298" s="1545"/>
      <c r="X298" s="1545"/>
      <c r="Y298" s="1545"/>
    </row>
    <row r="299" spans="1:25">
      <c r="A299" s="1544"/>
      <c r="B299" s="1544"/>
      <c r="C299" s="1544"/>
      <c r="D299" s="1544"/>
      <c r="E299" s="1544"/>
      <c r="I299" s="1529"/>
      <c r="J299" s="1529"/>
      <c r="K299" s="1529"/>
      <c r="L299" s="1529"/>
      <c r="M299" s="1529"/>
      <c r="N299" s="1529"/>
      <c r="O299" s="1529"/>
      <c r="P299" s="1497"/>
      <c r="R299" s="1545"/>
      <c r="S299" s="1545"/>
      <c r="T299" s="1545"/>
      <c r="U299" s="1545"/>
      <c r="V299" s="1545"/>
      <c r="W299" s="1545"/>
      <c r="X299" s="1545"/>
      <c r="Y299" s="1545"/>
    </row>
    <row r="300" spans="1:25">
      <c r="A300" s="1544"/>
      <c r="B300" s="1544"/>
      <c r="C300" s="1544"/>
      <c r="D300" s="1544"/>
      <c r="E300" s="1544"/>
      <c r="I300" s="1529"/>
      <c r="J300" s="1529"/>
      <c r="K300" s="1529"/>
      <c r="L300" s="1529"/>
      <c r="M300" s="1529"/>
      <c r="N300" s="1529"/>
      <c r="O300" s="1529"/>
      <c r="P300" s="1497"/>
      <c r="R300" s="1545"/>
      <c r="S300" s="1545"/>
      <c r="T300" s="1545"/>
      <c r="U300" s="1545"/>
      <c r="V300" s="1545"/>
      <c r="W300" s="1545"/>
      <c r="X300" s="1545"/>
      <c r="Y300" s="1545"/>
    </row>
    <row r="301" spans="1:25">
      <c r="A301" s="1544"/>
      <c r="B301" s="1544"/>
      <c r="C301" s="1544"/>
      <c r="D301" s="1544"/>
      <c r="E301" s="1544"/>
      <c r="I301" s="1529"/>
      <c r="J301" s="1529"/>
      <c r="K301" s="1529"/>
      <c r="L301" s="1529"/>
      <c r="M301" s="1529"/>
      <c r="N301" s="1529"/>
      <c r="O301" s="1529"/>
      <c r="P301" s="1547"/>
      <c r="R301" s="1545"/>
      <c r="S301" s="1545"/>
      <c r="T301" s="1545"/>
      <c r="U301" s="1545"/>
      <c r="V301" s="1545"/>
      <c r="W301" s="1545"/>
      <c r="X301" s="1545"/>
      <c r="Y301" s="1545"/>
    </row>
    <row r="302" spans="1:25">
      <c r="A302" s="1544"/>
      <c r="B302" s="1544"/>
      <c r="C302" s="1544"/>
      <c r="D302" s="1544"/>
      <c r="E302" s="1544"/>
      <c r="I302" s="1529"/>
      <c r="J302" s="1529"/>
      <c r="K302" s="1529"/>
      <c r="L302" s="1529"/>
      <c r="M302" s="1529"/>
      <c r="N302" s="1529"/>
      <c r="O302" s="1529"/>
      <c r="P302" s="1497"/>
      <c r="R302" s="1545"/>
      <c r="S302" s="1545"/>
      <c r="T302" s="1545"/>
      <c r="U302" s="1545"/>
      <c r="V302" s="1545"/>
      <c r="W302" s="1545"/>
      <c r="X302" s="1545"/>
      <c r="Y302" s="1545"/>
    </row>
    <row r="303" spans="1:25">
      <c r="A303" s="1544"/>
      <c r="B303" s="1544"/>
      <c r="C303" s="1544"/>
      <c r="D303" s="1544"/>
      <c r="E303" s="1544"/>
      <c r="I303" s="1529"/>
      <c r="J303" s="1529"/>
      <c r="K303" s="1529"/>
      <c r="L303" s="1529"/>
      <c r="M303" s="1529"/>
      <c r="N303" s="1529"/>
      <c r="O303" s="1529"/>
      <c r="P303" s="1497"/>
      <c r="R303" s="1545"/>
      <c r="S303" s="1545"/>
      <c r="T303" s="1545"/>
      <c r="U303" s="1545"/>
      <c r="V303" s="1545"/>
      <c r="W303" s="1545"/>
      <c r="X303" s="1545"/>
      <c r="Y303" s="1545"/>
    </row>
    <row r="304" spans="1:25">
      <c r="A304" s="1544"/>
      <c r="B304" s="1544"/>
      <c r="C304" s="1544"/>
      <c r="D304" s="1544"/>
      <c r="E304" s="1544"/>
      <c r="I304" s="1529"/>
      <c r="J304" s="1529"/>
      <c r="K304" s="1529"/>
      <c r="L304" s="1529"/>
      <c r="M304" s="1529"/>
      <c r="N304" s="1529"/>
      <c r="O304" s="1529"/>
      <c r="P304" s="1497"/>
      <c r="R304" s="1545"/>
      <c r="S304" s="1545"/>
      <c r="T304" s="1545"/>
      <c r="U304" s="1545"/>
      <c r="V304" s="1545"/>
      <c r="W304" s="1545"/>
      <c r="X304" s="1545"/>
      <c r="Y304" s="1545"/>
    </row>
    <row r="305" spans="1:25">
      <c r="A305" s="1544"/>
      <c r="B305" s="1544"/>
      <c r="C305" s="1544"/>
      <c r="D305" s="1544"/>
      <c r="E305" s="1544"/>
      <c r="I305" s="1529"/>
      <c r="J305" s="1529"/>
      <c r="K305" s="1529"/>
      <c r="L305" s="1529"/>
      <c r="M305" s="1529"/>
      <c r="N305" s="1529"/>
      <c r="O305" s="1529"/>
      <c r="P305" s="1497"/>
      <c r="R305" s="1545"/>
      <c r="S305" s="1545"/>
      <c r="T305" s="1545"/>
      <c r="U305" s="1545"/>
      <c r="V305" s="1545"/>
      <c r="W305" s="1545"/>
      <c r="X305" s="1545"/>
      <c r="Y305" s="1545"/>
    </row>
    <row r="306" spans="1:25">
      <c r="A306" s="1544"/>
      <c r="B306" s="1544"/>
      <c r="C306" s="1544"/>
      <c r="D306" s="1544"/>
      <c r="E306" s="1544"/>
      <c r="I306" s="1529"/>
      <c r="J306" s="1529"/>
      <c r="K306" s="1529"/>
      <c r="L306" s="1529"/>
      <c r="M306" s="1529"/>
      <c r="N306" s="1529"/>
      <c r="O306" s="1529"/>
      <c r="P306" s="1497"/>
      <c r="R306" s="1545"/>
      <c r="S306" s="1545"/>
      <c r="T306" s="1545"/>
      <c r="U306" s="1545"/>
      <c r="V306" s="1545"/>
      <c r="W306" s="1545"/>
      <c r="X306" s="1545"/>
      <c r="Y306" s="1545"/>
    </row>
    <row r="307" spans="1:25">
      <c r="A307" s="1544"/>
      <c r="B307" s="1544"/>
      <c r="C307" s="1544"/>
      <c r="D307" s="1544"/>
      <c r="E307" s="1544"/>
      <c r="I307" s="1529"/>
      <c r="J307" s="1529"/>
      <c r="K307" s="1529"/>
      <c r="L307" s="1529"/>
      <c r="M307" s="1529"/>
      <c r="N307" s="1529"/>
      <c r="O307" s="1529"/>
      <c r="P307" s="1497"/>
      <c r="R307" s="1545"/>
      <c r="S307" s="1545"/>
      <c r="T307" s="1545"/>
      <c r="U307" s="1545"/>
      <c r="V307" s="1545"/>
      <c r="W307" s="1545"/>
      <c r="X307" s="1545"/>
      <c r="Y307" s="1545"/>
    </row>
    <row r="308" spans="1:25">
      <c r="A308" s="1544"/>
      <c r="B308" s="1544"/>
      <c r="C308" s="1544"/>
      <c r="D308" s="1544"/>
      <c r="E308" s="1544"/>
      <c r="I308" s="1529"/>
      <c r="J308" s="1529"/>
      <c r="K308" s="1529"/>
      <c r="L308" s="1529"/>
      <c r="M308" s="1529"/>
      <c r="N308" s="1529"/>
      <c r="O308" s="1529"/>
      <c r="P308" s="1497"/>
      <c r="R308" s="1545"/>
      <c r="S308" s="1545"/>
      <c r="T308" s="1545"/>
      <c r="U308" s="1545"/>
      <c r="V308" s="1545"/>
      <c r="W308" s="1545"/>
      <c r="X308" s="1545"/>
      <c r="Y308" s="1545"/>
    </row>
    <row r="309" spans="1:25">
      <c r="A309" s="1544"/>
      <c r="B309" s="1544"/>
      <c r="C309" s="1544"/>
      <c r="D309" s="1544"/>
      <c r="E309" s="1544"/>
      <c r="I309" s="1529"/>
      <c r="J309" s="1529"/>
      <c r="K309" s="1529"/>
      <c r="L309" s="1529"/>
      <c r="M309" s="1529"/>
      <c r="N309" s="1529"/>
      <c r="O309" s="1529"/>
      <c r="P309" s="1497"/>
      <c r="R309" s="1545"/>
      <c r="S309" s="1545"/>
      <c r="T309" s="1545"/>
      <c r="U309" s="1545"/>
      <c r="V309" s="1545"/>
      <c r="W309" s="1545"/>
      <c r="X309" s="1545"/>
      <c r="Y309" s="1545"/>
    </row>
    <row r="310" spans="1:25">
      <c r="A310" s="1544"/>
      <c r="B310" s="1544"/>
      <c r="C310" s="1544"/>
      <c r="D310" s="1544"/>
      <c r="E310" s="1544"/>
      <c r="I310" s="1529"/>
      <c r="J310" s="1529"/>
      <c r="K310" s="1529"/>
      <c r="L310" s="1529"/>
      <c r="M310" s="1529"/>
      <c r="N310" s="1529"/>
      <c r="O310" s="1529"/>
      <c r="P310" s="1547"/>
      <c r="R310" s="1545"/>
      <c r="S310" s="1545"/>
      <c r="T310" s="1545"/>
      <c r="U310" s="1545"/>
      <c r="V310" s="1545"/>
      <c r="W310" s="1545"/>
      <c r="X310" s="1545"/>
      <c r="Y310" s="1545"/>
    </row>
    <row r="311" spans="1:25">
      <c r="A311" s="1544"/>
      <c r="B311" s="1544"/>
      <c r="C311" s="1544"/>
      <c r="D311" s="1544"/>
      <c r="E311" s="1544"/>
      <c r="I311" s="1529"/>
      <c r="J311" s="1529"/>
      <c r="K311" s="1529"/>
      <c r="L311" s="1529"/>
      <c r="M311" s="1529"/>
      <c r="N311" s="1529"/>
      <c r="O311" s="1529"/>
      <c r="P311" s="1497"/>
      <c r="R311" s="1545"/>
      <c r="S311" s="1545"/>
      <c r="T311" s="1545"/>
      <c r="U311" s="1545"/>
      <c r="V311" s="1545"/>
      <c r="W311" s="1545"/>
      <c r="X311" s="1545"/>
      <c r="Y311" s="1545"/>
    </row>
    <row r="312" spans="1:25">
      <c r="A312" s="1544"/>
      <c r="B312" s="1544"/>
      <c r="C312" s="1544"/>
      <c r="D312" s="1544"/>
      <c r="E312" s="1544"/>
      <c r="I312" s="1529"/>
      <c r="J312" s="1529"/>
      <c r="K312" s="1529"/>
      <c r="L312" s="1529"/>
      <c r="M312" s="1529"/>
      <c r="N312" s="1529"/>
      <c r="O312" s="1529"/>
      <c r="P312" s="1497"/>
      <c r="R312" s="1545"/>
      <c r="S312" s="1545"/>
      <c r="T312" s="1545"/>
      <c r="U312" s="1545"/>
      <c r="V312" s="1545"/>
      <c r="W312" s="1545"/>
      <c r="X312" s="1545"/>
      <c r="Y312" s="1545"/>
    </row>
    <row r="313" spans="1:25">
      <c r="A313" s="1544"/>
      <c r="B313" s="1544"/>
      <c r="C313" s="1544"/>
      <c r="D313" s="1544"/>
      <c r="E313" s="1544"/>
      <c r="I313" s="1529"/>
      <c r="J313" s="1529"/>
      <c r="K313" s="1529"/>
      <c r="L313" s="1529"/>
      <c r="M313" s="1529"/>
      <c r="N313" s="1529"/>
      <c r="O313" s="1529"/>
      <c r="P313" s="1497"/>
      <c r="R313" s="1545"/>
      <c r="S313" s="1545"/>
      <c r="T313" s="1545"/>
      <c r="U313" s="1545"/>
      <c r="V313" s="1545"/>
      <c r="W313" s="1545"/>
      <c r="X313" s="1545"/>
      <c r="Y313" s="1545"/>
    </row>
    <row r="314" spans="1:25">
      <c r="A314" s="1544"/>
      <c r="B314" s="1544"/>
      <c r="C314" s="1544"/>
      <c r="D314" s="1544"/>
      <c r="E314" s="1544"/>
      <c r="I314" s="1529"/>
      <c r="J314" s="1529"/>
      <c r="K314" s="1529"/>
      <c r="L314" s="1529"/>
      <c r="M314" s="1529"/>
      <c r="N314" s="1529"/>
      <c r="O314" s="1529"/>
      <c r="P314" s="1497"/>
      <c r="R314" s="1545"/>
      <c r="S314" s="1545"/>
      <c r="T314" s="1545"/>
      <c r="U314" s="1545"/>
      <c r="V314" s="1545"/>
      <c r="W314" s="1545"/>
      <c r="X314" s="1545"/>
      <c r="Y314" s="1545"/>
    </row>
    <row r="315" spans="1:25">
      <c r="A315" s="1544"/>
      <c r="B315" s="1544"/>
      <c r="C315" s="1544"/>
      <c r="D315" s="1544"/>
      <c r="E315" s="1544"/>
      <c r="I315" s="1529"/>
      <c r="J315" s="1529"/>
      <c r="K315" s="1529"/>
      <c r="L315" s="1529"/>
      <c r="M315" s="1529"/>
      <c r="N315" s="1529"/>
      <c r="O315" s="1529"/>
      <c r="P315" s="1497"/>
      <c r="R315" s="1545"/>
      <c r="S315" s="1545"/>
      <c r="T315" s="1545"/>
      <c r="U315" s="1545"/>
      <c r="V315" s="1545"/>
      <c r="W315" s="1545"/>
      <c r="X315" s="1545"/>
      <c r="Y315" s="1545"/>
    </row>
    <row r="316" spans="1:25">
      <c r="A316" s="1544"/>
      <c r="B316" s="1544"/>
      <c r="C316" s="1544"/>
      <c r="D316" s="1544"/>
      <c r="E316" s="1544"/>
      <c r="I316" s="1529"/>
      <c r="J316" s="1529"/>
      <c r="K316" s="1529"/>
      <c r="L316" s="1529"/>
      <c r="M316" s="1529"/>
      <c r="N316" s="1529"/>
      <c r="O316" s="1529"/>
      <c r="P316" s="1497"/>
      <c r="R316" s="1545"/>
      <c r="S316" s="1545"/>
      <c r="T316" s="1545"/>
      <c r="U316" s="1545"/>
      <c r="V316" s="1545"/>
      <c r="W316" s="1545"/>
      <c r="X316" s="1545"/>
      <c r="Y316" s="1545"/>
    </row>
    <row r="317" spans="1:25">
      <c r="A317" s="1544"/>
      <c r="B317" s="1544"/>
      <c r="C317" s="1544"/>
      <c r="D317" s="1544"/>
      <c r="E317" s="1544"/>
      <c r="I317" s="1529"/>
      <c r="J317" s="1529"/>
      <c r="K317" s="1529"/>
      <c r="L317" s="1529"/>
      <c r="M317" s="1529"/>
      <c r="N317" s="1529"/>
      <c r="O317" s="1529"/>
      <c r="P317" s="1497"/>
      <c r="R317" s="1545"/>
      <c r="S317" s="1545"/>
      <c r="T317" s="1545"/>
      <c r="U317" s="1545"/>
      <c r="V317" s="1545"/>
      <c r="W317" s="1545"/>
      <c r="X317" s="1545"/>
      <c r="Y317" s="1545"/>
    </row>
    <row r="318" spans="1:25">
      <c r="A318" s="1544"/>
      <c r="B318" s="1544"/>
      <c r="C318" s="1544"/>
      <c r="D318" s="1544"/>
      <c r="E318" s="1544"/>
      <c r="I318" s="1529"/>
      <c r="J318" s="1529"/>
      <c r="K318" s="1529"/>
      <c r="L318" s="1529"/>
      <c r="M318" s="1529"/>
      <c r="N318" s="1529"/>
      <c r="O318" s="1529"/>
      <c r="P318" s="1497"/>
      <c r="R318" s="1545"/>
      <c r="S318" s="1545"/>
      <c r="T318" s="1545"/>
      <c r="U318" s="1545"/>
      <c r="V318" s="1545"/>
      <c r="W318" s="1545"/>
      <c r="X318" s="1545"/>
      <c r="Y318" s="1545"/>
    </row>
    <row r="319" spans="1:25">
      <c r="A319" s="1544"/>
      <c r="B319" s="1544"/>
      <c r="C319" s="1544"/>
      <c r="D319" s="1544"/>
      <c r="E319" s="1544"/>
      <c r="I319" s="1529"/>
      <c r="J319" s="1529"/>
      <c r="K319" s="1529"/>
      <c r="L319" s="1529"/>
      <c r="M319" s="1529"/>
      <c r="N319" s="1529"/>
      <c r="O319" s="1529"/>
      <c r="P319" s="1497"/>
      <c r="R319" s="1545"/>
      <c r="S319" s="1545"/>
      <c r="T319" s="1545"/>
      <c r="U319" s="1545"/>
      <c r="V319" s="1545"/>
      <c r="W319" s="1545"/>
      <c r="X319" s="1545"/>
      <c r="Y319" s="1545"/>
    </row>
    <row r="320" spans="1:25">
      <c r="A320" s="1544"/>
      <c r="B320" s="1544"/>
      <c r="C320" s="1544"/>
      <c r="D320" s="1544"/>
      <c r="E320" s="1544"/>
      <c r="I320" s="1529"/>
      <c r="J320" s="1529"/>
      <c r="K320" s="1529"/>
      <c r="L320" s="1529"/>
      <c r="M320" s="1529"/>
      <c r="N320" s="1529"/>
      <c r="O320" s="1529"/>
      <c r="P320" s="1497"/>
      <c r="R320" s="1545"/>
      <c r="S320" s="1545"/>
      <c r="T320" s="1545"/>
      <c r="U320" s="1545"/>
      <c r="V320" s="1545"/>
      <c r="W320" s="1545"/>
      <c r="X320" s="1545"/>
      <c r="Y320" s="1545"/>
    </row>
    <row r="321" spans="1:25">
      <c r="A321" s="1544"/>
      <c r="B321" s="1544"/>
      <c r="C321" s="1544"/>
      <c r="D321" s="1544"/>
      <c r="E321" s="1544"/>
      <c r="I321" s="1529"/>
      <c r="J321" s="1529"/>
      <c r="K321" s="1529"/>
      <c r="L321" s="1529"/>
      <c r="M321" s="1529"/>
      <c r="N321" s="1529"/>
      <c r="O321" s="1529"/>
      <c r="P321" s="1497"/>
      <c r="R321" s="1545"/>
      <c r="S321" s="1545"/>
      <c r="T321" s="1545"/>
      <c r="U321" s="1545"/>
      <c r="V321" s="1545"/>
      <c r="W321" s="1545"/>
      <c r="X321" s="1545"/>
      <c r="Y321" s="1545"/>
    </row>
    <row r="322" spans="1:25">
      <c r="A322" s="1544"/>
      <c r="B322" s="1544"/>
      <c r="C322" s="1544"/>
      <c r="D322" s="1544"/>
      <c r="E322" s="1544"/>
      <c r="I322" s="1529"/>
      <c r="J322" s="1529"/>
      <c r="K322" s="1529"/>
      <c r="L322" s="1529"/>
      <c r="M322" s="1529"/>
      <c r="N322" s="1529"/>
      <c r="O322" s="1529"/>
      <c r="P322" s="1497"/>
      <c r="R322" s="1545"/>
      <c r="S322" s="1545"/>
      <c r="T322" s="1545"/>
      <c r="U322" s="1545"/>
      <c r="V322" s="1545"/>
      <c r="W322" s="1545"/>
      <c r="X322" s="1545"/>
      <c r="Y322" s="1545"/>
    </row>
    <row r="323" spans="1:25">
      <c r="A323" s="1544"/>
      <c r="B323" s="1544"/>
      <c r="C323" s="1544"/>
      <c r="D323" s="1544"/>
      <c r="E323" s="1544"/>
      <c r="I323" s="1529"/>
      <c r="J323" s="1529"/>
      <c r="K323" s="1529"/>
      <c r="L323" s="1529"/>
      <c r="M323" s="1529"/>
      <c r="N323" s="1529"/>
      <c r="O323" s="1529"/>
      <c r="P323" s="1497"/>
      <c r="R323" s="1545"/>
      <c r="S323" s="1545"/>
      <c r="T323" s="1545"/>
      <c r="U323" s="1545"/>
      <c r="V323" s="1545"/>
      <c r="W323" s="1545"/>
      <c r="X323" s="1545"/>
      <c r="Y323" s="1545"/>
    </row>
    <row r="324" spans="1:25">
      <c r="A324" s="1544"/>
      <c r="B324" s="1544"/>
      <c r="C324" s="1544"/>
      <c r="D324" s="1544"/>
      <c r="E324" s="1544"/>
      <c r="I324" s="1529"/>
      <c r="J324" s="1529"/>
      <c r="K324" s="1529"/>
      <c r="L324" s="1529"/>
      <c r="M324" s="1529"/>
      <c r="N324" s="1529"/>
      <c r="O324" s="1529"/>
      <c r="P324" s="1497"/>
      <c r="R324" s="1545"/>
      <c r="S324" s="1545"/>
      <c r="T324" s="1545"/>
      <c r="U324" s="1545"/>
      <c r="V324" s="1545"/>
      <c r="W324" s="1545"/>
      <c r="X324" s="1545"/>
      <c r="Y324" s="1545"/>
    </row>
    <row r="325" spans="1:25">
      <c r="A325" s="1544"/>
      <c r="B325" s="1544"/>
      <c r="C325" s="1544"/>
      <c r="D325" s="1544"/>
      <c r="E325" s="1544"/>
      <c r="I325" s="1529"/>
      <c r="J325" s="1529"/>
      <c r="K325" s="1529"/>
      <c r="L325" s="1529"/>
      <c r="M325" s="1529"/>
      <c r="N325" s="1529"/>
      <c r="O325" s="1529"/>
      <c r="P325" s="1497"/>
      <c r="R325" s="1545"/>
      <c r="S325" s="1545"/>
      <c r="T325" s="1545"/>
      <c r="U325" s="1545"/>
      <c r="V325" s="1545"/>
      <c r="W325" s="1545"/>
      <c r="X325" s="1545"/>
      <c r="Y325" s="1545"/>
    </row>
    <row r="326" spans="1:25">
      <c r="A326" s="1544"/>
      <c r="B326" s="1544"/>
      <c r="C326" s="1544"/>
      <c r="D326" s="1544"/>
      <c r="E326" s="1544"/>
      <c r="I326" s="1529"/>
      <c r="J326" s="1529"/>
      <c r="K326" s="1529"/>
      <c r="L326" s="1529"/>
      <c r="M326" s="1529"/>
      <c r="N326" s="1529"/>
      <c r="O326" s="1529"/>
      <c r="P326" s="1497"/>
      <c r="R326" s="1545"/>
      <c r="S326" s="1545"/>
      <c r="T326" s="1545"/>
      <c r="U326" s="1545"/>
      <c r="V326" s="1545"/>
      <c r="W326" s="1545"/>
      <c r="X326" s="1545"/>
      <c r="Y326" s="1545"/>
    </row>
    <row r="327" spans="1:25">
      <c r="A327" s="1544"/>
      <c r="B327" s="1544"/>
      <c r="C327" s="1544"/>
      <c r="D327" s="1544"/>
      <c r="E327" s="1544"/>
      <c r="I327" s="1529"/>
      <c r="J327" s="1529"/>
      <c r="K327" s="1529"/>
      <c r="L327" s="1529"/>
      <c r="M327" s="1529"/>
      <c r="N327" s="1529"/>
      <c r="O327" s="1529"/>
      <c r="P327" s="1497"/>
      <c r="R327" s="1545"/>
      <c r="S327" s="1545"/>
      <c r="T327" s="1545"/>
      <c r="U327" s="1545"/>
      <c r="V327" s="1545"/>
      <c r="W327" s="1545"/>
      <c r="X327" s="1545"/>
      <c r="Y327" s="1545"/>
    </row>
    <row r="328" spans="1:25">
      <c r="A328" s="1544"/>
      <c r="B328" s="1544"/>
      <c r="C328" s="1544"/>
      <c r="D328" s="1544"/>
      <c r="E328" s="1544"/>
      <c r="I328" s="1529"/>
      <c r="J328" s="1529"/>
      <c r="K328" s="1529"/>
      <c r="L328" s="1529"/>
      <c r="M328" s="1529"/>
      <c r="N328" s="1529"/>
      <c r="O328" s="1529"/>
      <c r="P328" s="1497"/>
      <c r="R328" s="1545"/>
      <c r="S328" s="1545"/>
      <c r="T328" s="1545"/>
      <c r="U328" s="1545"/>
      <c r="V328" s="1545"/>
      <c r="W328" s="1545"/>
      <c r="X328" s="1545"/>
      <c r="Y328" s="1545"/>
    </row>
    <row r="329" spans="1:25">
      <c r="A329" s="1544"/>
      <c r="B329" s="1544"/>
      <c r="C329" s="1544"/>
      <c r="D329" s="1544"/>
      <c r="E329" s="1544"/>
      <c r="I329" s="1529"/>
      <c r="J329" s="1529"/>
      <c r="K329" s="1529"/>
      <c r="L329" s="1529"/>
      <c r="M329" s="1529"/>
      <c r="N329" s="1529"/>
      <c r="O329" s="1529"/>
      <c r="P329" s="1547"/>
      <c r="R329" s="1545"/>
      <c r="S329" s="1545"/>
      <c r="T329" s="1545"/>
      <c r="U329" s="1545"/>
      <c r="V329" s="1545"/>
      <c r="W329" s="1545"/>
      <c r="X329" s="1545"/>
      <c r="Y329" s="1545"/>
    </row>
    <row r="330" spans="1:25">
      <c r="A330" s="1544"/>
      <c r="B330" s="1544"/>
      <c r="C330" s="1544"/>
      <c r="D330" s="1544"/>
      <c r="E330" s="1544"/>
      <c r="I330" s="1529"/>
      <c r="J330" s="1529"/>
      <c r="K330" s="1529"/>
      <c r="L330" s="1529"/>
      <c r="M330" s="1529"/>
      <c r="N330" s="1529"/>
      <c r="O330" s="1529"/>
      <c r="P330" s="1497"/>
      <c r="R330" s="1545"/>
      <c r="S330" s="1545"/>
      <c r="T330" s="1545"/>
      <c r="U330" s="1545"/>
      <c r="V330" s="1545"/>
      <c r="W330" s="1545"/>
      <c r="X330" s="1545"/>
      <c r="Y330" s="1545"/>
    </row>
    <row r="331" spans="1:25">
      <c r="A331" s="1544"/>
      <c r="B331" s="1544"/>
      <c r="C331" s="1544"/>
      <c r="D331" s="1544"/>
      <c r="E331" s="1544"/>
      <c r="I331" s="1529"/>
      <c r="J331" s="1529"/>
      <c r="K331" s="1529"/>
      <c r="L331" s="1529"/>
      <c r="M331" s="1529"/>
      <c r="N331" s="1529"/>
      <c r="O331" s="1529"/>
      <c r="P331" s="1497"/>
      <c r="R331" s="1545"/>
      <c r="S331" s="1545"/>
      <c r="T331" s="1545"/>
      <c r="U331" s="1545"/>
      <c r="V331" s="1545"/>
      <c r="W331" s="1545"/>
      <c r="X331" s="1545"/>
      <c r="Y331" s="1545"/>
    </row>
    <row r="332" spans="1:25">
      <c r="A332" s="1544"/>
      <c r="B332" s="1544"/>
      <c r="C332" s="1544"/>
      <c r="D332" s="1544"/>
      <c r="E332" s="1544"/>
      <c r="I332" s="1529"/>
      <c r="J332" s="1529"/>
      <c r="K332" s="1529"/>
      <c r="L332" s="1529"/>
      <c r="M332" s="1529"/>
      <c r="N332" s="1529"/>
      <c r="O332" s="1529"/>
      <c r="P332" s="1497"/>
      <c r="R332" s="1545"/>
      <c r="S332" s="1545"/>
      <c r="T332" s="1545"/>
      <c r="U332" s="1545"/>
      <c r="V332" s="1545"/>
      <c r="W332" s="1545"/>
      <c r="X332" s="1545"/>
      <c r="Y332" s="1545"/>
    </row>
    <row r="333" spans="1:25">
      <c r="A333" s="1544"/>
      <c r="B333" s="1544"/>
      <c r="C333" s="1544"/>
      <c r="D333" s="1544"/>
      <c r="E333" s="1544"/>
      <c r="I333" s="1529"/>
      <c r="J333" s="1529"/>
      <c r="K333" s="1529"/>
      <c r="L333" s="1529"/>
      <c r="M333" s="1529"/>
      <c r="N333" s="1529"/>
      <c r="O333" s="1529"/>
      <c r="P333" s="1547"/>
      <c r="R333" s="1545"/>
      <c r="S333" s="1545"/>
      <c r="T333" s="1545"/>
      <c r="U333" s="1545"/>
      <c r="V333" s="1545"/>
      <c r="W333" s="1545"/>
      <c r="X333" s="1545"/>
      <c r="Y333" s="1545"/>
    </row>
    <row r="334" spans="1:25">
      <c r="A334" s="1544"/>
      <c r="B334" s="1544"/>
      <c r="C334" s="1544"/>
      <c r="D334" s="1544"/>
      <c r="E334" s="1544"/>
      <c r="I334" s="1529"/>
      <c r="J334" s="1529"/>
      <c r="K334" s="1529"/>
      <c r="L334" s="1529"/>
      <c r="M334" s="1529"/>
      <c r="N334" s="1529"/>
      <c r="O334" s="1529"/>
      <c r="P334" s="1497"/>
      <c r="R334" s="1545"/>
      <c r="S334" s="1545"/>
      <c r="T334" s="1545"/>
      <c r="U334" s="1545"/>
      <c r="V334" s="1545"/>
      <c r="W334" s="1545"/>
      <c r="X334" s="1545"/>
      <c r="Y334" s="1545"/>
    </row>
    <row r="335" spans="1:25">
      <c r="A335" s="1544"/>
      <c r="B335" s="1544"/>
      <c r="C335" s="1544"/>
      <c r="D335" s="1544"/>
      <c r="E335" s="1544"/>
      <c r="I335" s="1529"/>
      <c r="J335" s="1529"/>
      <c r="K335" s="1529"/>
      <c r="L335" s="1529"/>
      <c r="M335" s="1529"/>
      <c r="N335" s="1529"/>
      <c r="O335" s="1529"/>
      <c r="P335" s="1497"/>
      <c r="R335" s="1545"/>
      <c r="S335" s="1545"/>
      <c r="T335" s="1545"/>
      <c r="U335" s="1545"/>
      <c r="V335" s="1545"/>
      <c r="W335" s="1545"/>
      <c r="X335" s="1545"/>
      <c r="Y335" s="1545"/>
    </row>
    <row r="336" spans="1:25">
      <c r="A336" s="1544"/>
      <c r="B336" s="1544"/>
      <c r="C336" s="1544"/>
      <c r="D336" s="1544"/>
      <c r="E336" s="1544"/>
      <c r="I336" s="1529"/>
      <c r="J336" s="1529"/>
      <c r="K336" s="1529"/>
      <c r="L336" s="1529"/>
      <c r="M336" s="1529"/>
      <c r="N336" s="1529"/>
      <c r="O336" s="1529"/>
      <c r="P336" s="1497"/>
      <c r="R336" s="1545"/>
      <c r="S336" s="1545"/>
      <c r="T336" s="1545"/>
      <c r="U336" s="1545"/>
      <c r="V336" s="1545"/>
      <c r="W336" s="1545"/>
      <c r="X336" s="1545"/>
      <c r="Y336" s="1545"/>
    </row>
    <row r="337" spans="1:25">
      <c r="A337" s="1544"/>
      <c r="B337" s="1544"/>
      <c r="C337" s="1544"/>
      <c r="D337" s="1544"/>
      <c r="E337" s="1544"/>
      <c r="I337" s="1529"/>
      <c r="J337" s="1529"/>
      <c r="K337" s="1529"/>
      <c r="L337" s="1529"/>
      <c r="M337" s="1529"/>
      <c r="N337" s="1529"/>
      <c r="O337" s="1529"/>
      <c r="P337" s="1497"/>
      <c r="R337" s="1545"/>
      <c r="S337" s="1545"/>
      <c r="T337" s="1545"/>
      <c r="U337" s="1545"/>
      <c r="V337" s="1545"/>
      <c r="W337" s="1545"/>
      <c r="X337" s="1545"/>
      <c r="Y337" s="1545"/>
    </row>
    <row r="338" spans="1:25">
      <c r="A338" s="1544"/>
      <c r="B338" s="1544"/>
      <c r="C338" s="1544"/>
      <c r="D338" s="1544"/>
      <c r="E338" s="1544"/>
      <c r="I338" s="1529"/>
      <c r="J338" s="1529"/>
      <c r="K338" s="1529"/>
      <c r="L338" s="1529"/>
      <c r="M338" s="1529"/>
      <c r="N338" s="1529"/>
      <c r="O338" s="1529"/>
      <c r="P338" s="1497"/>
      <c r="R338" s="1545"/>
      <c r="S338" s="1545"/>
      <c r="T338" s="1545"/>
      <c r="U338" s="1545"/>
      <c r="V338" s="1545"/>
      <c r="W338" s="1545"/>
      <c r="X338" s="1545"/>
      <c r="Y338" s="1545"/>
    </row>
    <row r="339" spans="1:25">
      <c r="A339" s="1544"/>
      <c r="B339" s="1544"/>
      <c r="C339" s="1544"/>
      <c r="D339" s="1544"/>
      <c r="E339" s="1544"/>
      <c r="R339" s="1545"/>
      <c r="S339" s="1545"/>
      <c r="T339" s="1545"/>
      <c r="U339" s="1545"/>
      <c r="V339" s="1545"/>
      <c r="W339" s="1545"/>
      <c r="X339" s="1545"/>
      <c r="Y339" s="1545"/>
    </row>
    <row r="340" spans="1:25">
      <c r="A340" s="1544"/>
      <c r="B340" s="1544"/>
      <c r="C340" s="1544"/>
      <c r="D340" s="1544"/>
      <c r="E340" s="1544"/>
      <c r="R340" s="1545"/>
      <c r="S340" s="1545"/>
      <c r="T340" s="1545"/>
      <c r="U340" s="1545"/>
      <c r="V340" s="1545"/>
      <c r="W340" s="1545"/>
      <c r="X340" s="1545"/>
      <c r="Y340" s="1545"/>
    </row>
    <row r="341" spans="1:25">
      <c r="A341" s="1544"/>
      <c r="B341" s="1544"/>
      <c r="C341" s="1544"/>
      <c r="D341" s="1544"/>
      <c r="E341" s="1544"/>
      <c r="R341" s="1545"/>
      <c r="S341" s="1545"/>
      <c r="T341" s="1545"/>
      <c r="U341" s="1545"/>
      <c r="V341" s="1545"/>
      <c r="W341" s="1545"/>
      <c r="X341" s="1545"/>
      <c r="Y341" s="1545"/>
    </row>
    <row r="342" spans="1:25">
      <c r="A342" s="1544"/>
      <c r="B342" s="1544"/>
      <c r="C342" s="1544"/>
      <c r="D342" s="1544"/>
      <c r="E342" s="1544"/>
      <c r="R342" s="1545"/>
      <c r="S342" s="1545"/>
      <c r="T342" s="1545"/>
      <c r="U342" s="1545"/>
      <c r="V342" s="1545"/>
      <c r="W342" s="1545"/>
      <c r="X342" s="1545"/>
      <c r="Y342" s="1545"/>
    </row>
    <row r="343" spans="1:25">
      <c r="A343" s="1544"/>
      <c r="B343" s="1544"/>
      <c r="C343" s="1544"/>
      <c r="D343" s="1544"/>
      <c r="E343" s="1544"/>
      <c r="R343" s="1545"/>
      <c r="S343" s="1545"/>
      <c r="T343" s="1545"/>
      <c r="U343" s="1545"/>
      <c r="V343" s="1545"/>
      <c r="W343" s="1545"/>
      <c r="X343" s="1545"/>
      <c r="Y343" s="1545"/>
    </row>
    <row r="344" spans="1:25">
      <c r="A344" s="1544"/>
      <c r="B344" s="1544"/>
      <c r="C344" s="1544"/>
      <c r="D344" s="1544"/>
      <c r="E344" s="1544"/>
      <c r="R344" s="1545"/>
      <c r="S344" s="1545"/>
      <c r="T344" s="1545"/>
      <c r="U344" s="1545"/>
      <c r="V344" s="1545"/>
      <c r="W344" s="1545"/>
      <c r="X344" s="1545"/>
      <c r="Y344" s="1545"/>
    </row>
    <row r="345" spans="1:25">
      <c r="A345" s="1544"/>
      <c r="B345" s="1544"/>
      <c r="C345" s="1544"/>
      <c r="D345" s="1544"/>
      <c r="E345" s="1544"/>
      <c r="R345" s="1545"/>
      <c r="S345" s="1545"/>
      <c r="T345" s="1545"/>
      <c r="U345" s="1545"/>
      <c r="V345" s="1545"/>
      <c r="W345" s="1545"/>
      <c r="X345" s="1545"/>
      <c r="Y345" s="1545"/>
    </row>
    <row r="346" spans="1:25">
      <c r="A346" s="1544"/>
      <c r="B346" s="1544"/>
      <c r="C346" s="1544"/>
      <c r="D346" s="1544"/>
      <c r="E346" s="1544"/>
      <c r="R346" s="1545"/>
      <c r="S346" s="1545"/>
      <c r="T346" s="1545"/>
      <c r="U346" s="1545"/>
      <c r="V346" s="1545"/>
      <c r="W346" s="1545"/>
      <c r="X346" s="1545"/>
      <c r="Y346" s="1545"/>
    </row>
    <row r="347" spans="1:25">
      <c r="A347" s="1544"/>
      <c r="B347" s="1544"/>
      <c r="C347" s="1544"/>
      <c r="D347" s="1544"/>
      <c r="E347" s="1544"/>
      <c r="R347" s="1545"/>
      <c r="S347" s="1545"/>
      <c r="T347" s="1545"/>
      <c r="U347" s="1545"/>
      <c r="V347" s="1545"/>
      <c r="W347" s="1545"/>
      <c r="X347" s="1545"/>
      <c r="Y347" s="1545"/>
    </row>
    <row r="348" spans="1:25">
      <c r="A348" s="1544"/>
      <c r="B348" s="1544"/>
      <c r="C348" s="1544"/>
      <c r="D348" s="1544"/>
      <c r="E348" s="1544"/>
      <c r="R348" s="1545"/>
      <c r="S348" s="1545"/>
      <c r="T348" s="1545"/>
      <c r="U348" s="1545"/>
      <c r="V348" s="1545"/>
      <c r="W348" s="1545"/>
      <c r="X348" s="1545"/>
      <c r="Y348" s="1545"/>
    </row>
    <row r="349" spans="1:25">
      <c r="A349" s="1544"/>
      <c r="B349" s="1544"/>
      <c r="C349" s="1544"/>
      <c r="D349" s="1544"/>
      <c r="E349" s="1544"/>
      <c r="R349" s="1545"/>
      <c r="S349" s="1545"/>
      <c r="T349" s="1545"/>
      <c r="U349" s="1545"/>
      <c r="V349" s="1545"/>
      <c r="W349" s="1545"/>
      <c r="X349" s="1545"/>
      <c r="Y349" s="1545"/>
    </row>
    <row r="350" spans="1:25">
      <c r="A350" s="1544"/>
      <c r="B350" s="1544"/>
      <c r="C350" s="1544"/>
      <c r="D350" s="1544"/>
      <c r="E350" s="1544"/>
      <c r="R350" s="1545"/>
      <c r="S350" s="1545"/>
      <c r="T350" s="1545"/>
      <c r="U350" s="1545"/>
      <c r="V350" s="1545"/>
      <c r="W350" s="1545"/>
      <c r="X350" s="1545"/>
      <c r="Y350" s="1545"/>
    </row>
    <row r="351" spans="1:25">
      <c r="A351" s="1544"/>
      <c r="B351" s="1544"/>
      <c r="C351" s="1544"/>
      <c r="D351" s="1544"/>
      <c r="E351" s="1544"/>
      <c r="R351" s="1545"/>
      <c r="S351" s="1545"/>
      <c r="T351" s="1545"/>
      <c r="U351" s="1545"/>
      <c r="V351" s="1545"/>
      <c r="W351" s="1545"/>
      <c r="X351" s="1545"/>
      <c r="Y351" s="1545"/>
    </row>
    <row r="352" spans="1:25">
      <c r="A352" s="1544"/>
      <c r="B352" s="1544"/>
      <c r="C352" s="1544"/>
      <c r="D352" s="1544"/>
      <c r="E352" s="1544"/>
      <c r="R352" s="1545"/>
      <c r="S352" s="1545"/>
      <c r="T352" s="1545"/>
      <c r="U352" s="1545"/>
      <c r="V352" s="1545"/>
      <c r="W352" s="1545"/>
      <c r="X352" s="1545"/>
      <c r="Y352" s="1545"/>
    </row>
    <row r="353" spans="1:25">
      <c r="A353" s="1544"/>
      <c r="B353" s="1544"/>
      <c r="C353" s="1544"/>
      <c r="D353" s="1544"/>
      <c r="E353" s="1544"/>
      <c r="R353" s="1545"/>
      <c r="S353" s="1545"/>
      <c r="T353" s="1545"/>
      <c r="U353" s="1545"/>
      <c r="V353" s="1545"/>
      <c r="W353" s="1545"/>
      <c r="X353" s="1545"/>
      <c r="Y353" s="1545"/>
    </row>
    <row r="354" spans="1:25">
      <c r="A354" s="1544"/>
      <c r="B354" s="1544"/>
      <c r="C354" s="1544"/>
      <c r="D354" s="1544"/>
      <c r="E354" s="1544"/>
      <c r="R354" s="1545"/>
      <c r="S354" s="1545"/>
      <c r="T354" s="1545"/>
      <c r="U354" s="1545"/>
      <c r="V354" s="1545"/>
      <c r="W354" s="1545"/>
      <c r="X354" s="1545"/>
      <c r="Y354" s="1545"/>
    </row>
    <row r="355" spans="1:25">
      <c r="A355" s="1544"/>
      <c r="B355" s="1544"/>
      <c r="C355" s="1544"/>
      <c r="D355" s="1544"/>
      <c r="E355" s="1544"/>
      <c r="R355" s="1545"/>
      <c r="S355" s="1545"/>
      <c r="T355" s="1545"/>
      <c r="U355" s="1545"/>
      <c r="V355" s="1545"/>
      <c r="W355" s="1545"/>
      <c r="X355" s="1545"/>
      <c r="Y355" s="1545"/>
    </row>
    <row r="356" spans="1:25">
      <c r="A356" s="1544"/>
      <c r="B356" s="1544"/>
      <c r="C356" s="1544"/>
      <c r="D356" s="1544"/>
      <c r="E356" s="1544"/>
      <c r="R356" s="1545"/>
      <c r="S356" s="1545"/>
      <c r="T356" s="1545"/>
      <c r="U356" s="1545"/>
      <c r="V356" s="1545"/>
      <c r="W356" s="1545"/>
      <c r="X356" s="1545"/>
      <c r="Y356" s="1545"/>
    </row>
    <row r="357" spans="1:25">
      <c r="A357" s="1544"/>
      <c r="B357" s="1544"/>
      <c r="C357" s="1544"/>
      <c r="D357" s="1544"/>
      <c r="E357" s="1544"/>
      <c r="R357" s="1545"/>
      <c r="S357" s="1545"/>
      <c r="T357" s="1545"/>
      <c r="U357" s="1545"/>
      <c r="V357" s="1545"/>
      <c r="W357" s="1545"/>
      <c r="X357" s="1545"/>
      <c r="Y357" s="1545"/>
    </row>
    <row r="358" spans="1:25">
      <c r="A358" s="1544"/>
      <c r="B358" s="1544"/>
      <c r="C358" s="1544"/>
      <c r="D358" s="1544"/>
      <c r="E358" s="1544"/>
      <c r="R358" s="1545"/>
      <c r="S358" s="1545"/>
      <c r="T358" s="1545"/>
      <c r="U358" s="1545"/>
      <c r="V358" s="1545"/>
      <c r="W358" s="1545"/>
      <c r="X358" s="1545"/>
      <c r="Y358" s="1545"/>
    </row>
    <row r="359" spans="1:25">
      <c r="A359" s="1544"/>
      <c r="B359" s="1544"/>
      <c r="C359" s="1544"/>
      <c r="D359" s="1544"/>
      <c r="E359" s="1544"/>
      <c r="R359" s="1545"/>
      <c r="S359" s="1545"/>
      <c r="T359" s="1545"/>
      <c r="U359" s="1545"/>
      <c r="V359" s="1545"/>
      <c r="W359" s="1545"/>
      <c r="X359" s="1545"/>
      <c r="Y359" s="1545"/>
    </row>
    <row r="360" spans="1:25">
      <c r="A360" s="1544"/>
      <c r="B360" s="1544"/>
      <c r="C360" s="1544"/>
      <c r="D360" s="1544"/>
      <c r="E360" s="1544"/>
      <c r="R360" s="1545"/>
      <c r="S360" s="1545"/>
      <c r="T360" s="1545"/>
      <c r="U360" s="1545"/>
      <c r="V360" s="1545"/>
      <c r="W360" s="1545"/>
      <c r="X360" s="1545"/>
      <c r="Y360" s="1545"/>
    </row>
    <row r="361" spans="1:25">
      <c r="A361" s="1544"/>
      <c r="B361" s="1544"/>
      <c r="C361" s="1544"/>
      <c r="D361" s="1544"/>
      <c r="E361" s="1544"/>
      <c r="R361" s="1545"/>
      <c r="S361" s="1545"/>
      <c r="T361" s="1545"/>
      <c r="U361" s="1545"/>
      <c r="V361" s="1545"/>
      <c r="W361" s="1545"/>
      <c r="X361" s="1545"/>
      <c r="Y361" s="1545"/>
    </row>
    <row r="362" spans="1:25">
      <c r="A362" s="1544"/>
      <c r="B362" s="1544"/>
      <c r="C362" s="1544"/>
      <c r="D362" s="1544"/>
      <c r="E362" s="1544"/>
      <c r="R362" s="1545"/>
      <c r="S362" s="1545"/>
      <c r="T362" s="1545"/>
      <c r="U362" s="1545"/>
      <c r="V362" s="1545"/>
      <c r="W362" s="1545"/>
      <c r="X362" s="1545"/>
      <c r="Y362" s="1545"/>
    </row>
    <row r="363" spans="1:25">
      <c r="A363" s="1544"/>
      <c r="B363" s="1544"/>
      <c r="C363" s="1544"/>
      <c r="D363" s="1544"/>
      <c r="E363" s="1544"/>
      <c r="R363" s="1545"/>
      <c r="S363" s="1545"/>
      <c r="T363" s="1545"/>
      <c r="U363" s="1545"/>
      <c r="V363" s="1545"/>
      <c r="W363" s="1545"/>
      <c r="X363" s="1545"/>
      <c r="Y363" s="1545"/>
    </row>
    <row r="364" spans="1:25">
      <c r="A364" s="1544"/>
      <c r="B364" s="1544"/>
      <c r="C364" s="1544"/>
      <c r="D364" s="1544"/>
      <c r="E364" s="1544"/>
      <c r="R364" s="1545"/>
      <c r="S364" s="1545"/>
      <c r="T364" s="1545"/>
      <c r="U364" s="1545"/>
      <c r="V364" s="1545"/>
      <c r="W364" s="1545"/>
      <c r="X364" s="1545"/>
      <c r="Y364" s="1545"/>
    </row>
    <row r="365" spans="1:25">
      <c r="A365" s="1544"/>
      <c r="B365" s="1544"/>
      <c r="C365" s="1544"/>
      <c r="D365" s="1544"/>
      <c r="E365" s="1544"/>
      <c r="R365" s="1545"/>
      <c r="S365" s="1545"/>
      <c r="T365" s="1545"/>
      <c r="U365" s="1545"/>
      <c r="V365" s="1545"/>
      <c r="W365" s="1545"/>
      <c r="X365" s="1545"/>
      <c r="Y365" s="1545"/>
    </row>
    <row r="366" spans="1:25">
      <c r="A366" s="1544"/>
      <c r="B366" s="1544"/>
      <c r="C366" s="1544"/>
      <c r="D366" s="1544"/>
      <c r="E366" s="1544"/>
      <c r="R366" s="1545"/>
      <c r="S366" s="1545"/>
      <c r="T366" s="1545"/>
      <c r="U366" s="1545"/>
      <c r="V366" s="1545"/>
      <c r="W366" s="1545"/>
      <c r="X366" s="1545"/>
      <c r="Y366" s="1545"/>
    </row>
    <row r="367" spans="1:25">
      <c r="A367" s="1544"/>
      <c r="B367" s="1544"/>
      <c r="C367" s="1544"/>
      <c r="D367" s="1544"/>
      <c r="E367" s="1544"/>
      <c r="R367" s="1545"/>
      <c r="S367" s="1545"/>
      <c r="T367" s="1545"/>
      <c r="U367" s="1545"/>
      <c r="V367" s="1545"/>
      <c r="W367" s="1545"/>
      <c r="X367" s="1545"/>
      <c r="Y367" s="1545"/>
    </row>
    <row r="368" spans="1:25">
      <c r="A368" s="1544"/>
      <c r="B368" s="1544"/>
      <c r="C368" s="1544"/>
      <c r="D368" s="1544"/>
      <c r="E368" s="1544"/>
      <c r="R368" s="1545"/>
      <c r="S368" s="1545"/>
      <c r="T368" s="1545"/>
      <c r="U368" s="1545"/>
      <c r="V368" s="1545"/>
      <c r="W368" s="1545"/>
      <c r="X368" s="1545"/>
      <c r="Y368" s="1545"/>
    </row>
    <row r="369" spans="1:25">
      <c r="A369" s="1544"/>
      <c r="B369" s="1544"/>
      <c r="C369" s="1544"/>
      <c r="D369" s="1544"/>
      <c r="E369" s="1544"/>
      <c r="R369" s="1545"/>
      <c r="S369" s="1545"/>
      <c r="T369" s="1545"/>
      <c r="U369" s="1545"/>
      <c r="V369" s="1545"/>
      <c r="W369" s="1545"/>
      <c r="X369" s="1545"/>
      <c r="Y369" s="1545"/>
    </row>
    <row r="370" spans="1:25">
      <c r="A370" s="1544"/>
      <c r="B370" s="1544"/>
      <c r="C370" s="1544"/>
      <c r="D370" s="1544"/>
      <c r="E370" s="1544"/>
      <c r="R370" s="1545"/>
      <c r="S370" s="1545"/>
      <c r="T370" s="1545"/>
      <c r="U370" s="1545"/>
      <c r="V370" s="1545"/>
      <c r="W370" s="1545"/>
      <c r="X370" s="1545"/>
      <c r="Y370" s="1545"/>
    </row>
    <row r="371" spans="1:25">
      <c r="A371" s="1544"/>
      <c r="B371" s="1544"/>
      <c r="C371" s="1544"/>
      <c r="D371" s="1544"/>
      <c r="E371" s="1544"/>
      <c r="R371" s="1545"/>
      <c r="S371" s="1545"/>
      <c r="T371" s="1545"/>
      <c r="U371" s="1545"/>
      <c r="V371" s="1545"/>
      <c r="W371" s="1545"/>
      <c r="X371" s="1545"/>
      <c r="Y371" s="1545"/>
    </row>
    <row r="372" spans="1:25">
      <c r="A372" s="1544"/>
      <c r="B372" s="1544"/>
      <c r="C372" s="1544"/>
      <c r="D372" s="1544"/>
      <c r="E372" s="1544"/>
      <c r="R372" s="1545"/>
      <c r="S372" s="1545"/>
      <c r="T372" s="1545"/>
      <c r="U372" s="1545"/>
      <c r="V372" s="1545"/>
      <c r="W372" s="1545"/>
      <c r="X372" s="1545"/>
      <c r="Y372" s="1545"/>
    </row>
    <row r="373" spans="1:25">
      <c r="A373" s="1544"/>
      <c r="B373" s="1544"/>
      <c r="C373" s="1544"/>
      <c r="D373" s="1544"/>
      <c r="E373" s="1544"/>
      <c r="R373" s="1545"/>
      <c r="S373" s="1545"/>
      <c r="T373" s="1545"/>
      <c r="U373" s="1545"/>
      <c r="V373" s="1545"/>
      <c r="W373" s="1545"/>
      <c r="X373" s="1545"/>
      <c r="Y373" s="1545"/>
    </row>
    <row r="374" spans="1:25">
      <c r="A374" s="1544"/>
      <c r="B374" s="1544"/>
      <c r="C374" s="1544"/>
      <c r="D374" s="1544"/>
      <c r="E374" s="1544"/>
      <c r="R374" s="1545"/>
      <c r="S374" s="1545"/>
      <c r="T374" s="1545"/>
      <c r="U374" s="1545"/>
      <c r="V374" s="1545"/>
      <c r="W374" s="1545"/>
      <c r="X374" s="1545"/>
      <c r="Y374" s="1545"/>
    </row>
    <row r="375" spans="1:25">
      <c r="A375" s="1544"/>
      <c r="B375" s="1544"/>
      <c r="C375" s="1544"/>
      <c r="D375" s="1544"/>
      <c r="E375" s="1544"/>
      <c r="R375" s="1545"/>
      <c r="S375" s="1545"/>
      <c r="T375" s="1545"/>
      <c r="U375" s="1545"/>
      <c r="V375" s="1545"/>
      <c r="W375" s="1545"/>
      <c r="X375" s="1545"/>
      <c r="Y375" s="1545"/>
    </row>
    <row r="376" spans="1:25">
      <c r="A376" s="1544"/>
      <c r="B376" s="1544"/>
      <c r="C376" s="1544"/>
      <c r="D376" s="1544"/>
      <c r="E376" s="1544"/>
      <c r="R376" s="1545"/>
      <c r="S376" s="1545"/>
      <c r="T376" s="1545"/>
      <c r="U376" s="1545"/>
      <c r="V376" s="1545"/>
      <c r="W376" s="1545"/>
      <c r="X376" s="1545"/>
      <c r="Y376" s="1545"/>
    </row>
    <row r="377" spans="1:25">
      <c r="A377" s="1544"/>
      <c r="B377" s="1544"/>
      <c r="C377" s="1544"/>
      <c r="D377" s="1544"/>
      <c r="E377" s="1544"/>
      <c r="R377" s="1545"/>
      <c r="S377" s="1545"/>
      <c r="T377" s="1545"/>
      <c r="U377" s="1545"/>
      <c r="V377" s="1545"/>
      <c r="W377" s="1545"/>
      <c r="X377" s="1545"/>
      <c r="Y377" s="1545"/>
    </row>
    <row r="378" spans="1:25">
      <c r="A378" s="1544"/>
      <c r="B378" s="1544"/>
      <c r="C378" s="1544"/>
      <c r="D378" s="1544"/>
      <c r="E378" s="1544"/>
      <c r="R378" s="1545"/>
      <c r="S378" s="1545"/>
      <c r="T378" s="1545"/>
      <c r="U378" s="1545"/>
      <c r="V378" s="1545"/>
      <c r="W378" s="1545"/>
      <c r="X378" s="1545"/>
      <c r="Y378" s="1545"/>
    </row>
    <row r="379" spans="1:25">
      <c r="A379" s="1544"/>
      <c r="B379" s="1544"/>
      <c r="C379" s="1544"/>
      <c r="D379" s="1544"/>
      <c r="E379" s="1544"/>
      <c r="R379" s="1545"/>
      <c r="S379" s="1545"/>
      <c r="T379" s="1545"/>
      <c r="U379" s="1545"/>
      <c r="V379" s="1545"/>
      <c r="W379" s="1545"/>
      <c r="X379" s="1545"/>
      <c r="Y379" s="1545"/>
    </row>
    <row r="380" spans="1:25">
      <c r="A380" s="1544"/>
      <c r="B380" s="1544"/>
      <c r="C380" s="1544"/>
      <c r="D380" s="1544"/>
      <c r="E380" s="1544"/>
      <c r="R380" s="1545"/>
      <c r="S380" s="1545"/>
      <c r="T380" s="1545"/>
      <c r="U380" s="1545"/>
      <c r="V380" s="1545"/>
      <c r="W380" s="1545"/>
      <c r="X380" s="1545"/>
      <c r="Y380" s="1545"/>
    </row>
    <row r="381" spans="1:25">
      <c r="A381" s="1544"/>
      <c r="B381" s="1544"/>
      <c r="C381" s="1544"/>
      <c r="D381" s="1544"/>
      <c r="E381" s="1544"/>
      <c r="R381" s="1545"/>
      <c r="S381" s="1545"/>
      <c r="T381" s="1545"/>
      <c r="U381" s="1545"/>
      <c r="V381" s="1545"/>
      <c r="W381" s="1545"/>
      <c r="X381" s="1545"/>
      <c r="Y381" s="1545"/>
    </row>
    <row r="382" spans="1:25">
      <c r="A382" s="1544"/>
      <c r="B382" s="1544"/>
      <c r="C382" s="1544"/>
      <c r="D382" s="1544"/>
      <c r="E382" s="1544"/>
      <c r="R382" s="1545"/>
      <c r="S382" s="1545"/>
      <c r="T382" s="1545"/>
      <c r="U382" s="1545"/>
      <c r="V382" s="1545"/>
      <c r="W382" s="1545"/>
      <c r="X382" s="1545"/>
      <c r="Y382" s="1545"/>
    </row>
    <row r="383" spans="1:25">
      <c r="A383" s="1544"/>
      <c r="B383" s="1544"/>
      <c r="C383" s="1544"/>
      <c r="D383" s="1544"/>
      <c r="E383" s="1544"/>
      <c r="R383" s="1545"/>
      <c r="S383" s="1545"/>
      <c r="T383" s="1545"/>
      <c r="U383" s="1545"/>
      <c r="V383" s="1545"/>
      <c r="W383" s="1545"/>
      <c r="X383" s="1545"/>
      <c r="Y383" s="1545"/>
    </row>
    <row r="384" spans="1:25">
      <c r="A384" s="1544"/>
      <c r="B384" s="1544"/>
      <c r="C384" s="1544"/>
      <c r="D384" s="1544"/>
      <c r="E384" s="1544"/>
      <c r="R384" s="1545"/>
      <c r="S384" s="1545"/>
      <c r="T384" s="1545"/>
      <c r="U384" s="1545"/>
      <c r="V384" s="1545"/>
      <c r="W384" s="1545"/>
      <c r="X384" s="1545"/>
      <c r="Y384" s="1545"/>
    </row>
    <row r="385" spans="1:25">
      <c r="A385" s="1544"/>
      <c r="B385" s="1544"/>
      <c r="C385" s="1544"/>
      <c r="D385" s="1544"/>
      <c r="E385" s="1544"/>
      <c r="R385" s="1545"/>
      <c r="S385" s="1545"/>
      <c r="T385" s="1545"/>
      <c r="U385" s="1545"/>
      <c r="V385" s="1545"/>
      <c r="W385" s="1545"/>
      <c r="X385" s="1545"/>
      <c r="Y385" s="1545"/>
    </row>
    <row r="386" spans="1:25">
      <c r="A386" s="1544"/>
      <c r="B386" s="1544"/>
      <c r="C386" s="1544"/>
      <c r="D386" s="1544"/>
      <c r="E386" s="1544"/>
      <c r="R386" s="1545"/>
      <c r="S386" s="1545"/>
      <c r="T386" s="1545"/>
      <c r="U386" s="1545"/>
      <c r="V386" s="1545"/>
      <c r="W386" s="1545"/>
      <c r="X386" s="1545"/>
      <c r="Y386" s="1545"/>
    </row>
    <row r="387" spans="1:25">
      <c r="A387" s="1544"/>
      <c r="B387" s="1544"/>
      <c r="C387" s="1544"/>
      <c r="D387" s="1544"/>
      <c r="E387" s="1544"/>
      <c r="R387" s="1545"/>
      <c r="S387" s="1545"/>
      <c r="T387" s="1545"/>
      <c r="U387" s="1545"/>
      <c r="V387" s="1545"/>
      <c r="W387" s="1545"/>
      <c r="X387" s="1545"/>
      <c r="Y387" s="1545"/>
    </row>
    <row r="388" spans="1:25">
      <c r="A388" s="1544"/>
      <c r="B388" s="1544"/>
      <c r="C388" s="1544"/>
      <c r="D388" s="1544"/>
      <c r="E388" s="1544"/>
      <c r="R388" s="1545"/>
      <c r="S388" s="1545"/>
      <c r="T388" s="1545"/>
      <c r="U388" s="1545"/>
      <c r="V388" s="1545"/>
      <c r="W388" s="1545"/>
      <c r="X388" s="1545"/>
      <c r="Y388" s="1545"/>
    </row>
    <row r="389" spans="1:25">
      <c r="A389" s="1544"/>
      <c r="B389" s="1544"/>
      <c r="C389" s="1544"/>
      <c r="D389" s="1544"/>
      <c r="E389" s="1544"/>
      <c r="R389" s="1545"/>
      <c r="S389" s="1545"/>
      <c r="T389" s="1545"/>
      <c r="U389" s="1545"/>
      <c r="V389" s="1545"/>
      <c r="W389" s="1545"/>
      <c r="X389" s="1545"/>
      <c r="Y389" s="1545"/>
    </row>
    <row r="390" spans="1:25">
      <c r="A390" s="1544"/>
      <c r="B390" s="1544"/>
      <c r="C390" s="1544"/>
      <c r="D390" s="1544"/>
      <c r="E390" s="1544"/>
      <c r="R390" s="1545"/>
      <c r="S390" s="1545"/>
      <c r="T390" s="1545"/>
      <c r="U390" s="1545"/>
      <c r="V390" s="1545"/>
      <c r="W390" s="1545"/>
      <c r="X390" s="1545"/>
      <c r="Y390" s="1545"/>
    </row>
    <row r="391" spans="1:25">
      <c r="A391" s="1544"/>
      <c r="B391" s="1544"/>
      <c r="C391" s="1544"/>
      <c r="D391" s="1544"/>
      <c r="E391" s="1544"/>
      <c r="R391" s="1545"/>
      <c r="S391" s="1545"/>
      <c r="T391" s="1545"/>
      <c r="U391" s="1545"/>
      <c r="V391" s="1545"/>
      <c r="W391" s="1545"/>
      <c r="X391" s="1545"/>
      <c r="Y391" s="1545"/>
    </row>
    <row r="392" spans="1:25">
      <c r="A392" s="1544"/>
      <c r="B392" s="1544"/>
      <c r="C392" s="1544"/>
      <c r="D392" s="1544"/>
      <c r="E392" s="1544"/>
      <c r="R392" s="1545"/>
      <c r="S392" s="1545"/>
      <c r="T392" s="1545"/>
      <c r="U392" s="1545"/>
      <c r="V392" s="1545"/>
      <c r="W392" s="1545"/>
      <c r="X392" s="1545"/>
      <c r="Y392" s="1545"/>
    </row>
    <row r="393" spans="1:25">
      <c r="A393" s="1544"/>
      <c r="B393" s="1544"/>
      <c r="C393" s="1544"/>
      <c r="D393" s="1544"/>
      <c r="E393" s="1544"/>
      <c r="R393" s="1545"/>
      <c r="S393" s="1545"/>
      <c r="T393" s="1545"/>
      <c r="U393" s="1545"/>
      <c r="V393" s="1545"/>
      <c r="W393" s="1545"/>
      <c r="X393" s="1545"/>
      <c r="Y393" s="1545"/>
    </row>
    <row r="394" spans="1:25">
      <c r="A394" s="1544"/>
      <c r="B394" s="1544"/>
      <c r="C394" s="1544"/>
      <c r="D394" s="1544"/>
      <c r="E394" s="1544"/>
      <c r="R394" s="1545"/>
      <c r="S394" s="1545"/>
      <c r="T394" s="1545"/>
      <c r="U394" s="1545"/>
      <c r="V394" s="1545"/>
      <c r="W394" s="1545"/>
      <c r="X394" s="1545"/>
      <c r="Y394" s="1545"/>
    </row>
    <row r="395" spans="1:25">
      <c r="A395" s="1544"/>
      <c r="B395" s="1544"/>
      <c r="C395" s="1544"/>
      <c r="D395" s="1544"/>
      <c r="E395" s="1544"/>
      <c r="R395" s="1545"/>
      <c r="S395" s="1545"/>
      <c r="T395" s="1545"/>
      <c r="U395" s="1545"/>
      <c r="V395" s="1545"/>
      <c r="W395" s="1545"/>
      <c r="X395" s="1545"/>
      <c r="Y395" s="1545"/>
    </row>
    <row r="396" spans="1:25">
      <c r="A396" s="1544"/>
      <c r="B396" s="1544"/>
      <c r="C396" s="1544"/>
      <c r="D396" s="1544"/>
      <c r="E396" s="1544"/>
      <c r="R396" s="1545"/>
      <c r="S396" s="1545"/>
      <c r="T396" s="1545"/>
      <c r="U396" s="1545"/>
      <c r="V396" s="1545"/>
      <c r="W396" s="1545"/>
      <c r="X396" s="1545"/>
      <c r="Y396" s="1545"/>
    </row>
    <row r="397" spans="1:25">
      <c r="A397" s="1544"/>
      <c r="B397" s="1544"/>
      <c r="C397" s="1544"/>
      <c r="D397" s="1544"/>
      <c r="E397" s="1544"/>
      <c r="R397" s="1545"/>
      <c r="S397" s="1545"/>
      <c r="T397" s="1545"/>
      <c r="U397" s="1545"/>
      <c r="V397" s="1545"/>
      <c r="W397" s="1545"/>
      <c r="X397" s="1545"/>
      <c r="Y397" s="1545"/>
    </row>
    <row r="398" spans="1:25">
      <c r="A398" s="1544"/>
      <c r="B398" s="1544"/>
      <c r="C398" s="1544"/>
      <c r="D398" s="1544"/>
      <c r="E398" s="1544"/>
      <c r="R398" s="1545"/>
      <c r="S398" s="1545"/>
      <c r="T398" s="1545"/>
      <c r="U398" s="1545"/>
      <c r="V398" s="1545"/>
      <c r="W398" s="1545"/>
      <c r="X398" s="1545"/>
      <c r="Y398" s="1545"/>
    </row>
    <row r="399" spans="1:25">
      <c r="A399" s="1544"/>
      <c r="B399" s="1544"/>
      <c r="C399" s="1544"/>
      <c r="D399" s="1544"/>
      <c r="E399" s="1544"/>
      <c r="R399" s="1545"/>
      <c r="S399" s="1545"/>
      <c r="T399" s="1545"/>
      <c r="U399" s="1545"/>
      <c r="V399" s="1545"/>
      <c r="W399" s="1545"/>
      <c r="X399" s="1545"/>
      <c r="Y399" s="1545"/>
    </row>
    <row r="400" spans="1:25">
      <c r="A400" s="1544"/>
      <c r="B400" s="1544"/>
      <c r="C400" s="1544"/>
      <c r="D400" s="1544"/>
      <c r="E400" s="1544"/>
      <c r="R400" s="1545"/>
      <c r="S400" s="1545"/>
      <c r="T400" s="1545"/>
      <c r="U400" s="1545"/>
      <c r="V400" s="1545"/>
      <c r="W400" s="1545"/>
      <c r="X400" s="1545"/>
      <c r="Y400" s="1545"/>
    </row>
    <row r="401" spans="1:25">
      <c r="A401" s="1544"/>
      <c r="B401" s="1544"/>
      <c r="C401" s="1544"/>
      <c r="D401" s="1544"/>
      <c r="E401" s="1544"/>
      <c r="R401" s="1545"/>
      <c r="S401" s="1545"/>
      <c r="T401" s="1545"/>
      <c r="U401" s="1545"/>
      <c r="V401" s="1545"/>
      <c r="W401" s="1545"/>
      <c r="X401" s="1545"/>
      <c r="Y401" s="1545"/>
    </row>
    <row r="402" spans="1:25">
      <c r="A402" s="1544"/>
      <c r="B402" s="1544"/>
      <c r="C402" s="1544"/>
      <c r="D402" s="1544"/>
      <c r="E402" s="1544"/>
      <c r="R402" s="1545"/>
      <c r="S402" s="1545"/>
      <c r="T402" s="1545"/>
      <c r="U402" s="1545"/>
      <c r="V402" s="1545"/>
      <c r="W402" s="1545"/>
      <c r="X402" s="1545"/>
      <c r="Y402" s="1545"/>
    </row>
    <row r="403" spans="1:25">
      <c r="A403" s="1544"/>
      <c r="B403" s="1544"/>
      <c r="C403" s="1544"/>
      <c r="D403" s="1544"/>
      <c r="E403" s="1544"/>
      <c r="R403" s="1545"/>
      <c r="S403" s="1545"/>
      <c r="T403" s="1545"/>
      <c r="U403" s="1545"/>
      <c r="V403" s="1545"/>
      <c r="W403" s="1545"/>
      <c r="X403" s="1545"/>
      <c r="Y403" s="1545"/>
    </row>
    <row r="404" spans="1:25">
      <c r="A404" s="1544"/>
      <c r="B404" s="1544"/>
      <c r="C404" s="1544"/>
      <c r="D404" s="1544"/>
      <c r="E404" s="1544"/>
      <c r="R404" s="1545"/>
      <c r="S404" s="1545"/>
      <c r="T404" s="1545"/>
      <c r="U404" s="1545"/>
      <c r="V404" s="1545"/>
      <c r="W404" s="1545"/>
      <c r="X404" s="1545"/>
      <c r="Y404" s="1545"/>
    </row>
    <row r="405" spans="1:25">
      <c r="A405" s="1544"/>
      <c r="B405" s="1544"/>
      <c r="C405" s="1544"/>
      <c r="D405" s="1544"/>
      <c r="E405" s="1544"/>
      <c r="R405" s="1545"/>
      <c r="S405" s="1545"/>
      <c r="T405" s="1545"/>
      <c r="U405" s="1545"/>
      <c r="V405" s="1545"/>
      <c r="W405" s="1545"/>
      <c r="X405" s="1545"/>
      <c r="Y405" s="1545"/>
    </row>
    <row r="406" spans="1:25">
      <c r="A406" s="1544"/>
      <c r="B406" s="1544"/>
      <c r="C406" s="1544"/>
      <c r="D406" s="1544"/>
      <c r="E406" s="1544"/>
      <c r="R406" s="1545"/>
      <c r="S406" s="1545"/>
      <c r="T406" s="1545"/>
      <c r="U406" s="1545"/>
      <c r="V406" s="1545"/>
      <c r="W406" s="1545"/>
      <c r="X406" s="1545"/>
      <c r="Y406" s="1545"/>
    </row>
    <row r="407" spans="1:25">
      <c r="A407" s="1544"/>
      <c r="B407" s="1544"/>
      <c r="C407" s="1544"/>
      <c r="D407" s="1544"/>
      <c r="E407" s="1544"/>
      <c r="R407" s="1545"/>
      <c r="S407" s="1545"/>
      <c r="T407" s="1545"/>
      <c r="U407" s="1545"/>
      <c r="V407" s="1545"/>
      <c r="W407" s="1545"/>
      <c r="X407" s="1545"/>
      <c r="Y407" s="1545"/>
    </row>
    <row r="408" spans="1:25">
      <c r="A408" s="1544"/>
      <c r="B408" s="1544"/>
      <c r="C408" s="1544"/>
      <c r="D408" s="1544"/>
      <c r="E408" s="1544"/>
      <c r="R408" s="1545"/>
      <c r="S408" s="1545"/>
      <c r="T408" s="1545"/>
      <c r="U408" s="1545"/>
      <c r="V408" s="1545"/>
      <c r="W408" s="1545"/>
      <c r="X408" s="1545"/>
      <c r="Y408" s="1545"/>
    </row>
    <row r="409" spans="1:25">
      <c r="A409" s="1544"/>
      <c r="B409" s="1544"/>
      <c r="C409" s="1544"/>
      <c r="D409" s="1544"/>
      <c r="E409" s="1544"/>
      <c r="R409" s="1545"/>
      <c r="S409" s="1545"/>
      <c r="T409" s="1545"/>
      <c r="U409" s="1545"/>
      <c r="V409" s="1545"/>
      <c r="W409" s="1545"/>
      <c r="X409" s="1545"/>
      <c r="Y409" s="1545"/>
    </row>
    <row r="410" spans="1:25">
      <c r="A410" s="1544"/>
      <c r="B410" s="1544"/>
      <c r="C410" s="1544"/>
      <c r="D410" s="1544"/>
      <c r="E410" s="1544"/>
      <c r="R410" s="1545"/>
      <c r="S410" s="1545"/>
      <c r="T410" s="1545"/>
      <c r="U410" s="1545"/>
      <c r="V410" s="1545"/>
      <c r="W410" s="1545"/>
      <c r="X410" s="1545"/>
      <c r="Y410" s="1545"/>
    </row>
    <row r="411" spans="1:25">
      <c r="A411" s="1544"/>
      <c r="B411" s="1544"/>
      <c r="C411" s="1544"/>
      <c r="D411" s="1544"/>
      <c r="E411" s="1544"/>
      <c r="R411" s="1545"/>
      <c r="S411" s="1545"/>
      <c r="T411" s="1545"/>
      <c r="U411" s="1545"/>
      <c r="V411" s="1545"/>
      <c r="W411" s="1545"/>
      <c r="X411" s="1545"/>
      <c r="Y411" s="1545"/>
    </row>
    <row r="412" spans="1:25">
      <c r="A412" s="1544"/>
      <c r="B412" s="1544"/>
      <c r="C412" s="1544"/>
      <c r="D412" s="1544"/>
      <c r="E412" s="1544"/>
      <c r="R412" s="1545"/>
      <c r="S412" s="1545"/>
      <c r="T412" s="1545"/>
      <c r="U412" s="1545"/>
      <c r="V412" s="1545"/>
      <c r="W412" s="1545"/>
      <c r="X412" s="1545"/>
      <c r="Y412" s="1545"/>
    </row>
    <row r="413" spans="1:25">
      <c r="A413" s="1544"/>
      <c r="B413" s="1544"/>
      <c r="C413" s="1544"/>
      <c r="D413" s="1544"/>
      <c r="E413" s="1544"/>
      <c r="R413" s="1545"/>
      <c r="S413" s="1545"/>
      <c r="T413" s="1545"/>
      <c r="U413" s="1545"/>
      <c r="V413" s="1545"/>
      <c r="W413" s="1545"/>
      <c r="X413" s="1545"/>
      <c r="Y413" s="1545"/>
    </row>
    <row r="414" spans="1:25">
      <c r="A414" s="1544"/>
      <c r="B414" s="1544"/>
      <c r="C414" s="1544"/>
      <c r="D414" s="1544"/>
      <c r="E414" s="1544"/>
      <c r="R414" s="1545"/>
      <c r="S414" s="1545"/>
      <c r="T414" s="1545"/>
      <c r="U414" s="1545"/>
      <c r="V414" s="1545"/>
      <c r="W414" s="1545"/>
      <c r="X414" s="1545"/>
      <c r="Y414" s="1545"/>
    </row>
    <row r="415" spans="1:25">
      <c r="A415" s="1544"/>
      <c r="B415" s="1544"/>
      <c r="C415" s="1544"/>
      <c r="D415" s="1544"/>
      <c r="E415" s="1544"/>
      <c r="R415" s="1545"/>
      <c r="S415" s="1545"/>
      <c r="T415" s="1545"/>
      <c r="U415" s="1545"/>
      <c r="V415" s="1545"/>
      <c r="W415" s="1545"/>
      <c r="X415" s="1545"/>
      <c r="Y415" s="1545"/>
    </row>
    <row r="416" spans="1:25">
      <c r="A416" s="1544"/>
      <c r="B416" s="1544"/>
      <c r="C416" s="1544"/>
      <c r="D416" s="1544"/>
      <c r="E416" s="1544"/>
      <c r="R416" s="1545"/>
      <c r="S416" s="1545"/>
      <c r="T416" s="1545"/>
      <c r="U416" s="1545"/>
      <c r="V416" s="1545"/>
      <c r="W416" s="1545"/>
      <c r="X416" s="1545"/>
      <c r="Y416" s="1545"/>
    </row>
    <row r="417" spans="1:25">
      <c r="A417" s="1544"/>
      <c r="B417" s="1544"/>
      <c r="C417" s="1544"/>
      <c r="D417" s="1544"/>
      <c r="E417" s="1544"/>
      <c r="R417" s="1545"/>
      <c r="S417" s="1545"/>
      <c r="T417" s="1545"/>
      <c r="U417" s="1545"/>
      <c r="V417" s="1545"/>
      <c r="W417" s="1545"/>
      <c r="X417" s="1545"/>
      <c r="Y417" s="1545"/>
    </row>
    <row r="418" spans="1:25">
      <c r="A418" s="1544"/>
      <c r="B418" s="1544"/>
      <c r="C418" s="1544"/>
      <c r="D418" s="1544"/>
      <c r="E418" s="1544"/>
      <c r="R418" s="1545"/>
      <c r="S418" s="1545"/>
      <c r="T418" s="1545"/>
      <c r="U418" s="1545"/>
      <c r="V418" s="1545"/>
      <c r="W418" s="1545"/>
      <c r="X418" s="1545"/>
      <c r="Y418" s="1545"/>
    </row>
    <row r="419" spans="1:25">
      <c r="A419" s="1544"/>
      <c r="B419" s="1544"/>
      <c r="C419" s="1544"/>
      <c r="D419" s="1544"/>
      <c r="E419" s="1544"/>
      <c r="R419" s="1545"/>
      <c r="S419" s="1545"/>
      <c r="T419" s="1545"/>
      <c r="U419" s="1545"/>
      <c r="V419" s="1545"/>
      <c r="W419" s="1545"/>
      <c r="X419" s="1545"/>
      <c r="Y419" s="1545"/>
    </row>
    <row r="420" spans="1:25">
      <c r="A420" s="1544"/>
      <c r="B420" s="1544"/>
      <c r="C420" s="1544"/>
      <c r="D420" s="1544"/>
      <c r="E420" s="1544"/>
      <c r="R420" s="1545"/>
      <c r="S420" s="1545"/>
      <c r="T420" s="1545"/>
      <c r="U420" s="1545"/>
      <c r="V420" s="1545"/>
      <c r="W420" s="1545"/>
      <c r="X420" s="1545"/>
      <c r="Y420" s="1545"/>
    </row>
    <row r="421" spans="1:25">
      <c r="A421" s="1544"/>
      <c r="B421" s="1544"/>
      <c r="C421" s="1544"/>
      <c r="D421" s="1544"/>
      <c r="E421" s="1544"/>
      <c r="R421" s="1545"/>
      <c r="S421" s="1545"/>
      <c r="T421" s="1545"/>
      <c r="U421" s="1545"/>
      <c r="V421" s="1545"/>
      <c r="W421" s="1545"/>
      <c r="X421" s="1545"/>
      <c r="Y421" s="1545"/>
    </row>
    <row r="422" spans="1:25">
      <c r="A422" s="1544"/>
      <c r="B422" s="1544"/>
      <c r="C422" s="1544"/>
      <c r="D422" s="1544"/>
      <c r="E422" s="1544"/>
      <c r="R422" s="1545"/>
      <c r="S422" s="1545"/>
      <c r="T422" s="1545"/>
      <c r="U422" s="1545"/>
      <c r="V422" s="1545"/>
      <c r="W422" s="1545"/>
      <c r="X422" s="1545"/>
      <c r="Y422" s="1545"/>
    </row>
    <row r="423" spans="1:25">
      <c r="A423" s="1544"/>
      <c r="B423" s="1544"/>
      <c r="C423" s="1544"/>
      <c r="D423" s="1544"/>
      <c r="E423" s="1544"/>
      <c r="R423" s="1545"/>
      <c r="S423" s="1545"/>
      <c r="T423" s="1545"/>
      <c r="U423" s="1545"/>
      <c r="V423" s="1545"/>
      <c r="W423" s="1545"/>
      <c r="X423" s="1545"/>
      <c r="Y423" s="1545"/>
    </row>
    <row r="424" spans="1:25">
      <c r="A424" s="1544"/>
      <c r="B424" s="1544"/>
      <c r="C424" s="1544"/>
      <c r="D424" s="1544"/>
      <c r="E424" s="1544"/>
      <c r="R424" s="1545"/>
      <c r="S424" s="1545"/>
      <c r="T424" s="1545"/>
      <c r="U424" s="1545"/>
      <c r="V424" s="1545"/>
      <c r="W424" s="1545"/>
      <c r="X424" s="1545"/>
      <c r="Y424" s="1545"/>
    </row>
    <row r="425" spans="1:25">
      <c r="A425" s="1544"/>
      <c r="B425" s="1544"/>
      <c r="C425" s="1544"/>
      <c r="D425" s="1544"/>
      <c r="E425" s="1544"/>
      <c r="R425" s="1545"/>
      <c r="S425" s="1545"/>
      <c r="T425" s="1545"/>
      <c r="U425" s="1545"/>
      <c r="V425" s="1545"/>
      <c r="W425" s="1545"/>
      <c r="X425" s="1545"/>
      <c r="Y425" s="1545"/>
    </row>
    <row r="426" spans="1:25">
      <c r="A426" s="1544"/>
      <c r="B426" s="1544"/>
      <c r="C426" s="1544"/>
      <c r="D426" s="1544"/>
      <c r="E426" s="1544"/>
      <c r="R426" s="1545"/>
      <c r="S426" s="1545"/>
      <c r="T426" s="1545"/>
      <c r="U426" s="1545"/>
      <c r="V426" s="1545"/>
      <c r="W426" s="1545"/>
      <c r="X426" s="1545"/>
      <c r="Y426" s="1545"/>
    </row>
    <row r="427" spans="1:25">
      <c r="A427" s="1544"/>
      <c r="B427" s="1544"/>
      <c r="C427" s="1544"/>
      <c r="D427" s="1544"/>
      <c r="E427" s="1544"/>
      <c r="R427" s="1545"/>
      <c r="S427" s="1545"/>
      <c r="T427" s="1545"/>
      <c r="U427" s="1545"/>
      <c r="V427" s="1545"/>
      <c r="W427" s="1545"/>
      <c r="X427" s="1545"/>
      <c r="Y427" s="1545"/>
    </row>
    <row r="428" spans="1:25">
      <c r="A428" s="1544"/>
      <c r="B428" s="1544"/>
      <c r="C428" s="1544"/>
      <c r="D428" s="1544"/>
      <c r="E428" s="1544"/>
      <c r="R428" s="1545"/>
      <c r="S428" s="1545"/>
      <c r="T428" s="1545"/>
      <c r="U428" s="1545"/>
      <c r="V428" s="1545"/>
      <c r="W428" s="1545"/>
      <c r="X428" s="1545"/>
      <c r="Y428" s="1545"/>
    </row>
    <row r="429" spans="1:25">
      <c r="A429" s="1544"/>
      <c r="B429" s="1544"/>
      <c r="C429" s="1544"/>
      <c r="D429" s="1544"/>
      <c r="E429" s="1544"/>
      <c r="R429" s="1545"/>
      <c r="S429" s="1545"/>
      <c r="T429" s="1545"/>
      <c r="U429" s="1545"/>
      <c r="V429" s="1545"/>
      <c r="W429" s="1545"/>
      <c r="X429" s="1545"/>
      <c r="Y429" s="1545"/>
    </row>
    <row r="430" spans="1:25">
      <c r="A430" s="1544"/>
      <c r="B430" s="1544"/>
      <c r="C430" s="1544"/>
      <c r="D430" s="1544"/>
      <c r="E430" s="1544"/>
      <c r="R430" s="1545"/>
      <c r="S430" s="1545"/>
      <c r="T430" s="1545"/>
      <c r="U430" s="1545"/>
      <c r="V430" s="1545"/>
      <c r="W430" s="1545"/>
      <c r="X430" s="1545"/>
      <c r="Y430" s="1545"/>
    </row>
    <row r="431" spans="1:25">
      <c r="A431" s="1544"/>
      <c r="B431" s="1544"/>
      <c r="C431" s="1544"/>
      <c r="D431" s="1544"/>
      <c r="E431" s="1544"/>
      <c r="R431" s="1545"/>
      <c r="S431" s="1545"/>
      <c r="T431" s="1545"/>
      <c r="U431" s="1545"/>
      <c r="V431" s="1545"/>
      <c r="W431" s="1545"/>
      <c r="X431" s="1545"/>
      <c r="Y431" s="1545"/>
    </row>
    <row r="432" spans="1:25">
      <c r="A432" s="1544"/>
      <c r="B432" s="1544"/>
      <c r="C432" s="1544"/>
      <c r="D432" s="1544"/>
      <c r="E432" s="1544"/>
      <c r="R432" s="1545"/>
      <c r="S432" s="1545"/>
      <c r="T432" s="1545"/>
      <c r="U432" s="1545"/>
      <c r="V432" s="1545"/>
      <c r="W432" s="1545"/>
      <c r="X432" s="1545"/>
      <c r="Y432" s="1545"/>
    </row>
    <row r="433" spans="1:25">
      <c r="A433" s="1544"/>
      <c r="B433" s="1544"/>
      <c r="C433" s="1544"/>
      <c r="D433" s="1544"/>
      <c r="E433" s="1544"/>
      <c r="R433" s="1545"/>
      <c r="S433" s="1545"/>
      <c r="T433" s="1545"/>
      <c r="U433" s="1545"/>
      <c r="V433" s="1545"/>
      <c r="W433" s="1545"/>
      <c r="X433" s="1545"/>
      <c r="Y433" s="1545"/>
    </row>
    <row r="434" spans="1:25">
      <c r="A434" s="1544"/>
      <c r="B434" s="1544"/>
      <c r="C434" s="1544"/>
      <c r="D434" s="1544"/>
      <c r="E434" s="1544"/>
      <c r="R434" s="1545"/>
      <c r="S434" s="1545"/>
      <c r="T434" s="1545"/>
      <c r="U434" s="1545"/>
      <c r="V434" s="1545"/>
      <c r="W434" s="1545"/>
      <c r="X434" s="1545"/>
      <c r="Y434" s="1545"/>
    </row>
    <row r="435" spans="1:25">
      <c r="A435" s="1544"/>
      <c r="B435" s="1544"/>
      <c r="C435" s="1544"/>
      <c r="D435" s="1544"/>
      <c r="E435" s="1544"/>
      <c r="R435" s="1545"/>
      <c r="S435" s="1545"/>
      <c r="T435" s="1545"/>
      <c r="U435" s="1545"/>
      <c r="V435" s="1545"/>
      <c r="W435" s="1545"/>
      <c r="X435" s="1545"/>
      <c r="Y435" s="1545"/>
    </row>
    <row r="436" spans="1:25">
      <c r="A436" s="1544"/>
      <c r="B436" s="1544"/>
      <c r="C436" s="1544"/>
      <c r="D436" s="1544"/>
      <c r="E436" s="1544"/>
      <c r="R436" s="1545"/>
      <c r="S436" s="1545"/>
      <c r="T436" s="1545"/>
      <c r="U436" s="1545"/>
      <c r="V436" s="1545"/>
      <c r="W436" s="1545"/>
      <c r="X436" s="1545"/>
      <c r="Y436" s="1545"/>
    </row>
    <row r="437" spans="1:25">
      <c r="A437" s="1544"/>
      <c r="B437" s="1544"/>
      <c r="C437" s="1544"/>
      <c r="D437" s="1544"/>
      <c r="E437" s="1544"/>
      <c r="R437" s="1545"/>
      <c r="S437" s="1545"/>
      <c r="T437" s="1545"/>
      <c r="U437" s="1545"/>
      <c r="V437" s="1545"/>
      <c r="W437" s="1545"/>
      <c r="X437" s="1545"/>
      <c r="Y437" s="1545"/>
    </row>
    <row r="438" spans="1:25">
      <c r="A438" s="1544"/>
      <c r="B438" s="1544"/>
      <c r="C438" s="1544"/>
      <c r="D438" s="1544"/>
      <c r="E438" s="1544"/>
      <c r="R438" s="1545"/>
      <c r="S438" s="1545"/>
      <c r="T438" s="1545"/>
      <c r="U438" s="1545"/>
      <c r="V438" s="1545"/>
      <c r="W438" s="1545"/>
      <c r="X438" s="1545"/>
      <c r="Y438" s="1545"/>
    </row>
    <row r="439" spans="1:25">
      <c r="A439" s="1544"/>
      <c r="B439" s="1544"/>
      <c r="C439" s="1544"/>
      <c r="D439" s="1544"/>
      <c r="E439" s="1544"/>
      <c r="R439" s="1545"/>
      <c r="S439" s="1545"/>
      <c r="T439" s="1545"/>
      <c r="U439" s="1545"/>
      <c r="V439" s="1545"/>
      <c r="W439" s="1545"/>
      <c r="X439" s="1545"/>
      <c r="Y439" s="1545"/>
    </row>
    <row r="440" spans="1:25">
      <c r="A440" s="1544"/>
      <c r="B440" s="1544"/>
      <c r="C440" s="1544"/>
      <c r="D440" s="1544"/>
      <c r="E440" s="1544"/>
      <c r="R440" s="1545"/>
      <c r="S440" s="1545"/>
      <c r="T440" s="1545"/>
      <c r="U440" s="1545"/>
      <c r="V440" s="1545"/>
      <c r="W440" s="1545"/>
      <c r="X440" s="1545"/>
      <c r="Y440" s="1545"/>
    </row>
    <row r="441" spans="1:25">
      <c r="A441" s="1544"/>
      <c r="B441" s="1544"/>
      <c r="C441" s="1544"/>
      <c r="D441" s="1544"/>
      <c r="E441" s="1544"/>
      <c r="R441" s="1545"/>
      <c r="S441" s="1545"/>
      <c r="T441" s="1545"/>
      <c r="U441" s="1545"/>
      <c r="V441" s="1545"/>
      <c r="W441" s="1545"/>
      <c r="X441" s="1545"/>
      <c r="Y441" s="1545"/>
    </row>
    <row r="442" spans="1:25">
      <c r="A442" s="1544"/>
      <c r="B442" s="1544"/>
      <c r="C442" s="1544"/>
      <c r="D442" s="1544"/>
      <c r="E442" s="1544"/>
      <c r="R442" s="1545"/>
      <c r="S442" s="1545"/>
      <c r="T442" s="1545"/>
      <c r="U442" s="1545"/>
      <c r="V442" s="1545"/>
      <c r="W442" s="1545"/>
      <c r="X442" s="1545"/>
      <c r="Y442" s="1545"/>
    </row>
    <row r="443" spans="1:25">
      <c r="A443" s="1544"/>
      <c r="B443" s="1544"/>
      <c r="C443" s="1544"/>
      <c r="D443" s="1544"/>
      <c r="E443" s="1544"/>
      <c r="R443" s="1545"/>
      <c r="S443" s="1545"/>
      <c r="T443" s="1545"/>
      <c r="U443" s="1545"/>
      <c r="V443" s="1545"/>
      <c r="W443" s="1545"/>
      <c r="X443" s="1545"/>
      <c r="Y443" s="1545"/>
    </row>
    <row r="444" spans="1:25">
      <c r="A444" s="1544"/>
      <c r="B444" s="1544"/>
      <c r="C444" s="1544"/>
      <c r="D444" s="1544"/>
      <c r="E444" s="1544"/>
      <c r="R444" s="1545"/>
      <c r="S444" s="1545"/>
      <c r="T444" s="1545"/>
      <c r="U444" s="1545"/>
      <c r="V444" s="1545"/>
      <c r="W444" s="1545"/>
      <c r="X444" s="1545"/>
      <c r="Y444" s="1545"/>
    </row>
    <row r="445" spans="1:25">
      <c r="A445" s="1544"/>
      <c r="B445" s="1544"/>
      <c r="C445" s="1544"/>
      <c r="D445" s="1544"/>
      <c r="E445" s="1544"/>
      <c r="R445" s="1545"/>
      <c r="S445" s="1545"/>
      <c r="T445" s="1545"/>
      <c r="U445" s="1545"/>
      <c r="V445" s="1545"/>
      <c r="W445" s="1545"/>
      <c r="X445" s="1545"/>
      <c r="Y445" s="1545"/>
    </row>
    <row r="446" spans="1:25">
      <c r="A446" s="1544"/>
      <c r="B446" s="1544"/>
      <c r="C446" s="1544"/>
      <c r="D446" s="1544"/>
      <c r="E446" s="1544"/>
      <c r="R446" s="1545"/>
      <c r="S446" s="1545"/>
      <c r="T446" s="1545"/>
      <c r="U446" s="1545"/>
      <c r="V446" s="1545"/>
      <c r="W446" s="1545"/>
      <c r="X446" s="1545"/>
      <c r="Y446" s="1545"/>
    </row>
    <row r="447" spans="1:25">
      <c r="A447" s="1544"/>
      <c r="B447" s="1544"/>
      <c r="C447" s="1544"/>
      <c r="D447" s="1544"/>
      <c r="E447" s="1544"/>
      <c r="R447" s="1545"/>
      <c r="S447" s="1545"/>
      <c r="T447" s="1545"/>
      <c r="U447" s="1545"/>
      <c r="V447" s="1545"/>
      <c r="W447" s="1545"/>
      <c r="X447" s="1545"/>
      <c r="Y447" s="1545"/>
    </row>
    <row r="448" spans="1:25">
      <c r="A448" s="1544"/>
      <c r="B448" s="1544"/>
      <c r="C448" s="1544"/>
      <c r="D448" s="1544"/>
      <c r="E448" s="1544"/>
      <c r="R448" s="1545"/>
      <c r="S448" s="1545"/>
      <c r="T448" s="1545"/>
      <c r="U448" s="1545"/>
      <c r="V448" s="1545"/>
      <c r="W448" s="1545"/>
      <c r="X448" s="1545"/>
      <c r="Y448" s="1545"/>
    </row>
    <row r="449" spans="1:25">
      <c r="A449" s="1544"/>
      <c r="B449" s="1544"/>
      <c r="C449" s="1544"/>
      <c r="D449" s="1544"/>
      <c r="E449" s="1544"/>
      <c r="R449" s="1545"/>
      <c r="S449" s="1545"/>
      <c r="T449" s="1545"/>
      <c r="U449" s="1545"/>
      <c r="V449" s="1545"/>
      <c r="W449" s="1545"/>
      <c r="X449" s="1545"/>
      <c r="Y449" s="1545"/>
    </row>
    <row r="450" spans="1:25">
      <c r="A450" s="1544"/>
      <c r="B450" s="1544"/>
      <c r="C450" s="1544"/>
      <c r="D450" s="1544"/>
      <c r="E450" s="1544"/>
      <c r="R450" s="1545"/>
      <c r="S450" s="1545"/>
      <c r="T450" s="1545"/>
      <c r="U450" s="1545"/>
      <c r="V450" s="1545"/>
      <c r="W450" s="1545"/>
      <c r="X450" s="1545"/>
      <c r="Y450" s="1545"/>
    </row>
    <row r="451" spans="1:25">
      <c r="A451" s="1544"/>
      <c r="B451" s="1544"/>
      <c r="C451" s="1544"/>
      <c r="D451" s="1544"/>
      <c r="E451" s="1544"/>
      <c r="R451" s="1545"/>
      <c r="S451" s="1545"/>
      <c r="T451" s="1545"/>
      <c r="U451" s="1545"/>
      <c r="V451" s="1545"/>
      <c r="W451" s="1545"/>
      <c r="X451" s="1545"/>
      <c r="Y451" s="1545"/>
    </row>
    <row r="452" spans="1:25">
      <c r="A452" s="1544"/>
      <c r="B452" s="1544"/>
      <c r="C452" s="1544"/>
      <c r="D452" s="1544"/>
      <c r="E452" s="1544"/>
      <c r="R452" s="1545"/>
      <c r="S452" s="1545"/>
      <c r="T452" s="1545"/>
      <c r="U452" s="1545"/>
      <c r="V452" s="1545"/>
      <c r="W452" s="1545"/>
      <c r="X452" s="1545"/>
      <c r="Y452" s="1545"/>
    </row>
    <row r="453" spans="1:25">
      <c r="A453" s="1544"/>
      <c r="B453" s="1544"/>
      <c r="C453" s="1544"/>
      <c r="D453" s="1544"/>
      <c r="E453" s="1544"/>
      <c r="R453" s="1545"/>
      <c r="S453" s="1545"/>
      <c r="T453" s="1545"/>
      <c r="U453" s="1545"/>
      <c r="V453" s="1545"/>
      <c r="W453" s="1545"/>
      <c r="X453" s="1545"/>
      <c r="Y453" s="1545"/>
    </row>
    <row r="454" spans="1:25">
      <c r="A454" s="1544"/>
      <c r="B454" s="1544"/>
      <c r="C454" s="1544"/>
      <c r="D454" s="1544"/>
      <c r="E454" s="1544"/>
      <c r="R454" s="1545"/>
      <c r="S454" s="1545"/>
      <c r="T454" s="1545"/>
      <c r="U454" s="1545"/>
      <c r="V454" s="1545"/>
      <c r="W454" s="1545"/>
      <c r="X454" s="1545"/>
      <c r="Y454" s="1545"/>
    </row>
    <row r="455" spans="1:25">
      <c r="A455" s="1544"/>
      <c r="B455" s="1544"/>
      <c r="C455" s="1544"/>
      <c r="D455" s="1544"/>
      <c r="E455" s="1544"/>
      <c r="R455" s="1545"/>
      <c r="S455" s="1545"/>
      <c r="T455" s="1545"/>
      <c r="U455" s="1545"/>
      <c r="V455" s="1545"/>
      <c r="W455" s="1545"/>
      <c r="X455" s="1545"/>
      <c r="Y455" s="1545"/>
    </row>
    <row r="456" spans="1:25">
      <c r="A456" s="1544"/>
      <c r="B456" s="1544"/>
      <c r="C456" s="1544"/>
      <c r="D456" s="1544"/>
      <c r="E456" s="1544"/>
      <c r="R456" s="1545"/>
      <c r="S456" s="1545"/>
      <c r="T456" s="1545"/>
      <c r="U456" s="1545"/>
      <c r="V456" s="1545"/>
      <c r="W456" s="1545"/>
      <c r="X456" s="1545"/>
      <c r="Y456" s="1545"/>
    </row>
    <row r="457" spans="1:25">
      <c r="A457" s="1544"/>
      <c r="B457" s="1544"/>
      <c r="C457" s="1544"/>
      <c r="D457" s="1544"/>
      <c r="E457" s="1544"/>
      <c r="R457" s="1545"/>
      <c r="S457" s="1545"/>
      <c r="T457" s="1545"/>
      <c r="U457" s="1545"/>
      <c r="V457" s="1545"/>
      <c r="W457" s="1545"/>
      <c r="X457" s="1545"/>
      <c r="Y457" s="1545"/>
    </row>
    <row r="458" spans="1:25">
      <c r="A458" s="1544"/>
      <c r="B458" s="1544"/>
      <c r="C458" s="1544"/>
      <c r="D458" s="1544"/>
      <c r="E458" s="1544"/>
      <c r="R458" s="1545"/>
      <c r="S458" s="1545"/>
      <c r="T458" s="1545"/>
      <c r="U458" s="1545"/>
      <c r="V458" s="1545"/>
      <c r="W458" s="1545"/>
      <c r="X458" s="1545"/>
      <c r="Y458" s="1545"/>
    </row>
    <row r="459" spans="1:25">
      <c r="A459" s="1544"/>
      <c r="B459" s="1544"/>
      <c r="C459" s="1544"/>
      <c r="D459" s="1544"/>
      <c r="E459" s="1544"/>
      <c r="R459" s="1545"/>
      <c r="S459" s="1545"/>
      <c r="T459" s="1545"/>
      <c r="U459" s="1545"/>
      <c r="V459" s="1545"/>
      <c r="W459" s="1545"/>
      <c r="X459" s="1545"/>
      <c r="Y459" s="1545"/>
    </row>
    <row r="460" spans="1:25">
      <c r="A460" s="1544"/>
      <c r="B460" s="1544"/>
      <c r="C460" s="1544"/>
      <c r="D460" s="1544"/>
      <c r="E460" s="1544"/>
      <c r="R460" s="1545"/>
      <c r="S460" s="1545"/>
      <c r="T460" s="1545"/>
      <c r="U460" s="1545"/>
      <c r="V460" s="1545"/>
      <c r="W460" s="1545"/>
      <c r="X460" s="1545"/>
      <c r="Y460" s="1545"/>
    </row>
    <row r="461" spans="1:25">
      <c r="A461" s="1544"/>
      <c r="B461" s="1544"/>
      <c r="C461" s="1544"/>
      <c r="D461" s="1544"/>
      <c r="E461" s="1544"/>
      <c r="R461" s="1545"/>
      <c r="S461" s="1545"/>
      <c r="T461" s="1545"/>
      <c r="U461" s="1545"/>
      <c r="V461" s="1545"/>
      <c r="W461" s="1545"/>
      <c r="X461" s="1545"/>
      <c r="Y461" s="1545"/>
    </row>
    <row r="462" spans="1:25">
      <c r="A462" s="1544"/>
      <c r="B462" s="1544"/>
      <c r="C462" s="1544"/>
      <c r="D462" s="1544"/>
      <c r="E462" s="1544"/>
      <c r="R462" s="1545"/>
      <c r="S462" s="1545"/>
      <c r="T462" s="1545"/>
      <c r="U462" s="1545"/>
      <c r="V462" s="1545"/>
      <c r="W462" s="1545"/>
      <c r="X462" s="1545"/>
      <c r="Y462" s="1545"/>
    </row>
    <row r="463" spans="1:25">
      <c r="A463" s="1544"/>
      <c r="B463" s="1544"/>
      <c r="C463" s="1544"/>
      <c r="D463" s="1544"/>
      <c r="E463" s="1544"/>
      <c r="R463" s="1545"/>
      <c r="S463" s="1545"/>
      <c r="T463" s="1545"/>
      <c r="U463" s="1545"/>
      <c r="V463" s="1545"/>
      <c r="W463" s="1545"/>
      <c r="X463" s="1545"/>
      <c r="Y463" s="1545"/>
    </row>
    <row r="464" spans="1:25">
      <c r="A464" s="1544"/>
      <c r="B464" s="1544"/>
      <c r="C464" s="1544"/>
      <c r="D464" s="1544"/>
      <c r="E464" s="1544"/>
      <c r="R464" s="1545"/>
      <c r="S464" s="1545"/>
      <c r="T464" s="1545"/>
      <c r="U464" s="1545"/>
      <c r="V464" s="1545"/>
      <c r="W464" s="1545"/>
      <c r="X464" s="1545"/>
      <c r="Y464" s="1545"/>
    </row>
    <row r="465" spans="1:25">
      <c r="A465" s="1544"/>
      <c r="B465" s="1544"/>
      <c r="C465" s="1544"/>
      <c r="D465" s="1544"/>
      <c r="E465" s="1544"/>
      <c r="R465" s="1545"/>
      <c r="S465" s="1545"/>
      <c r="T465" s="1545"/>
      <c r="U465" s="1545"/>
      <c r="V465" s="1545"/>
      <c r="W465" s="1545"/>
      <c r="X465" s="1545"/>
      <c r="Y465" s="1545"/>
    </row>
    <row r="466" spans="1:25">
      <c r="A466" s="1544"/>
      <c r="B466" s="1544"/>
      <c r="C466" s="1544"/>
      <c r="D466" s="1544"/>
      <c r="E466" s="1544"/>
      <c r="R466" s="1545"/>
      <c r="S466" s="1545"/>
      <c r="T466" s="1545"/>
      <c r="U466" s="1545"/>
      <c r="V466" s="1545"/>
      <c r="W466" s="1545"/>
      <c r="X466" s="1545"/>
      <c r="Y466" s="1545"/>
    </row>
    <row r="467" spans="1:25">
      <c r="A467" s="1544"/>
      <c r="B467" s="1544"/>
      <c r="C467" s="1544"/>
      <c r="D467" s="1544"/>
      <c r="E467" s="1544"/>
      <c r="R467" s="1545"/>
      <c r="S467" s="1545"/>
      <c r="T467" s="1545"/>
      <c r="U467" s="1545"/>
      <c r="V467" s="1545"/>
      <c r="W467" s="1545"/>
      <c r="X467" s="1545"/>
      <c r="Y467" s="1545"/>
    </row>
    <row r="468" spans="1:25">
      <c r="A468" s="1544"/>
      <c r="B468" s="1544"/>
      <c r="C468" s="1544"/>
      <c r="D468" s="1544"/>
      <c r="E468" s="1544"/>
      <c r="R468" s="1545"/>
      <c r="S468" s="1545"/>
      <c r="T468" s="1545"/>
      <c r="U468" s="1545"/>
      <c r="V468" s="1545"/>
      <c r="W468" s="1545"/>
      <c r="X468" s="1545"/>
      <c r="Y468" s="1545"/>
    </row>
    <row r="469" spans="1:25">
      <c r="A469" s="1544"/>
      <c r="B469" s="1544"/>
      <c r="C469" s="1544"/>
      <c r="D469" s="1544"/>
      <c r="E469" s="1544"/>
      <c r="R469" s="1545"/>
      <c r="S469" s="1545"/>
      <c r="T469" s="1545"/>
      <c r="U469" s="1545"/>
      <c r="V469" s="1545"/>
      <c r="W469" s="1545"/>
      <c r="X469" s="1545"/>
      <c r="Y469" s="1545"/>
    </row>
    <row r="470" spans="1:25">
      <c r="A470" s="1544"/>
      <c r="B470" s="1544"/>
      <c r="C470" s="1544"/>
      <c r="D470" s="1544"/>
      <c r="E470" s="1544"/>
      <c r="R470" s="1545"/>
      <c r="S470" s="1545"/>
      <c r="T470" s="1545"/>
      <c r="U470" s="1545"/>
      <c r="V470" s="1545"/>
      <c r="W470" s="1545"/>
      <c r="X470" s="1545"/>
      <c r="Y470" s="1545"/>
    </row>
    <row r="471" spans="1:25">
      <c r="A471" s="1544"/>
      <c r="B471" s="1544"/>
      <c r="C471" s="1544"/>
      <c r="D471" s="1544"/>
      <c r="E471" s="1544"/>
      <c r="R471" s="1545"/>
      <c r="S471" s="1545"/>
      <c r="T471" s="1545"/>
      <c r="U471" s="1545"/>
      <c r="V471" s="1545"/>
      <c r="W471" s="1545"/>
      <c r="X471" s="1545"/>
      <c r="Y471" s="1545"/>
    </row>
    <row r="472" spans="1:25">
      <c r="A472" s="1544"/>
      <c r="B472" s="1544"/>
      <c r="C472" s="1544"/>
      <c r="D472" s="1544"/>
      <c r="E472" s="1544"/>
      <c r="R472" s="1545"/>
      <c r="S472" s="1545"/>
      <c r="T472" s="1545"/>
      <c r="U472" s="1545"/>
      <c r="V472" s="1545"/>
      <c r="W472" s="1545"/>
      <c r="X472" s="1545"/>
      <c r="Y472" s="1545"/>
    </row>
    <row r="473" spans="1:25">
      <c r="A473" s="1544"/>
      <c r="B473" s="1544"/>
      <c r="C473" s="1544"/>
      <c r="D473" s="1544"/>
      <c r="E473" s="1544"/>
      <c r="R473" s="1545"/>
      <c r="S473" s="1545"/>
      <c r="T473" s="1545"/>
      <c r="U473" s="1545"/>
      <c r="V473" s="1545"/>
      <c r="W473" s="1545"/>
      <c r="X473" s="1545"/>
      <c r="Y473" s="1545"/>
    </row>
    <row r="474" spans="1:25">
      <c r="A474" s="1544"/>
      <c r="B474" s="1544"/>
      <c r="C474" s="1544"/>
      <c r="D474" s="1544"/>
      <c r="E474" s="1544"/>
      <c r="R474" s="1545"/>
      <c r="S474" s="1545"/>
      <c r="T474" s="1545"/>
      <c r="U474" s="1545"/>
      <c r="V474" s="1545"/>
      <c r="W474" s="1545"/>
      <c r="X474" s="1545"/>
      <c r="Y474" s="1545"/>
    </row>
    <row r="475" spans="1:25">
      <c r="A475" s="1544"/>
      <c r="B475" s="1544"/>
      <c r="C475" s="1544"/>
      <c r="D475" s="1544"/>
      <c r="E475" s="1544"/>
      <c r="R475" s="1545"/>
      <c r="S475" s="1545"/>
      <c r="T475" s="1545"/>
      <c r="U475" s="1545"/>
      <c r="V475" s="1545"/>
      <c r="W475" s="1545"/>
      <c r="X475" s="1545"/>
      <c r="Y475" s="1545"/>
    </row>
    <row r="476" spans="1:25">
      <c r="A476" s="1544"/>
      <c r="B476" s="1544"/>
      <c r="C476" s="1544"/>
      <c r="D476" s="1544"/>
      <c r="E476" s="1544"/>
      <c r="R476" s="1545"/>
      <c r="S476" s="1545"/>
      <c r="T476" s="1545"/>
      <c r="U476" s="1545"/>
      <c r="V476" s="1545"/>
      <c r="W476" s="1545"/>
      <c r="X476" s="1545"/>
      <c r="Y476" s="1545"/>
    </row>
    <row r="477" spans="1:25">
      <c r="A477" s="1544"/>
      <c r="B477" s="1544"/>
      <c r="C477" s="1544"/>
      <c r="D477" s="1544"/>
      <c r="E477" s="1544"/>
      <c r="R477" s="1545"/>
      <c r="S477" s="1545"/>
      <c r="T477" s="1545"/>
      <c r="U477" s="1545"/>
      <c r="V477" s="1545"/>
      <c r="W477" s="1545"/>
      <c r="X477" s="1545"/>
      <c r="Y477" s="1545"/>
    </row>
    <row r="478" spans="1:25">
      <c r="A478" s="1544"/>
      <c r="B478" s="1544"/>
      <c r="C478" s="1544"/>
      <c r="D478" s="1544"/>
      <c r="E478" s="1544"/>
      <c r="R478" s="1545"/>
      <c r="S478" s="1545"/>
      <c r="T478" s="1545"/>
      <c r="U478" s="1545"/>
      <c r="V478" s="1545"/>
      <c r="W478" s="1545"/>
      <c r="X478" s="1545"/>
      <c r="Y478" s="1545"/>
    </row>
    <row r="479" spans="1:25">
      <c r="A479" s="1544"/>
      <c r="B479" s="1544"/>
      <c r="C479" s="1544"/>
      <c r="D479" s="1544"/>
      <c r="E479" s="1544"/>
      <c r="R479" s="1545"/>
      <c r="S479" s="1545"/>
      <c r="T479" s="1545"/>
      <c r="U479" s="1545"/>
      <c r="V479" s="1545"/>
      <c r="W479" s="1545"/>
      <c r="X479" s="1545"/>
      <c r="Y479" s="1545"/>
    </row>
    <row r="480" spans="1:25">
      <c r="A480" s="1544"/>
      <c r="B480" s="1544"/>
      <c r="C480" s="1544"/>
      <c r="D480" s="1544"/>
      <c r="E480" s="1544"/>
      <c r="R480" s="1545"/>
      <c r="S480" s="1545"/>
      <c r="T480" s="1545"/>
      <c r="U480" s="1545"/>
      <c r="V480" s="1545"/>
      <c r="W480" s="1545"/>
      <c r="X480" s="1545"/>
      <c r="Y480" s="1545"/>
    </row>
    <row r="481" spans="1:25">
      <c r="A481" s="1544"/>
      <c r="B481" s="1544"/>
      <c r="C481" s="1544"/>
      <c r="D481" s="1544"/>
      <c r="E481" s="1544"/>
      <c r="R481" s="1545"/>
      <c r="S481" s="1545"/>
      <c r="T481" s="1545"/>
      <c r="U481" s="1545"/>
      <c r="V481" s="1545"/>
      <c r="W481" s="1545"/>
      <c r="X481" s="1545"/>
      <c r="Y481" s="1545"/>
    </row>
    <row r="482" spans="1:25">
      <c r="A482" s="1544"/>
      <c r="B482" s="1544"/>
      <c r="C482" s="1544"/>
      <c r="D482" s="1544"/>
      <c r="E482" s="1544"/>
      <c r="R482" s="1545"/>
      <c r="S482" s="1545"/>
      <c r="T482" s="1545"/>
      <c r="U482" s="1545"/>
      <c r="V482" s="1545"/>
      <c r="W482" s="1545"/>
      <c r="X482" s="1545"/>
      <c r="Y482" s="1545"/>
    </row>
    <row r="483" spans="1:25">
      <c r="A483" s="1544"/>
      <c r="B483" s="1544"/>
      <c r="C483" s="1544"/>
      <c r="D483" s="1544"/>
      <c r="E483" s="1544"/>
      <c r="R483" s="1545"/>
      <c r="S483" s="1545"/>
      <c r="T483" s="1545"/>
      <c r="U483" s="1545"/>
      <c r="V483" s="1545"/>
      <c r="W483" s="1545"/>
      <c r="X483" s="1545"/>
      <c r="Y483" s="1545"/>
    </row>
    <row r="484" spans="1:25">
      <c r="A484" s="1544"/>
      <c r="B484" s="1544"/>
      <c r="C484" s="1544"/>
      <c r="D484" s="1544"/>
      <c r="E484" s="1544"/>
      <c r="R484" s="1545"/>
      <c r="S484" s="1545"/>
      <c r="T484" s="1545"/>
      <c r="U484" s="1545"/>
      <c r="V484" s="1545"/>
      <c r="W484" s="1545"/>
      <c r="X484" s="1545"/>
      <c r="Y484" s="1545"/>
    </row>
    <row r="485" spans="1:25">
      <c r="A485" s="1544"/>
      <c r="B485" s="1544"/>
      <c r="C485" s="1544"/>
      <c r="D485" s="1544"/>
      <c r="E485" s="1544"/>
      <c r="R485" s="1545"/>
      <c r="S485" s="1545"/>
      <c r="T485" s="1545"/>
      <c r="U485" s="1545"/>
      <c r="V485" s="1545"/>
      <c r="W485" s="1545"/>
      <c r="X485" s="1545"/>
      <c r="Y485" s="1545"/>
    </row>
    <row r="486" spans="1:25">
      <c r="A486" s="1544"/>
      <c r="B486" s="1544"/>
      <c r="C486" s="1544"/>
      <c r="D486" s="1544"/>
      <c r="E486" s="1544"/>
      <c r="R486" s="1545"/>
      <c r="S486" s="1545"/>
      <c r="T486" s="1545"/>
      <c r="U486" s="1545"/>
      <c r="V486" s="1545"/>
      <c r="W486" s="1545"/>
      <c r="X486" s="1545"/>
      <c r="Y486" s="1545"/>
    </row>
    <row r="487" spans="1:25">
      <c r="A487" s="1544"/>
      <c r="B487" s="1544"/>
      <c r="C487" s="1544"/>
      <c r="D487" s="1544"/>
      <c r="E487" s="1544"/>
      <c r="R487" s="1545"/>
      <c r="S487" s="1545"/>
      <c r="T487" s="1545"/>
      <c r="U487" s="1545"/>
      <c r="V487" s="1545"/>
      <c r="W487" s="1545"/>
      <c r="X487" s="1545"/>
      <c r="Y487" s="1545"/>
    </row>
    <row r="488" spans="1:25">
      <c r="A488" s="1544"/>
      <c r="B488" s="1544"/>
      <c r="C488" s="1544"/>
      <c r="D488" s="1544"/>
      <c r="E488" s="1544"/>
      <c r="R488" s="1545"/>
      <c r="S488" s="1545"/>
      <c r="T488" s="1545"/>
      <c r="U488" s="1545"/>
      <c r="V488" s="1545"/>
      <c r="W488" s="1545"/>
      <c r="X488" s="1545"/>
      <c r="Y488" s="1545"/>
    </row>
    <row r="489" spans="1:25">
      <c r="A489" s="1544"/>
      <c r="B489" s="1544"/>
      <c r="C489" s="1544"/>
      <c r="D489" s="1544"/>
      <c r="E489" s="1544"/>
      <c r="R489" s="1545"/>
      <c r="S489" s="1545"/>
      <c r="T489" s="1545"/>
      <c r="U489" s="1545"/>
      <c r="V489" s="1545"/>
      <c r="W489" s="1545"/>
      <c r="X489" s="1545"/>
      <c r="Y489" s="1545"/>
    </row>
    <row r="490" spans="1:25">
      <c r="A490" s="1544"/>
      <c r="B490" s="1544"/>
      <c r="C490" s="1544"/>
      <c r="D490" s="1544"/>
      <c r="E490" s="1544"/>
      <c r="R490" s="1545"/>
      <c r="S490" s="1545"/>
      <c r="T490" s="1545"/>
      <c r="U490" s="1545"/>
      <c r="V490" s="1545"/>
      <c r="W490" s="1545"/>
      <c r="X490" s="1545"/>
      <c r="Y490" s="1545"/>
    </row>
    <row r="491" spans="1:25">
      <c r="A491" s="1544"/>
      <c r="B491" s="1544"/>
      <c r="C491" s="1544"/>
      <c r="D491" s="1544"/>
      <c r="E491" s="1544"/>
      <c r="R491" s="1545"/>
      <c r="S491" s="1545"/>
      <c r="T491" s="1545"/>
      <c r="U491" s="1545"/>
      <c r="V491" s="1545"/>
      <c r="W491" s="1545"/>
      <c r="X491" s="1545"/>
      <c r="Y491" s="1545"/>
    </row>
    <row r="492" spans="1:25">
      <c r="A492" s="1544"/>
      <c r="B492" s="1544"/>
      <c r="C492" s="1544"/>
      <c r="D492" s="1544"/>
      <c r="E492" s="1544"/>
      <c r="R492" s="1545"/>
      <c r="S492" s="1545"/>
      <c r="T492" s="1545"/>
      <c r="U492" s="1545"/>
      <c r="V492" s="1545"/>
      <c r="W492" s="1545"/>
      <c r="X492" s="1545"/>
      <c r="Y492" s="1545"/>
    </row>
    <row r="493" spans="1:25">
      <c r="A493" s="1544"/>
      <c r="B493" s="1544"/>
      <c r="C493" s="1544"/>
      <c r="D493" s="1544"/>
      <c r="E493" s="1544"/>
      <c r="R493" s="1545"/>
      <c r="S493" s="1545"/>
      <c r="T493" s="1545"/>
      <c r="U493" s="1545"/>
      <c r="V493" s="1545"/>
      <c r="W493" s="1545"/>
      <c r="X493" s="1545"/>
      <c r="Y493" s="1545"/>
    </row>
    <row r="494" spans="1:25">
      <c r="A494" s="1544"/>
      <c r="B494" s="1544"/>
      <c r="C494" s="1544"/>
      <c r="D494" s="1544"/>
      <c r="E494" s="1544"/>
      <c r="R494" s="1545"/>
      <c r="S494" s="1545"/>
      <c r="T494" s="1545"/>
      <c r="U494" s="1545"/>
      <c r="V494" s="1545"/>
      <c r="W494" s="1545"/>
      <c r="X494" s="1545"/>
      <c r="Y494" s="1545"/>
    </row>
    <row r="495" spans="1:25">
      <c r="A495" s="1544"/>
      <c r="B495" s="1544"/>
      <c r="C495" s="1544"/>
      <c r="D495" s="1544"/>
      <c r="E495" s="1544"/>
      <c r="R495" s="1545"/>
      <c r="S495" s="1545"/>
      <c r="T495" s="1545"/>
      <c r="U495" s="1545"/>
      <c r="V495" s="1545"/>
      <c r="W495" s="1545"/>
      <c r="X495" s="1545"/>
      <c r="Y495" s="1545"/>
    </row>
    <row r="496" spans="1:25">
      <c r="A496" s="1544"/>
      <c r="B496" s="1544"/>
      <c r="C496" s="1544"/>
      <c r="D496" s="1544"/>
      <c r="E496" s="1544"/>
      <c r="R496" s="1545"/>
      <c r="S496" s="1545"/>
      <c r="T496" s="1545"/>
      <c r="U496" s="1545"/>
      <c r="V496" s="1545"/>
      <c r="W496" s="1545"/>
      <c r="X496" s="1545"/>
      <c r="Y496" s="1545"/>
    </row>
    <row r="497" spans="1:25">
      <c r="A497" s="1544"/>
      <c r="B497" s="1544"/>
      <c r="C497" s="1544"/>
      <c r="D497" s="1544"/>
      <c r="E497" s="1544"/>
      <c r="R497" s="1545"/>
      <c r="S497" s="1545"/>
      <c r="T497" s="1545"/>
      <c r="U497" s="1545"/>
      <c r="V497" s="1545"/>
      <c r="W497" s="1545"/>
      <c r="X497" s="1545"/>
      <c r="Y497" s="1545"/>
    </row>
    <row r="498" spans="1:25">
      <c r="A498" s="1544"/>
      <c r="B498" s="1544"/>
      <c r="C498" s="1544"/>
      <c r="D498" s="1544"/>
      <c r="E498" s="1544"/>
      <c r="R498" s="1545"/>
      <c r="S498" s="1545"/>
      <c r="T498" s="1545"/>
      <c r="U498" s="1545"/>
      <c r="V498" s="1545"/>
      <c r="W498" s="1545"/>
      <c r="X498" s="1545"/>
      <c r="Y498" s="1545"/>
    </row>
    <row r="499" spans="1:25">
      <c r="A499" s="1544"/>
      <c r="B499" s="1544"/>
      <c r="C499" s="1544"/>
      <c r="D499" s="1544"/>
      <c r="E499" s="1544"/>
      <c r="R499" s="1545"/>
      <c r="S499" s="1545"/>
      <c r="T499" s="1545"/>
      <c r="U499" s="1545"/>
      <c r="V499" s="1545"/>
      <c r="W499" s="1545"/>
      <c r="X499" s="1545"/>
      <c r="Y499" s="1545"/>
    </row>
    <row r="500" spans="1:25">
      <c r="A500" s="1544"/>
      <c r="B500" s="1544"/>
      <c r="C500" s="1544"/>
      <c r="D500" s="1544"/>
      <c r="E500" s="1544"/>
      <c r="R500" s="1545"/>
      <c r="S500" s="1545"/>
      <c r="T500" s="1545"/>
      <c r="U500" s="1545"/>
      <c r="V500" s="1545"/>
      <c r="W500" s="1545"/>
      <c r="X500" s="1545"/>
      <c r="Y500" s="1545"/>
    </row>
    <row r="501" spans="1:25">
      <c r="A501" s="1544"/>
      <c r="B501" s="1544"/>
      <c r="C501" s="1544"/>
      <c r="D501" s="1544"/>
      <c r="E501" s="1544"/>
      <c r="R501" s="1545"/>
      <c r="S501" s="1545"/>
      <c r="T501" s="1545"/>
      <c r="U501" s="1545"/>
      <c r="V501" s="1545"/>
      <c r="W501" s="1545"/>
      <c r="X501" s="1545"/>
      <c r="Y501" s="1545"/>
    </row>
    <row r="502" spans="1:25">
      <c r="A502" s="1544"/>
      <c r="B502" s="1544"/>
      <c r="C502" s="1544"/>
      <c r="D502" s="1544"/>
      <c r="E502" s="1544"/>
      <c r="R502" s="1545"/>
      <c r="S502" s="1545"/>
      <c r="T502" s="1545"/>
      <c r="U502" s="1545"/>
      <c r="V502" s="1545"/>
      <c r="W502" s="1545"/>
      <c r="X502" s="1545"/>
      <c r="Y502" s="1545"/>
    </row>
    <row r="503" spans="1:25">
      <c r="A503" s="1544"/>
      <c r="B503" s="1544"/>
      <c r="C503" s="1544"/>
      <c r="D503" s="1544"/>
      <c r="E503" s="1544"/>
      <c r="R503" s="1545"/>
      <c r="S503" s="1545"/>
      <c r="T503" s="1545"/>
      <c r="U503" s="1545"/>
      <c r="V503" s="1545"/>
      <c r="W503" s="1545"/>
      <c r="X503" s="1545"/>
      <c r="Y503" s="1545"/>
    </row>
    <row r="504" spans="1:25">
      <c r="A504" s="1544"/>
      <c r="B504" s="1544"/>
      <c r="C504" s="1544"/>
      <c r="D504" s="1544"/>
      <c r="E504" s="1544"/>
      <c r="R504" s="1545"/>
      <c r="S504" s="1545"/>
      <c r="T504" s="1545"/>
      <c r="U504" s="1545"/>
      <c r="V504" s="1545"/>
      <c r="W504" s="1545"/>
      <c r="X504" s="1545"/>
      <c r="Y504" s="1545"/>
    </row>
    <row r="505" spans="1:25">
      <c r="A505" s="1544"/>
      <c r="B505" s="1544"/>
      <c r="C505" s="1544"/>
      <c r="D505" s="1544"/>
      <c r="E505" s="1544"/>
      <c r="R505" s="1545"/>
      <c r="S505" s="1545"/>
      <c r="T505" s="1545"/>
      <c r="U505" s="1545"/>
      <c r="V505" s="1545"/>
      <c r="W505" s="1545"/>
      <c r="X505" s="1545"/>
      <c r="Y505" s="1545"/>
    </row>
    <row r="506" spans="1:25">
      <c r="A506" s="1544"/>
      <c r="B506" s="1544"/>
      <c r="C506" s="1544"/>
      <c r="D506" s="1544"/>
      <c r="E506" s="1544"/>
      <c r="R506" s="1545"/>
      <c r="S506" s="1545"/>
      <c r="T506" s="1545"/>
      <c r="U506" s="1545"/>
      <c r="V506" s="1545"/>
      <c r="W506" s="1545"/>
      <c r="X506" s="1545"/>
      <c r="Y506" s="1545"/>
    </row>
    <row r="507" spans="1:25">
      <c r="A507" s="1544"/>
      <c r="B507" s="1544"/>
      <c r="C507" s="1544"/>
      <c r="D507" s="1544"/>
      <c r="E507" s="1544"/>
      <c r="R507" s="1545"/>
      <c r="S507" s="1545"/>
      <c r="T507" s="1545"/>
      <c r="U507" s="1545"/>
      <c r="V507" s="1545"/>
      <c r="W507" s="1545"/>
      <c r="X507" s="1545"/>
      <c r="Y507" s="1545"/>
    </row>
    <row r="508" spans="1:25">
      <c r="A508" s="1544"/>
      <c r="B508" s="1544"/>
      <c r="C508" s="1544"/>
      <c r="D508" s="1544"/>
      <c r="E508" s="1544"/>
      <c r="R508" s="1545"/>
      <c r="S508" s="1545"/>
      <c r="T508" s="1545"/>
      <c r="U508" s="1545"/>
      <c r="V508" s="1545"/>
      <c r="W508" s="1545"/>
      <c r="X508" s="1545"/>
      <c r="Y508" s="1545"/>
    </row>
    <row r="509" spans="1:25">
      <c r="A509" s="1544"/>
      <c r="B509" s="1544"/>
      <c r="C509" s="1544"/>
      <c r="D509" s="1544"/>
      <c r="E509" s="1544"/>
      <c r="R509" s="1545"/>
      <c r="S509" s="1545"/>
      <c r="T509" s="1545"/>
      <c r="U509" s="1545"/>
      <c r="V509" s="1545"/>
      <c r="W509" s="1545"/>
      <c r="X509" s="1545"/>
      <c r="Y509" s="1545"/>
    </row>
    <row r="510" spans="1:25">
      <c r="A510" s="1544"/>
      <c r="B510" s="1544"/>
      <c r="C510" s="1544"/>
      <c r="D510" s="1544"/>
      <c r="E510" s="1544"/>
      <c r="R510" s="1545"/>
      <c r="S510" s="1545"/>
      <c r="T510" s="1545"/>
      <c r="U510" s="1545"/>
      <c r="V510" s="1545"/>
      <c r="W510" s="1545"/>
      <c r="X510" s="1545"/>
      <c r="Y510" s="1545"/>
    </row>
    <row r="511" spans="1:25">
      <c r="A511" s="1544"/>
      <c r="B511" s="1544"/>
      <c r="C511" s="1544"/>
      <c r="D511" s="1544"/>
      <c r="E511" s="1544"/>
      <c r="R511" s="1545"/>
      <c r="S511" s="1545"/>
      <c r="T511" s="1545"/>
      <c r="U511" s="1545"/>
      <c r="V511" s="1545"/>
      <c r="W511" s="1545"/>
      <c r="X511" s="1545"/>
      <c r="Y511" s="1545"/>
    </row>
    <row r="512" spans="1:25">
      <c r="A512" s="1544"/>
      <c r="B512" s="1544"/>
      <c r="C512" s="1544"/>
      <c r="D512" s="1544"/>
      <c r="E512" s="1544"/>
      <c r="R512" s="1545"/>
      <c r="S512" s="1545"/>
      <c r="T512" s="1545"/>
      <c r="U512" s="1545"/>
      <c r="V512" s="1545"/>
      <c r="W512" s="1545"/>
      <c r="X512" s="1545"/>
      <c r="Y512" s="1545"/>
    </row>
    <row r="513" spans="1:25">
      <c r="A513" s="1544"/>
      <c r="B513" s="1544"/>
      <c r="C513" s="1544"/>
      <c r="D513" s="1544"/>
      <c r="E513" s="1544"/>
      <c r="R513" s="1545"/>
      <c r="S513" s="1545"/>
      <c r="T513" s="1545"/>
      <c r="U513" s="1545"/>
      <c r="V513" s="1545"/>
      <c r="W513" s="1545"/>
      <c r="X513" s="1545"/>
      <c r="Y513" s="1545"/>
    </row>
    <row r="514" spans="1:25">
      <c r="A514" s="1544"/>
      <c r="B514" s="1544"/>
      <c r="C514" s="1544"/>
      <c r="D514" s="1544"/>
      <c r="E514" s="1544"/>
      <c r="R514" s="1545"/>
      <c r="S514" s="1545"/>
      <c r="T514" s="1545"/>
      <c r="U514" s="1545"/>
      <c r="V514" s="1545"/>
      <c r="W514" s="1545"/>
      <c r="X514" s="1545"/>
      <c r="Y514" s="1545"/>
    </row>
    <row r="515" spans="1:25">
      <c r="A515" s="1544"/>
      <c r="B515" s="1544"/>
      <c r="C515" s="1544"/>
      <c r="D515" s="1544"/>
      <c r="E515" s="1544"/>
      <c r="R515" s="1545"/>
      <c r="S515" s="1545"/>
      <c r="T515" s="1545"/>
      <c r="U515" s="1545"/>
      <c r="V515" s="1545"/>
      <c r="W515" s="1545"/>
      <c r="X515" s="1545"/>
      <c r="Y515" s="1545"/>
    </row>
    <row r="516" spans="1:25">
      <c r="A516" s="1544"/>
      <c r="B516" s="1544"/>
      <c r="C516" s="1544"/>
      <c r="D516" s="1544"/>
      <c r="E516" s="1544"/>
      <c r="R516" s="1545"/>
      <c r="S516" s="1545"/>
      <c r="T516" s="1545"/>
      <c r="U516" s="1545"/>
      <c r="V516" s="1545"/>
      <c r="W516" s="1545"/>
      <c r="X516" s="1545"/>
      <c r="Y516" s="1545"/>
    </row>
    <row r="517" spans="1:25">
      <c r="A517" s="1544"/>
      <c r="B517" s="1544"/>
      <c r="C517" s="1544"/>
      <c r="D517" s="1544"/>
      <c r="E517" s="1544"/>
      <c r="R517" s="1545"/>
      <c r="S517" s="1545"/>
      <c r="T517" s="1545"/>
      <c r="U517" s="1545"/>
      <c r="V517" s="1545"/>
      <c r="W517" s="1545"/>
      <c r="X517" s="1545"/>
      <c r="Y517" s="1545"/>
    </row>
    <row r="518" spans="1:25">
      <c r="A518" s="1544"/>
      <c r="B518" s="1544"/>
      <c r="C518" s="1544"/>
      <c r="D518" s="1544"/>
      <c r="E518" s="1544"/>
      <c r="R518" s="1545"/>
      <c r="S518" s="1545"/>
      <c r="T518" s="1545"/>
      <c r="U518" s="1545"/>
      <c r="V518" s="1545"/>
      <c r="W518" s="1545"/>
      <c r="X518" s="1545"/>
      <c r="Y518" s="1545"/>
    </row>
    <row r="519" spans="1:25">
      <c r="A519" s="1544"/>
      <c r="B519" s="1544"/>
      <c r="C519" s="1544"/>
      <c r="D519" s="1544"/>
      <c r="E519" s="1544"/>
      <c r="R519" s="1545"/>
      <c r="S519" s="1545"/>
      <c r="T519" s="1545"/>
      <c r="U519" s="1545"/>
      <c r="V519" s="1545"/>
      <c r="W519" s="1545"/>
      <c r="X519" s="1545"/>
      <c r="Y519" s="1545"/>
    </row>
    <row r="520" spans="1:25">
      <c r="A520" s="1544"/>
      <c r="B520" s="1544"/>
      <c r="C520" s="1544"/>
      <c r="D520" s="1544"/>
      <c r="E520" s="1544"/>
      <c r="R520" s="1545"/>
      <c r="S520" s="1545"/>
      <c r="T520" s="1545"/>
      <c r="U520" s="1545"/>
      <c r="V520" s="1545"/>
      <c r="W520" s="1545"/>
      <c r="X520" s="1545"/>
      <c r="Y520" s="1545"/>
    </row>
    <row r="521" spans="1:25">
      <c r="A521" s="1544"/>
      <c r="B521" s="1544"/>
      <c r="C521" s="1544"/>
      <c r="D521" s="1544"/>
      <c r="E521" s="1544"/>
      <c r="R521" s="1545"/>
      <c r="S521" s="1545"/>
      <c r="T521" s="1545"/>
      <c r="U521" s="1545"/>
      <c r="V521" s="1545"/>
      <c r="W521" s="1545"/>
      <c r="X521" s="1545"/>
      <c r="Y521" s="1545"/>
    </row>
    <row r="522" spans="1:25">
      <c r="A522" s="1544"/>
      <c r="B522" s="1544"/>
      <c r="C522" s="1544"/>
      <c r="D522" s="1544"/>
      <c r="E522" s="1544"/>
      <c r="R522" s="1545"/>
      <c r="S522" s="1545"/>
      <c r="T522" s="1545"/>
      <c r="U522" s="1545"/>
      <c r="V522" s="1545"/>
      <c r="W522" s="1545"/>
      <c r="X522" s="1545"/>
      <c r="Y522" s="1545"/>
    </row>
    <row r="523" spans="1:25">
      <c r="A523" s="1544"/>
      <c r="B523" s="1544"/>
      <c r="C523" s="1544"/>
      <c r="D523" s="1544"/>
      <c r="E523" s="1544"/>
      <c r="R523" s="1545"/>
      <c r="S523" s="1545"/>
      <c r="T523" s="1545"/>
      <c r="U523" s="1545"/>
      <c r="V523" s="1545"/>
      <c r="W523" s="1545"/>
      <c r="X523" s="1545"/>
      <c r="Y523" s="1545"/>
    </row>
    <row r="524" spans="1:25">
      <c r="A524" s="1544"/>
      <c r="B524" s="1544"/>
      <c r="C524" s="1544"/>
      <c r="D524" s="1544"/>
      <c r="E524" s="1544"/>
      <c r="R524" s="1545"/>
      <c r="S524" s="1545"/>
      <c r="T524" s="1545"/>
      <c r="U524" s="1545"/>
      <c r="V524" s="1545"/>
      <c r="W524" s="1545"/>
      <c r="X524" s="1545"/>
      <c r="Y524" s="1545"/>
    </row>
    <row r="525" spans="1:25">
      <c r="A525" s="1544"/>
      <c r="B525" s="1544"/>
      <c r="C525" s="1544"/>
      <c r="D525" s="1544"/>
      <c r="E525" s="1544"/>
      <c r="R525" s="1545"/>
      <c r="S525" s="1545"/>
      <c r="T525" s="1545"/>
      <c r="U525" s="1545"/>
      <c r="V525" s="1545"/>
      <c r="W525" s="1545"/>
      <c r="X525" s="1545"/>
      <c r="Y525" s="1545"/>
    </row>
    <row r="526" spans="1:25">
      <c r="A526" s="1544"/>
      <c r="B526" s="1544"/>
      <c r="C526" s="1544"/>
      <c r="D526" s="1544"/>
      <c r="E526" s="1544"/>
      <c r="R526" s="1545"/>
      <c r="S526" s="1545"/>
      <c r="T526" s="1545"/>
      <c r="U526" s="1545"/>
      <c r="V526" s="1545"/>
      <c r="W526" s="1545"/>
      <c r="X526" s="1545"/>
      <c r="Y526" s="1545"/>
    </row>
    <row r="527" spans="1:25">
      <c r="A527" s="1544"/>
      <c r="B527" s="1544"/>
      <c r="C527" s="1544"/>
      <c r="D527" s="1544"/>
      <c r="E527" s="1544"/>
      <c r="R527" s="1545"/>
      <c r="S527" s="1545"/>
      <c r="T527" s="1545"/>
      <c r="U527" s="1545"/>
      <c r="V527" s="1545"/>
      <c r="W527" s="1545"/>
      <c r="X527" s="1545"/>
      <c r="Y527" s="1545"/>
    </row>
    <row r="528" spans="1:25">
      <c r="A528" s="1544"/>
      <c r="B528" s="1544"/>
      <c r="C528" s="1544"/>
      <c r="D528" s="1544"/>
      <c r="E528" s="1544"/>
      <c r="R528" s="1545"/>
      <c r="S528" s="1545"/>
      <c r="T528" s="1545"/>
      <c r="U528" s="1545"/>
      <c r="V528" s="1545"/>
      <c r="W528" s="1545"/>
      <c r="X528" s="1545"/>
      <c r="Y528" s="1545"/>
    </row>
    <row r="529" spans="1:25">
      <c r="A529" s="1544"/>
      <c r="B529" s="1544"/>
      <c r="C529" s="1544"/>
      <c r="D529" s="1544"/>
      <c r="E529" s="1544"/>
      <c r="R529" s="1545"/>
      <c r="S529" s="1545"/>
      <c r="T529" s="1545"/>
      <c r="U529" s="1545"/>
      <c r="V529" s="1545"/>
      <c r="W529" s="1545"/>
      <c r="X529" s="1545"/>
      <c r="Y529" s="1545"/>
    </row>
    <row r="530" spans="1:25">
      <c r="A530" s="1544"/>
      <c r="B530" s="1544"/>
      <c r="C530" s="1544"/>
      <c r="D530" s="1544"/>
      <c r="E530" s="1544"/>
      <c r="R530" s="1545"/>
      <c r="S530" s="1545"/>
      <c r="T530" s="1545"/>
      <c r="U530" s="1545"/>
      <c r="V530" s="1545"/>
      <c r="W530" s="1545"/>
      <c r="X530" s="1545"/>
      <c r="Y530" s="1545"/>
    </row>
    <row r="531" spans="1:25">
      <c r="A531" s="1544"/>
      <c r="B531" s="1544"/>
      <c r="C531" s="1544"/>
      <c r="D531" s="1544"/>
      <c r="E531" s="1544"/>
      <c r="R531" s="1545"/>
      <c r="S531" s="1545"/>
      <c r="T531" s="1545"/>
      <c r="U531" s="1545"/>
      <c r="V531" s="1545"/>
      <c r="W531" s="1545"/>
      <c r="X531" s="1545"/>
      <c r="Y531" s="1545"/>
    </row>
    <row r="532" spans="1:25">
      <c r="A532" s="1544"/>
      <c r="B532" s="1544"/>
      <c r="C532" s="1544"/>
      <c r="D532" s="1544"/>
      <c r="E532" s="1544"/>
      <c r="R532" s="1545"/>
      <c r="S532" s="1545"/>
      <c r="T532" s="1545"/>
      <c r="U532" s="1545"/>
      <c r="V532" s="1545"/>
      <c r="W532" s="1545"/>
      <c r="X532" s="1545"/>
      <c r="Y532" s="1545"/>
    </row>
    <row r="533" spans="1:25">
      <c r="A533" s="1544"/>
      <c r="B533" s="1544"/>
      <c r="C533" s="1544"/>
      <c r="D533" s="1544"/>
      <c r="E533" s="1544"/>
      <c r="R533" s="1545"/>
      <c r="S533" s="1545"/>
      <c r="T533" s="1545"/>
      <c r="U533" s="1545"/>
      <c r="V533" s="1545"/>
      <c r="W533" s="1545"/>
      <c r="X533" s="1545"/>
      <c r="Y533" s="1545"/>
    </row>
    <row r="534" spans="1:25">
      <c r="A534" s="1544"/>
      <c r="B534" s="1544"/>
      <c r="C534" s="1544"/>
      <c r="D534" s="1544"/>
      <c r="E534" s="1544"/>
      <c r="R534" s="1545"/>
      <c r="S534" s="1545"/>
      <c r="T534" s="1545"/>
      <c r="U534" s="1545"/>
      <c r="V534" s="1545"/>
      <c r="W534" s="1545"/>
      <c r="X534" s="1545"/>
      <c r="Y534" s="1545"/>
    </row>
    <row r="535" spans="1:25">
      <c r="A535" s="1544"/>
      <c r="B535" s="1544"/>
      <c r="C535" s="1544"/>
      <c r="D535" s="1544"/>
      <c r="E535" s="1544"/>
      <c r="R535" s="1545"/>
      <c r="S535" s="1545"/>
      <c r="T535" s="1545"/>
      <c r="U535" s="1545"/>
      <c r="V535" s="1545"/>
      <c r="W535" s="1545"/>
      <c r="X535" s="1545"/>
      <c r="Y535" s="1545"/>
    </row>
    <row r="536" spans="1:25">
      <c r="A536" s="1544"/>
      <c r="B536" s="1544"/>
      <c r="C536" s="1544"/>
      <c r="D536" s="1544"/>
      <c r="E536" s="1544"/>
      <c r="R536" s="1545"/>
      <c r="S536" s="1545"/>
      <c r="T536" s="1545"/>
      <c r="U536" s="1545"/>
      <c r="V536" s="1545"/>
      <c r="W536" s="1545"/>
      <c r="X536" s="1545"/>
      <c r="Y536" s="1545"/>
    </row>
    <row r="537" spans="1:25">
      <c r="A537" s="1544"/>
      <c r="B537" s="1544"/>
      <c r="C537" s="1544"/>
      <c r="D537" s="1544"/>
      <c r="E537" s="1544"/>
      <c r="R537" s="1545"/>
      <c r="S537" s="1545"/>
      <c r="T537" s="1545"/>
      <c r="U537" s="1545"/>
      <c r="V537" s="1545"/>
      <c r="W537" s="1545"/>
      <c r="X537" s="1545"/>
      <c r="Y537" s="1545"/>
    </row>
    <row r="538" spans="1:25">
      <c r="A538" s="1544"/>
      <c r="B538" s="1544"/>
      <c r="C538" s="1544"/>
      <c r="D538" s="1544"/>
      <c r="E538" s="1544"/>
      <c r="R538" s="1545"/>
      <c r="S538" s="1545"/>
      <c r="T538" s="1545"/>
      <c r="U538" s="1545"/>
      <c r="V538" s="1545"/>
      <c r="W538" s="1545"/>
      <c r="X538" s="1545"/>
      <c r="Y538" s="1545"/>
    </row>
    <row r="539" spans="1:25">
      <c r="A539" s="1544"/>
      <c r="B539" s="1544"/>
      <c r="C539" s="1544"/>
      <c r="D539" s="1544"/>
      <c r="E539" s="1544"/>
      <c r="R539" s="1545"/>
      <c r="S539" s="1545"/>
      <c r="T539" s="1545"/>
      <c r="U539" s="1545"/>
      <c r="V539" s="1545"/>
      <c r="W539" s="1545"/>
      <c r="X539" s="1545"/>
      <c r="Y539" s="1545"/>
    </row>
    <row r="540" spans="1:25">
      <c r="A540" s="1544"/>
      <c r="B540" s="1544"/>
      <c r="C540" s="1544"/>
      <c r="D540" s="1544"/>
      <c r="E540" s="1544"/>
      <c r="R540" s="1545"/>
      <c r="S540" s="1545"/>
      <c r="T540" s="1545"/>
      <c r="U540" s="1545"/>
      <c r="V540" s="1545"/>
      <c r="W540" s="1545"/>
      <c r="X540" s="1545"/>
      <c r="Y540" s="1545"/>
    </row>
    <row r="541" spans="1:25">
      <c r="A541" s="1544"/>
      <c r="B541" s="1544"/>
      <c r="C541" s="1544"/>
      <c r="D541" s="1544"/>
      <c r="E541" s="1544"/>
      <c r="R541" s="1545"/>
      <c r="S541" s="1545"/>
      <c r="T541" s="1545"/>
      <c r="U541" s="1545"/>
      <c r="V541" s="1545"/>
      <c r="W541" s="1545"/>
      <c r="X541" s="1545"/>
      <c r="Y541" s="1545"/>
    </row>
    <row r="542" spans="1:25">
      <c r="A542" s="1544"/>
      <c r="B542" s="1544"/>
      <c r="C542" s="1544"/>
      <c r="D542" s="1544"/>
      <c r="E542" s="1544"/>
      <c r="R542" s="1545"/>
      <c r="S542" s="1545"/>
      <c r="T542" s="1545"/>
      <c r="U542" s="1545"/>
      <c r="V542" s="1545"/>
      <c r="W542" s="1545"/>
      <c r="X542" s="1545"/>
      <c r="Y542" s="1545"/>
    </row>
    <row r="543" spans="1:25">
      <c r="A543" s="1544"/>
      <c r="B543" s="1544"/>
      <c r="C543" s="1544"/>
      <c r="D543" s="1544"/>
      <c r="E543" s="1544"/>
      <c r="R543" s="1545"/>
      <c r="S543" s="1545"/>
      <c r="T543" s="1545"/>
      <c r="U543" s="1545"/>
      <c r="V543" s="1545"/>
      <c r="W543" s="1545"/>
      <c r="X543" s="1545"/>
      <c r="Y543" s="1545"/>
    </row>
    <row r="544" spans="1:25">
      <c r="A544" s="1544"/>
      <c r="B544" s="1544"/>
      <c r="C544" s="1544"/>
      <c r="D544" s="1544"/>
      <c r="E544" s="1544"/>
      <c r="R544" s="1545"/>
      <c r="S544" s="1545"/>
      <c r="T544" s="1545"/>
      <c r="U544" s="1545"/>
      <c r="V544" s="1545"/>
      <c r="W544" s="1545"/>
      <c r="X544" s="1545"/>
      <c r="Y544" s="1545"/>
    </row>
    <row r="545" spans="1:25">
      <c r="A545" s="1544"/>
      <c r="B545" s="1544"/>
      <c r="C545" s="1544"/>
      <c r="D545" s="1544"/>
      <c r="E545" s="1544"/>
      <c r="R545" s="1545"/>
      <c r="S545" s="1545"/>
      <c r="T545" s="1545"/>
      <c r="U545" s="1545"/>
      <c r="V545" s="1545"/>
      <c r="W545" s="1545"/>
      <c r="X545" s="1545"/>
      <c r="Y545" s="1545"/>
    </row>
    <row r="546" spans="1:25">
      <c r="A546" s="1544"/>
      <c r="B546" s="1544"/>
      <c r="C546" s="1544"/>
      <c r="D546" s="1544"/>
      <c r="E546" s="1544"/>
      <c r="R546" s="1545"/>
      <c r="S546" s="1545"/>
      <c r="T546" s="1545"/>
      <c r="U546" s="1545"/>
      <c r="V546" s="1545"/>
      <c r="W546" s="1545"/>
      <c r="X546" s="1545"/>
      <c r="Y546" s="1545"/>
    </row>
    <row r="547" spans="1:25">
      <c r="A547" s="1544"/>
      <c r="B547" s="1544"/>
      <c r="C547" s="1544"/>
      <c r="D547" s="1544"/>
      <c r="E547" s="1544"/>
      <c r="R547" s="1545"/>
      <c r="S547" s="1545"/>
      <c r="T547" s="1545"/>
      <c r="U547" s="1545"/>
      <c r="V547" s="1545"/>
      <c r="W547" s="1545"/>
      <c r="X547" s="1545"/>
      <c r="Y547" s="1545"/>
    </row>
    <row r="548" spans="1:25">
      <c r="A548" s="1544"/>
      <c r="B548" s="1544"/>
      <c r="C548" s="1544"/>
      <c r="D548" s="1544"/>
      <c r="E548" s="1544"/>
      <c r="R548" s="1545"/>
      <c r="S548" s="1545"/>
      <c r="T548" s="1545"/>
      <c r="U548" s="1545"/>
      <c r="V548" s="1545"/>
      <c r="W548" s="1545"/>
      <c r="X548" s="1545"/>
      <c r="Y548" s="1545"/>
    </row>
    <row r="549" spans="1:25">
      <c r="A549" s="1544"/>
      <c r="B549" s="1544"/>
      <c r="C549" s="1544"/>
      <c r="D549" s="1544"/>
      <c r="E549" s="1544"/>
      <c r="R549" s="1545"/>
      <c r="S549" s="1545"/>
      <c r="T549" s="1545"/>
      <c r="U549" s="1545"/>
      <c r="V549" s="1545"/>
      <c r="W549" s="1545"/>
      <c r="X549" s="1545"/>
      <c r="Y549" s="1545"/>
    </row>
    <row r="550" spans="1:25">
      <c r="A550" s="1544"/>
      <c r="B550" s="1544"/>
      <c r="C550" s="1544"/>
      <c r="D550" s="1544"/>
      <c r="E550" s="1544"/>
      <c r="R550" s="1545"/>
      <c r="S550" s="1545"/>
      <c r="T550" s="1545"/>
      <c r="U550" s="1545"/>
      <c r="V550" s="1545"/>
      <c r="W550" s="1545"/>
      <c r="X550" s="1545"/>
      <c r="Y550" s="1545"/>
    </row>
    <row r="551" spans="1:25">
      <c r="A551" s="1544"/>
      <c r="B551" s="1544"/>
      <c r="C551" s="1544"/>
      <c r="D551" s="1544"/>
      <c r="E551" s="1544"/>
      <c r="R551" s="1545"/>
      <c r="S551" s="1545"/>
      <c r="T551" s="1545"/>
      <c r="U551" s="1545"/>
      <c r="V551" s="1545"/>
      <c r="W551" s="1545"/>
      <c r="X551" s="1545"/>
      <c r="Y551" s="1545"/>
    </row>
    <row r="552" spans="1:25">
      <c r="A552" s="1544"/>
      <c r="B552" s="1544"/>
      <c r="C552" s="1544"/>
      <c r="D552" s="1544"/>
      <c r="E552" s="1544"/>
      <c r="R552" s="1545"/>
      <c r="S552" s="1545"/>
      <c r="T552" s="1545"/>
      <c r="U552" s="1545"/>
      <c r="V552" s="1545"/>
      <c r="W552" s="1545"/>
      <c r="X552" s="1545"/>
      <c r="Y552" s="1545"/>
    </row>
    <row r="553" spans="1:25">
      <c r="A553" s="1544"/>
      <c r="B553" s="1544"/>
      <c r="C553" s="1544"/>
      <c r="D553" s="1544"/>
      <c r="E553" s="1544"/>
      <c r="R553" s="1545"/>
      <c r="S553" s="1545"/>
      <c r="T553" s="1545"/>
      <c r="U553" s="1545"/>
      <c r="V553" s="1545"/>
      <c r="W553" s="1545"/>
      <c r="X553" s="1545"/>
      <c r="Y553" s="1545"/>
    </row>
    <row r="554" spans="1:25">
      <c r="A554" s="1544"/>
      <c r="B554" s="1544"/>
      <c r="C554" s="1544"/>
      <c r="D554" s="1544"/>
      <c r="E554" s="1544"/>
      <c r="R554" s="1545"/>
      <c r="S554" s="1545"/>
      <c r="T554" s="1545"/>
      <c r="U554" s="1545"/>
      <c r="V554" s="1545"/>
      <c r="W554" s="1545"/>
      <c r="X554" s="1545"/>
      <c r="Y554" s="1545"/>
    </row>
    <row r="555" spans="1:25">
      <c r="A555" s="1544"/>
      <c r="B555" s="1544"/>
      <c r="C555" s="1544"/>
      <c r="D555" s="1544"/>
      <c r="E555" s="1544"/>
      <c r="R555" s="1545"/>
      <c r="S555" s="1545"/>
      <c r="T555" s="1545"/>
      <c r="U555" s="1545"/>
      <c r="V555" s="1545"/>
      <c r="W555" s="1545"/>
      <c r="X555" s="1545"/>
      <c r="Y555" s="1545"/>
    </row>
    <row r="556" spans="1:25">
      <c r="A556" s="1544"/>
      <c r="B556" s="1544"/>
      <c r="C556" s="1544"/>
      <c r="D556" s="1544"/>
      <c r="E556" s="1544"/>
      <c r="R556" s="1545"/>
      <c r="S556" s="1545"/>
      <c r="T556" s="1545"/>
      <c r="U556" s="1545"/>
      <c r="V556" s="1545"/>
      <c r="W556" s="1545"/>
      <c r="X556" s="1545"/>
      <c r="Y556" s="1545"/>
    </row>
    <row r="557" spans="1:25">
      <c r="A557" s="1544"/>
      <c r="B557" s="1544"/>
      <c r="C557" s="1544"/>
      <c r="D557" s="1544"/>
      <c r="E557" s="1544"/>
      <c r="R557" s="1545"/>
      <c r="S557" s="1545"/>
      <c r="T557" s="1545"/>
      <c r="U557" s="1545"/>
      <c r="V557" s="1545"/>
      <c r="W557" s="1545"/>
      <c r="X557" s="1545"/>
      <c r="Y557" s="1545"/>
    </row>
    <row r="558" spans="1:25">
      <c r="A558" s="1544"/>
      <c r="B558" s="1544"/>
      <c r="C558" s="1544"/>
      <c r="D558" s="1544"/>
      <c r="E558" s="1544"/>
      <c r="R558" s="1545"/>
      <c r="S558" s="1545"/>
      <c r="T558" s="1545"/>
      <c r="U558" s="1545"/>
      <c r="V558" s="1545"/>
      <c r="W558" s="1545"/>
      <c r="X558" s="1545"/>
      <c r="Y558" s="1545"/>
    </row>
    <row r="559" spans="1:25">
      <c r="A559" s="1544"/>
      <c r="B559" s="1544"/>
      <c r="C559" s="1544"/>
      <c r="D559" s="1544"/>
      <c r="E559" s="1544"/>
      <c r="R559" s="1545"/>
      <c r="S559" s="1545"/>
      <c r="T559" s="1545"/>
      <c r="U559" s="1545"/>
      <c r="V559" s="1545"/>
      <c r="W559" s="1545"/>
      <c r="X559" s="1545"/>
      <c r="Y559" s="1545"/>
    </row>
    <row r="560" spans="1:25">
      <c r="A560" s="1544"/>
      <c r="B560" s="1544"/>
      <c r="C560" s="1544"/>
      <c r="D560" s="1544"/>
      <c r="E560" s="1544"/>
      <c r="R560" s="1545"/>
      <c r="S560" s="1545"/>
      <c r="T560" s="1545"/>
      <c r="U560" s="1545"/>
      <c r="V560" s="1545"/>
      <c r="W560" s="1545"/>
      <c r="X560" s="1545"/>
      <c r="Y560" s="1545"/>
    </row>
    <row r="561" spans="1:25">
      <c r="A561" s="1544"/>
      <c r="B561" s="1544"/>
      <c r="C561" s="1544"/>
      <c r="D561" s="1544"/>
      <c r="E561" s="1544"/>
      <c r="R561" s="1545"/>
      <c r="S561" s="1545"/>
      <c r="T561" s="1545"/>
      <c r="U561" s="1545"/>
      <c r="V561" s="1545"/>
      <c r="W561" s="1545"/>
      <c r="X561" s="1545"/>
      <c r="Y561" s="1545"/>
    </row>
    <row r="562" spans="1:25">
      <c r="A562" s="1544"/>
      <c r="B562" s="1544"/>
      <c r="C562" s="1544"/>
      <c r="D562" s="1544"/>
      <c r="E562" s="1544"/>
      <c r="R562" s="1545"/>
      <c r="S562" s="1545"/>
      <c r="T562" s="1545"/>
      <c r="U562" s="1545"/>
      <c r="V562" s="1545"/>
      <c r="W562" s="1545"/>
      <c r="X562" s="1545"/>
      <c r="Y562" s="1545"/>
    </row>
    <row r="563" spans="1:25">
      <c r="A563" s="1544"/>
      <c r="B563" s="1544"/>
      <c r="C563" s="1544"/>
      <c r="D563" s="1544"/>
      <c r="E563" s="1544"/>
      <c r="R563" s="1545"/>
      <c r="S563" s="1545"/>
      <c r="T563" s="1545"/>
      <c r="U563" s="1545"/>
      <c r="V563" s="1545"/>
      <c r="W563" s="1545"/>
      <c r="X563" s="1545"/>
      <c r="Y563" s="1545"/>
    </row>
    <row r="564" spans="1:25">
      <c r="A564" s="1544"/>
      <c r="B564" s="1544"/>
      <c r="C564" s="1544"/>
      <c r="D564" s="1544"/>
      <c r="E564" s="1544"/>
      <c r="R564" s="1545"/>
      <c r="S564" s="1545"/>
      <c r="T564" s="1545"/>
      <c r="U564" s="1545"/>
      <c r="V564" s="1545"/>
      <c r="W564" s="1545"/>
      <c r="X564" s="1545"/>
      <c r="Y564" s="1545"/>
    </row>
    <row r="565" spans="1:25">
      <c r="A565" s="1544"/>
      <c r="B565" s="1544"/>
      <c r="C565" s="1544"/>
      <c r="D565" s="1544"/>
      <c r="E565" s="1544"/>
      <c r="R565" s="1545"/>
      <c r="S565" s="1545"/>
      <c r="T565" s="1545"/>
      <c r="U565" s="1545"/>
      <c r="V565" s="1545"/>
      <c r="W565" s="1545"/>
      <c r="X565" s="1545"/>
      <c r="Y565" s="1545"/>
    </row>
    <row r="566" spans="1:25">
      <c r="A566" s="1544"/>
      <c r="B566" s="1544"/>
      <c r="C566" s="1544"/>
      <c r="D566" s="1544"/>
      <c r="E566" s="1544"/>
      <c r="R566" s="1545"/>
      <c r="S566" s="1545"/>
      <c r="T566" s="1545"/>
      <c r="U566" s="1545"/>
      <c r="V566" s="1545"/>
      <c r="W566" s="1545"/>
      <c r="X566" s="1545"/>
      <c r="Y566" s="1545"/>
    </row>
    <row r="567" spans="1:25">
      <c r="A567" s="1544"/>
      <c r="B567" s="1544"/>
      <c r="C567" s="1544"/>
      <c r="D567" s="1544"/>
      <c r="E567" s="1544"/>
      <c r="R567" s="1545"/>
      <c r="S567" s="1545"/>
      <c r="T567" s="1545"/>
      <c r="U567" s="1545"/>
      <c r="V567" s="1545"/>
      <c r="W567" s="1545"/>
      <c r="X567" s="1545"/>
      <c r="Y567" s="1545"/>
    </row>
    <row r="568" spans="1:25">
      <c r="A568" s="1544"/>
      <c r="B568" s="1544"/>
      <c r="C568" s="1544"/>
      <c r="D568" s="1544"/>
      <c r="E568" s="1544"/>
      <c r="R568" s="1545"/>
      <c r="S568" s="1545"/>
      <c r="T568" s="1545"/>
      <c r="U568" s="1545"/>
      <c r="V568" s="1545"/>
      <c r="W568" s="1545"/>
      <c r="X568" s="1545"/>
      <c r="Y568" s="1545"/>
    </row>
    <row r="569" spans="1:25">
      <c r="A569" s="1544"/>
      <c r="B569" s="1544"/>
      <c r="C569" s="1544"/>
      <c r="D569" s="1544"/>
      <c r="E569" s="1544"/>
      <c r="R569" s="1545"/>
      <c r="S569" s="1545"/>
      <c r="T569" s="1545"/>
      <c r="U569" s="1545"/>
      <c r="V569" s="1545"/>
      <c r="W569" s="1545"/>
      <c r="X569" s="1545"/>
      <c r="Y569" s="1545"/>
    </row>
    <row r="570" spans="1:25">
      <c r="A570" s="1544"/>
      <c r="B570" s="1544"/>
      <c r="C570" s="1544"/>
      <c r="D570" s="1544"/>
      <c r="E570" s="1544"/>
      <c r="R570" s="1545"/>
      <c r="S570" s="1545"/>
      <c r="T570" s="1545"/>
      <c r="U570" s="1545"/>
      <c r="V570" s="1545"/>
      <c r="W570" s="1545"/>
      <c r="X570" s="1545"/>
      <c r="Y570" s="1545"/>
    </row>
    <row r="571" spans="1:25">
      <c r="A571" s="1544"/>
      <c r="B571" s="1544"/>
      <c r="C571" s="1544"/>
      <c r="D571" s="1544"/>
      <c r="E571" s="1544"/>
      <c r="R571" s="1545"/>
      <c r="S571" s="1545"/>
      <c r="T571" s="1545"/>
      <c r="U571" s="1545"/>
      <c r="V571" s="1545"/>
      <c r="W571" s="1545"/>
      <c r="X571" s="1545"/>
      <c r="Y571" s="1545"/>
    </row>
    <row r="572" spans="1:25">
      <c r="A572" s="1544"/>
      <c r="B572" s="1544"/>
      <c r="C572" s="1544"/>
      <c r="D572" s="1544"/>
      <c r="E572" s="1544"/>
      <c r="R572" s="1545"/>
      <c r="S572" s="1545"/>
      <c r="T572" s="1545"/>
      <c r="U572" s="1545"/>
      <c r="V572" s="1545"/>
      <c r="W572" s="1545"/>
      <c r="X572" s="1545"/>
      <c r="Y572" s="1545"/>
    </row>
    <row r="573" spans="1:25">
      <c r="A573" s="1544"/>
      <c r="B573" s="1544"/>
      <c r="C573" s="1544"/>
      <c r="D573" s="1544"/>
      <c r="E573" s="1544"/>
      <c r="R573" s="1545"/>
      <c r="S573" s="1545"/>
      <c r="T573" s="1545"/>
      <c r="U573" s="1545"/>
      <c r="V573" s="1545"/>
      <c r="W573" s="1545"/>
      <c r="X573" s="1545"/>
      <c r="Y573" s="1545"/>
    </row>
    <row r="574" spans="1:25">
      <c r="A574" s="1544"/>
      <c r="B574" s="1544"/>
      <c r="C574" s="1544"/>
      <c r="D574" s="1544"/>
      <c r="E574" s="1544"/>
      <c r="R574" s="1545"/>
      <c r="S574" s="1545"/>
      <c r="T574" s="1545"/>
      <c r="U574" s="1545"/>
      <c r="V574" s="1545"/>
      <c r="W574" s="1545"/>
      <c r="X574" s="1545"/>
      <c r="Y574" s="1545"/>
    </row>
    <row r="575" spans="1:25">
      <c r="A575" s="1544"/>
      <c r="B575" s="1544"/>
      <c r="C575" s="1544"/>
      <c r="D575" s="1544"/>
      <c r="E575" s="1544"/>
      <c r="R575" s="1545"/>
      <c r="S575" s="1545"/>
      <c r="T575" s="1545"/>
      <c r="U575" s="1545"/>
      <c r="V575" s="1545"/>
      <c r="W575" s="1545"/>
      <c r="X575" s="1545"/>
      <c r="Y575" s="1545"/>
    </row>
    <row r="576" spans="1:25">
      <c r="A576" s="1544"/>
      <c r="B576" s="1544"/>
      <c r="C576" s="1544"/>
      <c r="D576" s="1544"/>
      <c r="E576" s="1544"/>
      <c r="R576" s="1545"/>
      <c r="S576" s="1545"/>
      <c r="T576" s="1545"/>
      <c r="U576" s="1545"/>
      <c r="V576" s="1545"/>
      <c r="W576" s="1545"/>
      <c r="X576" s="1545"/>
      <c r="Y576" s="1545"/>
    </row>
    <row r="577" spans="1:25">
      <c r="A577" s="1544"/>
      <c r="B577" s="1544"/>
      <c r="C577" s="1544"/>
      <c r="D577" s="1544"/>
      <c r="E577" s="1544"/>
      <c r="R577" s="1545"/>
      <c r="S577" s="1545"/>
      <c r="T577" s="1545"/>
      <c r="U577" s="1545"/>
      <c r="V577" s="1545"/>
      <c r="W577" s="1545"/>
      <c r="X577" s="1545"/>
      <c r="Y577" s="1545"/>
    </row>
    <row r="578" spans="1:25">
      <c r="A578" s="1544"/>
      <c r="B578" s="1544"/>
      <c r="C578" s="1544"/>
      <c r="D578" s="1544"/>
      <c r="E578" s="1544"/>
      <c r="R578" s="1545"/>
      <c r="S578" s="1545"/>
      <c r="T578" s="1545"/>
      <c r="U578" s="1545"/>
      <c r="V578" s="1545"/>
      <c r="W578" s="1545"/>
      <c r="X578" s="1545"/>
      <c r="Y578" s="1545"/>
    </row>
    <row r="579" spans="1:25">
      <c r="A579" s="1544"/>
      <c r="B579" s="1544"/>
      <c r="C579" s="1544"/>
      <c r="D579" s="1544"/>
      <c r="E579" s="1544"/>
      <c r="R579" s="1545"/>
      <c r="S579" s="1545"/>
      <c r="T579" s="1545"/>
      <c r="U579" s="1545"/>
      <c r="V579" s="1545"/>
      <c r="W579" s="1545"/>
      <c r="X579" s="1545"/>
      <c r="Y579" s="1545"/>
    </row>
    <row r="580" spans="1:25">
      <c r="A580" s="1544"/>
      <c r="B580" s="1544"/>
      <c r="C580" s="1544"/>
      <c r="D580" s="1544"/>
      <c r="E580" s="1544"/>
      <c r="R580" s="1545"/>
      <c r="S580" s="1545"/>
      <c r="T580" s="1545"/>
      <c r="U580" s="1545"/>
      <c r="V580" s="1545"/>
      <c r="W580" s="1545"/>
      <c r="X580" s="1545"/>
      <c r="Y580" s="1545"/>
    </row>
    <row r="581" spans="1:25">
      <c r="A581" s="1544"/>
      <c r="B581" s="1544"/>
      <c r="C581" s="1544"/>
      <c r="D581" s="1544"/>
      <c r="E581" s="1544"/>
      <c r="R581" s="1545"/>
      <c r="S581" s="1545"/>
      <c r="T581" s="1545"/>
      <c r="U581" s="1545"/>
      <c r="V581" s="1545"/>
      <c r="W581" s="1545"/>
      <c r="X581" s="1545"/>
      <c r="Y581" s="1545"/>
    </row>
    <row r="582" spans="1:25">
      <c r="A582" s="1544"/>
      <c r="B582" s="1544"/>
      <c r="C582" s="1544"/>
      <c r="D582" s="1544"/>
      <c r="E582" s="1544"/>
      <c r="R582" s="1545"/>
      <c r="S582" s="1545"/>
      <c r="T582" s="1545"/>
      <c r="U582" s="1545"/>
      <c r="V582" s="1545"/>
      <c r="W582" s="1545"/>
      <c r="X582" s="1545"/>
      <c r="Y582" s="1545"/>
    </row>
    <row r="583" spans="1:25">
      <c r="A583" s="1544"/>
      <c r="B583" s="1544"/>
      <c r="C583" s="1544"/>
      <c r="D583" s="1544"/>
      <c r="E583" s="1544"/>
      <c r="R583" s="1545"/>
      <c r="S583" s="1545"/>
      <c r="T583" s="1545"/>
      <c r="U583" s="1545"/>
      <c r="V583" s="1545"/>
      <c r="W583" s="1545"/>
      <c r="X583" s="1545"/>
      <c r="Y583" s="1545"/>
    </row>
    <row r="584" spans="1:25">
      <c r="A584" s="1544"/>
      <c r="B584" s="1544"/>
      <c r="C584" s="1544"/>
      <c r="D584" s="1544"/>
      <c r="E584" s="1544"/>
      <c r="R584" s="1545"/>
      <c r="S584" s="1545"/>
      <c r="T584" s="1545"/>
      <c r="U584" s="1545"/>
      <c r="V584" s="1545"/>
      <c r="W584" s="1545"/>
      <c r="X584" s="1545"/>
      <c r="Y584" s="1545"/>
    </row>
    <row r="585" spans="1:25">
      <c r="A585" s="1544"/>
      <c r="B585" s="1544"/>
      <c r="C585" s="1544"/>
      <c r="D585" s="1544"/>
      <c r="E585" s="1544"/>
      <c r="R585" s="1545"/>
      <c r="S585" s="1545"/>
      <c r="T585" s="1545"/>
      <c r="U585" s="1545"/>
      <c r="V585" s="1545"/>
      <c r="W585" s="1545"/>
      <c r="X585" s="1545"/>
      <c r="Y585" s="1545"/>
    </row>
    <row r="586" spans="1:25">
      <c r="A586" s="1544"/>
      <c r="B586" s="1544"/>
      <c r="C586" s="1544"/>
      <c r="D586" s="1544"/>
      <c r="E586" s="1544"/>
      <c r="R586" s="1545"/>
      <c r="S586" s="1545"/>
      <c r="T586" s="1545"/>
      <c r="U586" s="1545"/>
      <c r="V586" s="1545"/>
      <c r="W586" s="1545"/>
      <c r="X586" s="1545"/>
      <c r="Y586" s="1545"/>
    </row>
    <row r="587" spans="1:25">
      <c r="A587" s="1544"/>
      <c r="B587" s="1544"/>
      <c r="C587" s="1544"/>
      <c r="D587" s="1544"/>
      <c r="E587" s="1544"/>
      <c r="R587" s="1545"/>
      <c r="S587" s="1545"/>
      <c r="T587" s="1545"/>
      <c r="U587" s="1545"/>
      <c r="V587" s="1545"/>
      <c r="W587" s="1545"/>
      <c r="X587" s="1545"/>
      <c r="Y587" s="1545"/>
    </row>
    <row r="588" spans="1:25">
      <c r="A588" s="1544"/>
      <c r="B588" s="1544"/>
      <c r="C588" s="1544"/>
      <c r="D588" s="1544"/>
      <c r="E588" s="1544"/>
      <c r="R588" s="1545"/>
      <c r="S588" s="1545"/>
      <c r="T588" s="1545"/>
      <c r="U588" s="1545"/>
      <c r="V588" s="1545"/>
      <c r="W588" s="1545"/>
      <c r="X588" s="1545"/>
      <c r="Y588" s="1545"/>
    </row>
    <row r="589" spans="1:25">
      <c r="A589" s="1544"/>
      <c r="B589" s="1544"/>
      <c r="C589" s="1544"/>
      <c r="D589" s="1544"/>
      <c r="E589" s="1544"/>
      <c r="R589" s="1545"/>
      <c r="S589" s="1545"/>
      <c r="T589" s="1545"/>
      <c r="U589" s="1545"/>
      <c r="V589" s="1545"/>
      <c r="W589" s="1545"/>
      <c r="X589" s="1545"/>
      <c r="Y589" s="1545"/>
    </row>
    <row r="590" spans="1:25">
      <c r="A590" s="1544"/>
      <c r="B590" s="1544"/>
      <c r="C590" s="1544"/>
      <c r="D590" s="1544"/>
      <c r="E590" s="1544"/>
      <c r="R590" s="1545"/>
      <c r="S590" s="1545"/>
      <c r="T590" s="1545"/>
      <c r="U590" s="1545"/>
      <c r="V590" s="1545"/>
      <c r="W590" s="1545"/>
      <c r="X590" s="1545"/>
      <c r="Y590" s="1545"/>
    </row>
    <row r="591" spans="1:25">
      <c r="A591" s="1544"/>
      <c r="B591" s="1544"/>
      <c r="C591" s="1544"/>
      <c r="D591" s="1544"/>
      <c r="E591" s="1544"/>
      <c r="R591" s="1545"/>
      <c r="S591" s="1545"/>
      <c r="T591" s="1545"/>
      <c r="U591" s="1545"/>
      <c r="V591" s="1545"/>
      <c r="W591" s="1545"/>
      <c r="X591" s="1545"/>
      <c r="Y591" s="1545"/>
    </row>
    <row r="592" spans="1:25">
      <c r="A592" s="1544"/>
      <c r="B592" s="1544"/>
      <c r="C592" s="1544"/>
      <c r="D592" s="1544"/>
      <c r="E592" s="1544"/>
      <c r="R592" s="1545"/>
      <c r="S592" s="1545"/>
      <c r="T592" s="1545"/>
      <c r="U592" s="1545"/>
      <c r="V592" s="1545"/>
      <c r="W592" s="1545"/>
      <c r="X592" s="1545"/>
      <c r="Y592" s="1545"/>
    </row>
    <row r="593" spans="1:25">
      <c r="A593" s="1544"/>
      <c r="B593" s="1544"/>
      <c r="C593" s="1544"/>
      <c r="D593" s="1544"/>
      <c r="E593" s="1544"/>
      <c r="R593" s="1545"/>
      <c r="S593" s="1545"/>
      <c r="T593" s="1545"/>
      <c r="U593" s="1545"/>
      <c r="V593" s="1545"/>
      <c r="W593" s="1545"/>
      <c r="X593" s="1545"/>
      <c r="Y593" s="1545"/>
    </row>
    <row r="594" spans="1:25">
      <c r="A594" s="1544"/>
      <c r="B594" s="1544"/>
      <c r="C594" s="1544"/>
      <c r="D594" s="1544"/>
      <c r="E594" s="1544"/>
      <c r="R594" s="1545"/>
      <c r="S594" s="1545"/>
      <c r="T594" s="1545"/>
      <c r="U594" s="1545"/>
      <c r="V594" s="1545"/>
      <c r="W594" s="1545"/>
      <c r="X594" s="1545"/>
      <c r="Y594" s="1545"/>
    </row>
    <row r="595" spans="1:25">
      <c r="A595" s="1544"/>
      <c r="B595" s="1544"/>
      <c r="C595" s="1544"/>
      <c r="D595" s="1544"/>
      <c r="E595" s="1544"/>
      <c r="R595" s="1545"/>
      <c r="S595" s="1545"/>
      <c r="T595" s="1545"/>
      <c r="U595" s="1545"/>
      <c r="V595" s="1545"/>
      <c r="W595" s="1545"/>
      <c r="X595" s="1545"/>
      <c r="Y595" s="1545"/>
    </row>
    <row r="596" spans="1:25">
      <c r="A596" s="1544"/>
      <c r="B596" s="1544"/>
      <c r="C596" s="1544"/>
      <c r="D596" s="1544"/>
      <c r="E596" s="1544"/>
      <c r="R596" s="1545"/>
      <c r="S596" s="1545"/>
      <c r="T596" s="1545"/>
      <c r="U596" s="1545"/>
      <c r="V596" s="1545"/>
      <c r="W596" s="1545"/>
      <c r="X596" s="1545"/>
      <c r="Y596" s="1545"/>
    </row>
    <row r="597" spans="1:25">
      <c r="A597" s="1544"/>
      <c r="B597" s="1544"/>
      <c r="C597" s="1544"/>
      <c r="D597" s="1544"/>
      <c r="E597" s="1544"/>
      <c r="R597" s="1545"/>
      <c r="S597" s="1545"/>
      <c r="T597" s="1545"/>
      <c r="U597" s="1545"/>
      <c r="V597" s="1545"/>
      <c r="W597" s="1545"/>
      <c r="X597" s="1545"/>
      <c r="Y597" s="1545"/>
    </row>
    <row r="598" spans="1:25">
      <c r="A598" s="1544"/>
      <c r="B598" s="1544"/>
      <c r="C598" s="1544"/>
      <c r="D598" s="1544"/>
      <c r="E598" s="1544"/>
      <c r="R598" s="1545"/>
      <c r="S598" s="1545"/>
      <c r="T598" s="1545"/>
      <c r="U598" s="1545"/>
      <c r="V598" s="1545"/>
      <c r="W598" s="1545"/>
      <c r="X598" s="1545"/>
      <c r="Y598" s="1545"/>
    </row>
    <row r="599" spans="1:25">
      <c r="A599" s="1544"/>
      <c r="B599" s="1544"/>
      <c r="C599" s="1544"/>
      <c r="D599" s="1544"/>
      <c r="E599" s="1544"/>
      <c r="R599" s="1545"/>
      <c r="S599" s="1545"/>
      <c r="T599" s="1545"/>
      <c r="U599" s="1545"/>
      <c r="V599" s="1545"/>
      <c r="W599" s="1545"/>
      <c r="X599" s="1545"/>
      <c r="Y599" s="1545"/>
    </row>
    <row r="600" spans="1:25">
      <c r="A600" s="1544"/>
      <c r="B600" s="1544"/>
      <c r="C600" s="1544"/>
      <c r="D600" s="1544"/>
      <c r="E600" s="1544"/>
      <c r="R600" s="1545"/>
      <c r="S600" s="1545"/>
      <c r="T600" s="1545"/>
      <c r="U600" s="1545"/>
      <c r="V600" s="1545"/>
      <c r="W600" s="1545"/>
      <c r="X600" s="1545"/>
      <c r="Y600" s="1545"/>
    </row>
    <row r="601" spans="1:25">
      <c r="A601" s="1544"/>
      <c r="B601" s="1544"/>
      <c r="C601" s="1544"/>
      <c r="D601" s="1544"/>
      <c r="E601" s="1544"/>
      <c r="R601" s="1545"/>
      <c r="S601" s="1545"/>
      <c r="T601" s="1545"/>
      <c r="U601" s="1545"/>
      <c r="V601" s="1545"/>
      <c r="W601" s="1545"/>
      <c r="X601" s="1545"/>
      <c r="Y601" s="1545"/>
    </row>
    <row r="602" spans="1:25">
      <c r="A602" s="1544"/>
      <c r="B602" s="1544"/>
      <c r="C602" s="1544"/>
      <c r="D602" s="1544"/>
      <c r="E602" s="1544"/>
      <c r="R602" s="1545"/>
      <c r="S602" s="1545"/>
      <c r="T602" s="1545"/>
      <c r="U602" s="1545"/>
      <c r="V602" s="1545"/>
      <c r="W602" s="1545"/>
      <c r="X602" s="1545"/>
      <c r="Y602" s="1545"/>
    </row>
    <row r="603" spans="1:25">
      <c r="A603" s="1544"/>
      <c r="B603" s="1544"/>
      <c r="C603" s="1544"/>
      <c r="D603" s="1544"/>
      <c r="E603" s="1544"/>
      <c r="R603" s="1545"/>
      <c r="S603" s="1545"/>
      <c r="T603" s="1545"/>
      <c r="U603" s="1545"/>
      <c r="V603" s="1545"/>
      <c r="W603" s="1545"/>
      <c r="X603" s="1545"/>
      <c r="Y603" s="1545"/>
    </row>
    <row r="604" spans="1:25">
      <c r="A604" s="1544"/>
      <c r="B604" s="1544"/>
      <c r="C604" s="1544"/>
      <c r="D604" s="1544"/>
      <c r="E604" s="1544"/>
      <c r="R604" s="1545"/>
      <c r="S604" s="1545"/>
      <c r="T604" s="1545"/>
      <c r="U604" s="1545"/>
      <c r="V604" s="1545"/>
      <c r="W604" s="1545"/>
      <c r="X604" s="1545"/>
      <c r="Y604" s="1545"/>
    </row>
    <row r="605" spans="1:25">
      <c r="A605" s="1544"/>
      <c r="B605" s="1544"/>
      <c r="C605" s="1544"/>
      <c r="D605" s="1544"/>
      <c r="E605" s="1544"/>
      <c r="R605" s="1545"/>
      <c r="S605" s="1545"/>
      <c r="T605" s="1545"/>
      <c r="U605" s="1545"/>
      <c r="V605" s="1545"/>
      <c r="W605" s="1545"/>
      <c r="X605" s="1545"/>
      <c r="Y605" s="1545"/>
    </row>
    <row r="606" spans="1:25">
      <c r="A606" s="1544"/>
      <c r="B606" s="1544"/>
      <c r="C606" s="1544"/>
      <c r="D606" s="1544"/>
      <c r="E606" s="1544"/>
      <c r="R606" s="1545"/>
      <c r="S606" s="1545"/>
      <c r="T606" s="1545"/>
      <c r="U606" s="1545"/>
      <c r="V606" s="1545"/>
      <c r="W606" s="1545"/>
      <c r="X606" s="1545"/>
      <c r="Y606" s="1545"/>
    </row>
    <row r="607" spans="1:25">
      <c r="A607" s="1544"/>
      <c r="B607" s="1544"/>
      <c r="C607" s="1544"/>
      <c r="D607" s="1544"/>
      <c r="E607" s="1544"/>
      <c r="R607" s="1545"/>
      <c r="S607" s="1545"/>
      <c r="T607" s="1545"/>
      <c r="U607" s="1545"/>
      <c r="V607" s="1545"/>
      <c r="W607" s="1545"/>
      <c r="X607" s="1545"/>
      <c r="Y607" s="1545"/>
    </row>
    <row r="608" spans="1:25">
      <c r="A608" s="1544"/>
      <c r="B608" s="1544"/>
      <c r="C608" s="1544"/>
      <c r="D608" s="1544"/>
      <c r="E608" s="1544"/>
      <c r="R608" s="1545"/>
      <c r="S608" s="1545"/>
      <c r="T608" s="1545"/>
      <c r="U608" s="1545"/>
      <c r="V608" s="1545"/>
      <c r="W608" s="1545"/>
      <c r="X608" s="1545"/>
      <c r="Y608" s="1545"/>
    </row>
    <row r="609" spans="1:25">
      <c r="A609" s="1544"/>
      <c r="B609" s="1544"/>
      <c r="C609" s="1544"/>
      <c r="D609" s="1544"/>
      <c r="E609" s="1544"/>
      <c r="R609" s="1545"/>
      <c r="S609" s="1545"/>
      <c r="T609" s="1545"/>
      <c r="U609" s="1545"/>
      <c r="V609" s="1545"/>
      <c r="W609" s="1545"/>
      <c r="X609" s="1545"/>
      <c r="Y609" s="1545"/>
    </row>
    <row r="610" spans="1:25">
      <c r="A610" s="1544"/>
      <c r="B610" s="1544"/>
      <c r="C610" s="1544"/>
      <c r="D610" s="1544"/>
      <c r="E610" s="1544"/>
      <c r="R610" s="1545"/>
      <c r="S610" s="1545"/>
      <c r="T610" s="1545"/>
      <c r="U610" s="1545"/>
      <c r="V610" s="1545"/>
      <c r="W610" s="1545"/>
      <c r="X610" s="1545"/>
      <c r="Y610" s="1545"/>
    </row>
    <row r="611" spans="1:25">
      <c r="A611" s="1544"/>
      <c r="B611" s="1544"/>
      <c r="C611" s="1544"/>
      <c r="D611" s="1544"/>
      <c r="E611" s="1544"/>
      <c r="R611" s="1545"/>
      <c r="S611" s="1545"/>
      <c r="T611" s="1545"/>
      <c r="U611" s="1545"/>
      <c r="V611" s="1545"/>
      <c r="W611" s="1545"/>
      <c r="X611" s="1545"/>
      <c r="Y611" s="1545"/>
    </row>
    <row r="612" spans="1:25">
      <c r="A612" s="1544"/>
      <c r="B612" s="1544"/>
      <c r="C612" s="1544"/>
      <c r="D612" s="1544"/>
      <c r="E612" s="1544"/>
      <c r="R612" s="1545"/>
      <c r="S612" s="1545"/>
      <c r="T612" s="1545"/>
      <c r="U612" s="1545"/>
      <c r="V612" s="1545"/>
      <c r="W612" s="1545"/>
      <c r="X612" s="1545"/>
      <c r="Y612" s="1545"/>
    </row>
    <row r="613" spans="1:25">
      <c r="A613" s="1544"/>
      <c r="B613" s="1544"/>
      <c r="C613" s="1544"/>
      <c r="D613" s="1544"/>
      <c r="E613" s="1544"/>
      <c r="R613" s="1545"/>
      <c r="S613" s="1545"/>
      <c r="T613" s="1545"/>
      <c r="U613" s="1545"/>
      <c r="V613" s="1545"/>
      <c r="W613" s="1545"/>
      <c r="X613" s="1545"/>
      <c r="Y613" s="1545"/>
    </row>
    <row r="614" spans="1:25">
      <c r="A614" s="1544"/>
      <c r="B614" s="1544"/>
      <c r="C614" s="1544"/>
      <c r="D614" s="1544"/>
      <c r="E614" s="1544"/>
      <c r="R614" s="1545"/>
      <c r="S614" s="1545"/>
      <c r="T614" s="1545"/>
      <c r="U614" s="1545"/>
      <c r="V614" s="1545"/>
      <c r="W614" s="1545"/>
      <c r="X614" s="1545"/>
      <c r="Y614" s="1545"/>
    </row>
    <row r="615" spans="1:25">
      <c r="A615" s="1544"/>
      <c r="B615" s="1544"/>
      <c r="C615" s="1544"/>
      <c r="D615" s="1544"/>
      <c r="E615" s="1544"/>
      <c r="R615" s="1545"/>
      <c r="S615" s="1545"/>
      <c r="T615" s="1545"/>
      <c r="U615" s="1545"/>
      <c r="V615" s="1545"/>
      <c r="W615" s="1545"/>
      <c r="X615" s="1545"/>
      <c r="Y615" s="1545"/>
    </row>
    <row r="616" spans="1:25">
      <c r="A616" s="1544"/>
      <c r="B616" s="1544"/>
      <c r="C616" s="1544"/>
      <c r="D616" s="1544"/>
      <c r="E616" s="1544"/>
      <c r="R616" s="1545"/>
      <c r="S616" s="1545"/>
      <c r="T616" s="1545"/>
      <c r="U616" s="1545"/>
      <c r="V616" s="1545"/>
      <c r="W616" s="1545"/>
      <c r="X616" s="1545"/>
      <c r="Y616" s="1545"/>
    </row>
    <row r="617" spans="1:25">
      <c r="A617" s="1544"/>
      <c r="B617" s="1544"/>
      <c r="C617" s="1544"/>
      <c r="D617" s="1544"/>
      <c r="E617" s="1544"/>
      <c r="R617" s="1545"/>
      <c r="S617" s="1545"/>
      <c r="T617" s="1545"/>
      <c r="U617" s="1545"/>
      <c r="V617" s="1545"/>
      <c r="W617" s="1545"/>
      <c r="X617" s="1545"/>
      <c r="Y617" s="1545"/>
    </row>
    <row r="618" spans="1:25">
      <c r="A618" s="1544"/>
      <c r="B618" s="1544"/>
      <c r="C618" s="1544"/>
      <c r="D618" s="1544"/>
      <c r="E618" s="1544"/>
      <c r="R618" s="1545"/>
      <c r="S618" s="1545"/>
      <c r="T618" s="1545"/>
      <c r="U618" s="1545"/>
      <c r="V618" s="1545"/>
      <c r="W618" s="1545"/>
      <c r="X618" s="1545"/>
      <c r="Y618" s="1545"/>
    </row>
    <row r="619" spans="1:25">
      <c r="A619" s="1544"/>
      <c r="B619" s="1544"/>
      <c r="C619" s="1544"/>
      <c r="D619" s="1544"/>
      <c r="E619" s="1544"/>
      <c r="R619" s="1545"/>
      <c r="S619" s="1545"/>
      <c r="T619" s="1545"/>
      <c r="U619" s="1545"/>
      <c r="V619" s="1545"/>
      <c r="W619" s="1545"/>
      <c r="X619" s="1545"/>
      <c r="Y619" s="1545"/>
    </row>
    <row r="620" spans="1:25">
      <c r="A620" s="1544"/>
      <c r="B620" s="1544"/>
      <c r="C620" s="1544"/>
      <c r="D620" s="1544"/>
      <c r="E620" s="1544"/>
      <c r="R620" s="1545"/>
      <c r="S620" s="1545"/>
      <c r="T620" s="1545"/>
      <c r="U620" s="1545"/>
      <c r="V620" s="1545"/>
      <c r="W620" s="1545"/>
      <c r="X620" s="1545"/>
      <c r="Y620" s="1545"/>
    </row>
    <row r="621" spans="1:25">
      <c r="A621" s="1544"/>
      <c r="B621" s="1544"/>
      <c r="C621" s="1544"/>
      <c r="D621" s="1544"/>
      <c r="E621" s="1544"/>
      <c r="R621" s="1545"/>
      <c r="S621" s="1545"/>
      <c r="T621" s="1545"/>
      <c r="U621" s="1545"/>
      <c r="V621" s="1545"/>
      <c r="W621" s="1545"/>
      <c r="X621" s="1545"/>
      <c r="Y621" s="1545"/>
    </row>
    <row r="622" spans="1:25">
      <c r="A622" s="1544"/>
      <c r="B622" s="1544"/>
      <c r="C622" s="1544"/>
      <c r="D622" s="1544"/>
      <c r="E622" s="1544"/>
      <c r="R622" s="1545"/>
      <c r="S622" s="1545"/>
      <c r="T622" s="1545"/>
      <c r="U622" s="1545"/>
      <c r="V622" s="1545"/>
      <c r="W622" s="1545"/>
      <c r="X622" s="1545"/>
      <c r="Y622" s="1545"/>
    </row>
    <row r="623" spans="1:25">
      <c r="A623" s="1544"/>
      <c r="B623" s="1544"/>
      <c r="C623" s="1544"/>
      <c r="D623" s="1544"/>
      <c r="E623" s="1544"/>
      <c r="R623" s="1545"/>
      <c r="S623" s="1545"/>
      <c r="T623" s="1545"/>
      <c r="U623" s="1545"/>
      <c r="V623" s="1545"/>
      <c r="W623" s="1545"/>
      <c r="X623" s="1545"/>
      <c r="Y623" s="1545"/>
    </row>
    <row r="624" spans="1:25">
      <c r="A624" s="1544"/>
      <c r="B624" s="1544"/>
      <c r="C624" s="1544"/>
      <c r="D624" s="1544"/>
      <c r="E624" s="1544"/>
      <c r="R624" s="1545"/>
      <c r="S624" s="1545"/>
      <c r="T624" s="1545"/>
      <c r="U624" s="1545"/>
      <c r="V624" s="1545"/>
      <c r="W624" s="1545"/>
      <c r="X624" s="1545"/>
      <c r="Y624" s="1545"/>
    </row>
    <row r="625" spans="1:25">
      <c r="A625" s="1544"/>
      <c r="B625" s="1544"/>
      <c r="C625" s="1544"/>
      <c r="D625" s="1544"/>
      <c r="E625" s="1544"/>
      <c r="R625" s="1545"/>
      <c r="S625" s="1545"/>
      <c r="T625" s="1545"/>
      <c r="U625" s="1545"/>
      <c r="V625" s="1545"/>
      <c r="W625" s="1545"/>
      <c r="X625" s="1545"/>
      <c r="Y625" s="1545"/>
    </row>
    <row r="626" spans="1:25">
      <c r="A626" s="1544"/>
      <c r="B626" s="1544"/>
      <c r="C626" s="1544"/>
      <c r="D626" s="1544"/>
      <c r="E626" s="1544"/>
      <c r="R626" s="1545"/>
      <c r="S626" s="1545"/>
      <c r="T626" s="1545"/>
      <c r="U626" s="1545"/>
      <c r="V626" s="1545"/>
      <c r="W626" s="1545"/>
      <c r="X626" s="1545"/>
      <c r="Y626" s="1545"/>
    </row>
    <row r="627" spans="1:25">
      <c r="A627" s="1544"/>
      <c r="B627" s="1544"/>
      <c r="C627" s="1544"/>
      <c r="D627" s="1544"/>
      <c r="E627" s="1544"/>
      <c r="R627" s="1545"/>
      <c r="S627" s="1545"/>
      <c r="T627" s="1545"/>
      <c r="U627" s="1545"/>
      <c r="V627" s="1545"/>
      <c r="W627" s="1545"/>
      <c r="X627" s="1545"/>
      <c r="Y627" s="1545"/>
    </row>
    <row r="628" spans="1:25">
      <c r="A628" s="1544"/>
      <c r="B628" s="1544"/>
      <c r="C628" s="1544"/>
      <c r="D628" s="1544"/>
      <c r="E628" s="1544"/>
      <c r="R628" s="1545"/>
      <c r="S628" s="1545"/>
      <c r="T628" s="1545"/>
      <c r="U628" s="1545"/>
      <c r="V628" s="1545"/>
      <c r="W628" s="1545"/>
      <c r="X628" s="1545"/>
      <c r="Y628" s="1545"/>
    </row>
    <row r="629" spans="1:25">
      <c r="A629" s="1544"/>
      <c r="B629" s="1544"/>
      <c r="C629" s="1544"/>
      <c r="D629" s="1544"/>
      <c r="E629" s="1544"/>
      <c r="R629" s="1545"/>
      <c r="S629" s="1545"/>
      <c r="T629" s="1545"/>
      <c r="U629" s="1545"/>
      <c r="V629" s="1545"/>
      <c r="W629" s="1545"/>
      <c r="X629" s="1545"/>
      <c r="Y629" s="1545"/>
    </row>
    <row r="630" spans="1:25">
      <c r="A630" s="1544"/>
      <c r="B630" s="1544"/>
      <c r="C630" s="1544"/>
      <c r="D630" s="1544"/>
      <c r="E630" s="1544"/>
      <c r="R630" s="1545"/>
      <c r="S630" s="1545"/>
      <c r="T630" s="1545"/>
      <c r="U630" s="1545"/>
      <c r="V630" s="1545"/>
      <c r="W630" s="1545"/>
      <c r="X630" s="1545"/>
      <c r="Y630" s="1545"/>
    </row>
    <row r="631" spans="1:25">
      <c r="A631" s="1544"/>
      <c r="B631" s="1544"/>
      <c r="C631" s="1544"/>
      <c r="D631" s="1544"/>
      <c r="E631" s="1544"/>
      <c r="R631" s="1545"/>
      <c r="S631" s="1545"/>
      <c r="T631" s="1545"/>
      <c r="U631" s="1545"/>
      <c r="V631" s="1545"/>
      <c r="W631" s="1545"/>
      <c r="X631" s="1545"/>
      <c r="Y631" s="1545"/>
    </row>
    <row r="632" spans="1:25">
      <c r="A632" s="1544"/>
      <c r="B632" s="1544"/>
      <c r="C632" s="1544"/>
      <c r="D632" s="1544"/>
      <c r="E632" s="1544"/>
      <c r="R632" s="1545"/>
      <c r="S632" s="1545"/>
      <c r="T632" s="1545"/>
      <c r="U632" s="1545"/>
      <c r="V632" s="1545"/>
      <c r="W632" s="1545"/>
      <c r="X632" s="1545"/>
      <c r="Y632" s="1545"/>
    </row>
    <row r="633" spans="1:25">
      <c r="A633" s="1544"/>
      <c r="B633" s="1544"/>
      <c r="C633" s="1544"/>
      <c r="D633" s="1544"/>
      <c r="E633" s="1544"/>
      <c r="R633" s="1545"/>
      <c r="S633" s="1545"/>
      <c r="T633" s="1545"/>
      <c r="U633" s="1545"/>
      <c r="V633" s="1545"/>
      <c r="W633" s="1545"/>
      <c r="X633" s="1545"/>
      <c r="Y633" s="1545"/>
    </row>
    <row r="634" spans="1:25">
      <c r="A634" s="1544"/>
      <c r="B634" s="1544"/>
      <c r="C634" s="1544"/>
      <c r="D634" s="1544"/>
      <c r="E634" s="1544"/>
      <c r="R634" s="1545"/>
      <c r="S634" s="1545"/>
      <c r="T634" s="1545"/>
      <c r="U634" s="1545"/>
      <c r="V634" s="1545"/>
      <c r="W634" s="1545"/>
      <c r="X634" s="1545"/>
      <c r="Y634" s="1545"/>
    </row>
    <row r="635" spans="1:25">
      <c r="A635" s="1544"/>
      <c r="B635" s="1544"/>
      <c r="C635" s="1544"/>
      <c r="D635" s="1544"/>
      <c r="E635" s="1544"/>
      <c r="R635" s="1545"/>
      <c r="S635" s="1545"/>
      <c r="T635" s="1545"/>
      <c r="U635" s="1545"/>
      <c r="V635" s="1545"/>
      <c r="W635" s="1545"/>
      <c r="X635" s="1545"/>
      <c r="Y635" s="1545"/>
    </row>
    <row r="636" spans="1:25">
      <c r="A636" s="1544"/>
      <c r="B636" s="1544"/>
      <c r="C636" s="1544"/>
      <c r="D636" s="1544"/>
      <c r="E636" s="1544"/>
      <c r="R636" s="1545"/>
      <c r="S636" s="1545"/>
      <c r="T636" s="1545"/>
      <c r="U636" s="1545"/>
      <c r="V636" s="1545"/>
      <c r="W636" s="1545"/>
      <c r="X636" s="1545"/>
      <c r="Y636" s="1545"/>
    </row>
    <row r="637" spans="1:25">
      <c r="A637" s="1544"/>
      <c r="B637" s="1544"/>
      <c r="C637" s="1544"/>
      <c r="D637" s="1544"/>
      <c r="E637" s="1544"/>
      <c r="R637" s="1545"/>
      <c r="S637" s="1545"/>
      <c r="T637" s="1545"/>
      <c r="U637" s="1545"/>
      <c r="V637" s="1545"/>
      <c r="W637" s="1545"/>
      <c r="X637" s="1545"/>
      <c r="Y637" s="1545"/>
    </row>
    <row r="638" spans="1:25">
      <c r="A638" s="1544"/>
      <c r="B638" s="1544"/>
      <c r="C638" s="1544"/>
      <c r="D638" s="1544"/>
      <c r="E638" s="1544"/>
      <c r="R638" s="1545"/>
      <c r="S638" s="1545"/>
      <c r="T638" s="1545"/>
      <c r="U638" s="1545"/>
      <c r="V638" s="1545"/>
      <c r="W638" s="1545"/>
      <c r="X638" s="1545"/>
      <c r="Y638" s="1545"/>
    </row>
    <row r="639" spans="1:25">
      <c r="A639" s="1544"/>
      <c r="B639" s="1544"/>
      <c r="C639" s="1544"/>
      <c r="D639" s="1544"/>
      <c r="E639" s="1544"/>
      <c r="R639" s="1545"/>
      <c r="S639" s="1545"/>
      <c r="T639" s="1545"/>
      <c r="U639" s="1545"/>
      <c r="V639" s="1545"/>
      <c r="W639" s="1545"/>
      <c r="X639" s="1545"/>
      <c r="Y639" s="1545"/>
    </row>
    <row r="640" spans="1:25">
      <c r="A640" s="1544"/>
      <c r="B640" s="1544"/>
      <c r="C640" s="1544"/>
      <c r="D640" s="1544"/>
      <c r="E640" s="1544"/>
      <c r="R640" s="1545"/>
      <c r="S640" s="1545"/>
      <c r="T640" s="1545"/>
      <c r="U640" s="1545"/>
      <c r="V640" s="1545"/>
      <c r="W640" s="1545"/>
      <c r="X640" s="1545"/>
      <c r="Y640" s="1545"/>
    </row>
    <row r="641" spans="1:25">
      <c r="A641" s="1544"/>
      <c r="B641" s="1544"/>
      <c r="C641" s="1544"/>
      <c r="D641" s="1544"/>
      <c r="E641" s="1544"/>
      <c r="R641" s="1545"/>
      <c r="S641" s="1545"/>
      <c r="T641" s="1545"/>
      <c r="U641" s="1545"/>
      <c r="V641" s="1545"/>
      <c r="W641" s="1545"/>
      <c r="X641" s="1545"/>
      <c r="Y641" s="1545"/>
    </row>
    <row r="642" spans="1:25">
      <c r="A642" s="1544"/>
      <c r="B642" s="1544"/>
      <c r="C642" s="1544"/>
      <c r="D642" s="1544"/>
      <c r="E642" s="1544"/>
      <c r="R642" s="1545"/>
      <c r="S642" s="1545"/>
      <c r="T642" s="1545"/>
      <c r="U642" s="1545"/>
      <c r="V642" s="1545"/>
      <c r="W642" s="1545"/>
      <c r="X642" s="1545"/>
      <c r="Y642" s="1545"/>
    </row>
    <row r="643" spans="1:25">
      <c r="A643" s="1544"/>
      <c r="B643" s="1544"/>
      <c r="C643" s="1544"/>
      <c r="D643" s="1544"/>
      <c r="E643" s="1544"/>
      <c r="R643" s="1545"/>
      <c r="S643" s="1545"/>
      <c r="T643" s="1545"/>
      <c r="U643" s="1545"/>
      <c r="V643" s="1545"/>
      <c r="W643" s="1545"/>
      <c r="X643" s="1545"/>
      <c r="Y643" s="1545"/>
    </row>
    <row r="644" spans="1:25">
      <c r="A644" s="1544"/>
      <c r="B644" s="1544"/>
      <c r="C644" s="1544"/>
      <c r="D644" s="1544"/>
      <c r="E644" s="1544"/>
      <c r="R644" s="1545"/>
      <c r="S644" s="1545"/>
      <c r="T644" s="1545"/>
      <c r="U644" s="1545"/>
      <c r="V644" s="1545"/>
      <c r="W644" s="1545"/>
      <c r="X644" s="1545"/>
      <c r="Y644" s="1545"/>
    </row>
    <row r="645" spans="1:25">
      <c r="A645" s="1544"/>
      <c r="B645" s="1544"/>
      <c r="C645" s="1544"/>
      <c r="D645" s="1544"/>
      <c r="E645" s="1544"/>
      <c r="R645" s="1545"/>
      <c r="S645" s="1545"/>
      <c r="T645" s="1545"/>
      <c r="U645" s="1545"/>
      <c r="V645" s="1545"/>
      <c r="W645" s="1545"/>
      <c r="X645" s="1545"/>
      <c r="Y645" s="1545"/>
    </row>
    <row r="646" spans="1:25">
      <c r="A646" s="1544"/>
      <c r="B646" s="1544"/>
      <c r="C646" s="1544"/>
      <c r="D646" s="1544"/>
      <c r="E646" s="1544"/>
      <c r="R646" s="1545"/>
      <c r="S646" s="1545"/>
      <c r="T646" s="1545"/>
      <c r="U646" s="1545"/>
      <c r="V646" s="1545"/>
      <c r="W646" s="1545"/>
      <c r="X646" s="1545"/>
      <c r="Y646" s="1545"/>
    </row>
    <row r="647" spans="1:25">
      <c r="A647" s="1544"/>
      <c r="B647" s="1544"/>
      <c r="C647" s="1544"/>
      <c r="D647" s="1544"/>
      <c r="E647" s="1544"/>
      <c r="R647" s="1545"/>
      <c r="S647" s="1545"/>
      <c r="T647" s="1545"/>
      <c r="U647" s="1545"/>
      <c r="V647" s="1545"/>
      <c r="W647" s="1545"/>
      <c r="X647" s="1545"/>
      <c r="Y647" s="1545"/>
    </row>
    <row r="648" spans="1:25">
      <c r="A648" s="1544"/>
      <c r="B648" s="1544"/>
      <c r="C648" s="1544"/>
      <c r="D648" s="1544"/>
      <c r="E648" s="1544"/>
      <c r="R648" s="1545"/>
      <c r="S648" s="1545"/>
      <c r="T648" s="1545"/>
      <c r="U648" s="1545"/>
      <c r="V648" s="1545"/>
      <c r="W648" s="1545"/>
      <c r="X648" s="1545"/>
      <c r="Y648" s="1545"/>
    </row>
    <row r="649" spans="1:25">
      <c r="A649" s="1544"/>
      <c r="B649" s="1544"/>
      <c r="C649" s="1544"/>
      <c r="D649" s="1544"/>
      <c r="E649" s="1544"/>
      <c r="R649" s="1545"/>
      <c r="S649" s="1545"/>
      <c r="T649" s="1545"/>
      <c r="U649" s="1545"/>
      <c r="V649" s="1545"/>
      <c r="W649" s="1545"/>
      <c r="X649" s="1545"/>
      <c r="Y649" s="1545"/>
    </row>
    <row r="650" spans="1:25">
      <c r="A650" s="1544"/>
      <c r="B650" s="1544"/>
      <c r="C650" s="1544"/>
      <c r="D650" s="1544"/>
      <c r="E650" s="1544"/>
      <c r="R650" s="1545"/>
      <c r="S650" s="1545"/>
      <c r="T650" s="1545"/>
      <c r="U650" s="1545"/>
      <c r="V650" s="1545"/>
      <c r="W650" s="1545"/>
      <c r="X650" s="1545"/>
      <c r="Y650" s="1545"/>
    </row>
    <row r="651" spans="1:25">
      <c r="A651" s="1544"/>
      <c r="B651" s="1544"/>
      <c r="C651" s="1544"/>
      <c r="D651" s="1544"/>
      <c r="E651" s="1544"/>
      <c r="R651" s="1545"/>
      <c r="S651" s="1545"/>
      <c r="T651" s="1545"/>
      <c r="U651" s="1545"/>
      <c r="V651" s="1545"/>
      <c r="W651" s="1545"/>
      <c r="X651" s="1545"/>
      <c r="Y651" s="1545"/>
    </row>
    <row r="652" spans="1:25">
      <c r="A652" s="1544"/>
      <c r="B652" s="1544"/>
      <c r="C652" s="1544"/>
      <c r="D652" s="1544"/>
      <c r="E652" s="1544"/>
      <c r="R652" s="1545"/>
      <c r="S652" s="1545"/>
      <c r="T652" s="1545"/>
      <c r="U652" s="1545"/>
      <c r="V652" s="1545"/>
      <c r="W652" s="1545"/>
      <c r="X652" s="1545"/>
      <c r="Y652" s="1545"/>
    </row>
    <row r="653" spans="1:25">
      <c r="A653" s="1544"/>
      <c r="B653" s="1544"/>
      <c r="C653" s="1544"/>
      <c r="D653" s="1544"/>
      <c r="E653" s="1544"/>
      <c r="R653" s="1545"/>
      <c r="S653" s="1545"/>
      <c r="T653" s="1545"/>
      <c r="U653" s="1545"/>
      <c r="V653" s="1545"/>
      <c r="W653" s="1545"/>
      <c r="X653" s="1545"/>
      <c r="Y653" s="1545"/>
    </row>
    <row r="654" spans="1:25">
      <c r="A654" s="1544"/>
      <c r="B654" s="1544"/>
      <c r="C654" s="1544"/>
      <c r="D654" s="1544"/>
      <c r="E654" s="1544"/>
      <c r="R654" s="1545"/>
      <c r="S654" s="1545"/>
      <c r="T654" s="1545"/>
      <c r="U654" s="1545"/>
      <c r="V654" s="1545"/>
      <c r="W654" s="1545"/>
      <c r="X654" s="1545"/>
      <c r="Y654" s="1545"/>
    </row>
    <row r="655" spans="1:25">
      <c r="A655" s="1544"/>
      <c r="B655" s="1544"/>
      <c r="C655" s="1544"/>
      <c r="D655" s="1544"/>
      <c r="E655" s="1544"/>
      <c r="R655" s="1545"/>
      <c r="S655" s="1545"/>
      <c r="T655" s="1545"/>
      <c r="U655" s="1545"/>
      <c r="V655" s="1545"/>
      <c r="W655" s="1545"/>
      <c r="X655" s="1545"/>
      <c r="Y655" s="1545"/>
    </row>
    <row r="656" spans="1:25">
      <c r="A656" s="1544"/>
      <c r="B656" s="1544"/>
      <c r="C656" s="1544"/>
      <c r="D656" s="1544"/>
      <c r="E656" s="1544"/>
      <c r="R656" s="1545"/>
      <c r="S656" s="1545"/>
      <c r="T656" s="1545"/>
      <c r="U656" s="1545"/>
      <c r="V656" s="1545"/>
      <c r="W656" s="1545"/>
      <c r="X656" s="1545"/>
      <c r="Y656" s="1545"/>
    </row>
    <row r="657" spans="1:25">
      <c r="A657" s="1544"/>
      <c r="B657" s="1544"/>
      <c r="C657" s="1544"/>
      <c r="D657" s="1544"/>
      <c r="E657" s="1544"/>
      <c r="R657" s="1545"/>
      <c r="S657" s="1545"/>
      <c r="T657" s="1545"/>
      <c r="U657" s="1545"/>
      <c r="V657" s="1545"/>
      <c r="W657" s="1545"/>
      <c r="X657" s="1545"/>
      <c r="Y657" s="1545"/>
    </row>
    <row r="658" spans="1:25">
      <c r="A658" s="1544"/>
      <c r="B658" s="1544"/>
      <c r="C658" s="1544"/>
      <c r="D658" s="1544"/>
      <c r="E658" s="1544"/>
      <c r="R658" s="1545"/>
      <c r="S658" s="1545"/>
      <c r="T658" s="1545"/>
      <c r="U658" s="1545"/>
      <c r="V658" s="1545"/>
      <c r="W658" s="1545"/>
      <c r="X658" s="1545"/>
      <c r="Y658" s="1545"/>
    </row>
    <row r="659" spans="1:25">
      <c r="A659" s="1544"/>
      <c r="B659" s="1544"/>
      <c r="C659" s="1544"/>
      <c r="D659" s="1544"/>
      <c r="E659" s="1544"/>
      <c r="R659" s="1545"/>
      <c r="S659" s="1545"/>
      <c r="T659" s="1545"/>
      <c r="U659" s="1545"/>
      <c r="V659" s="1545"/>
      <c r="W659" s="1545"/>
      <c r="X659" s="1545"/>
      <c r="Y659" s="1545"/>
    </row>
    <row r="660" spans="1:25">
      <c r="A660" s="1544"/>
      <c r="B660" s="1544"/>
      <c r="C660" s="1544"/>
      <c r="D660" s="1544"/>
      <c r="E660" s="1544"/>
      <c r="R660" s="1545"/>
      <c r="S660" s="1545"/>
      <c r="T660" s="1545"/>
      <c r="U660" s="1545"/>
      <c r="V660" s="1545"/>
      <c r="W660" s="1545"/>
      <c r="X660" s="1545"/>
      <c r="Y660" s="1545"/>
    </row>
    <row r="661" spans="1:25">
      <c r="A661" s="1544"/>
      <c r="B661" s="1544"/>
      <c r="C661" s="1544"/>
      <c r="D661" s="1544"/>
      <c r="E661" s="1544"/>
      <c r="R661" s="1545"/>
      <c r="S661" s="1545"/>
      <c r="T661" s="1545"/>
      <c r="U661" s="1545"/>
      <c r="V661" s="1545"/>
      <c r="W661" s="1545"/>
      <c r="X661" s="1545"/>
      <c r="Y661" s="1545"/>
    </row>
    <row r="662" spans="1:25">
      <c r="A662" s="1544"/>
      <c r="B662" s="1544"/>
      <c r="C662" s="1544"/>
      <c r="D662" s="1544"/>
      <c r="E662" s="1544"/>
      <c r="R662" s="1545"/>
      <c r="S662" s="1545"/>
      <c r="T662" s="1545"/>
      <c r="U662" s="1545"/>
      <c r="V662" s="1545"/>
      <c r="W662" s="1545"/>
      <c r="X662" s="1545"/>
      <c r="Y662" s="1545"/>
    </row>
    <row r="663" spans="1:25">
      <c r="A663" s="1544"/>
      <c r="B663" s="1544"/>
      <c r="C663" s="1544"/>
      <c r="D663" s="1544"/>
      <c r="E663" s="1544"/>
      <c r="R663" s="1545"/>
      <c r="S663" s="1545"/>
      <c r="T663" s="1545"/>
      <c r="U663" s="1545"/>
      <c r="V663" s="1545"/>
      <c r="W663" s="1545"/>
      <c r="X663" s="1545"/>
      <c r="Y663" s="1545"/>
    </row>
    <row r="664" spans="1:25">
      <c r="A664" s="1544"/>
      <c r="B664" s="1544"/>
      <c r="C664" s="1544"/>
      <c r="D664" s="1544"/>
      <c r="E664" s="1544"/>
      <c r="R664" s="1545"/>
      <c r="S664" s="1545"/>
      <c r="T664" s="1545"/>
      <c r="U664" s="1545"/>
      <c r="V664" s="1545"/>
      <c r="W664" s="1545"/>
      <c r="X664" s="1545"/>
      <c r="Y664" s="1545"/>
    </row>
    <row r="665" spans="1:25">
      <c r="A665" s="1544"/>
      <c r="B665" s="1544"/>
      <c r="C665" s="1544"/>
      <c r="D665" s="1544"/>
      <c r="E665" s="1544"/>
      <c r="R665" s="1545"/>
      <c r="S665" s="1545"/>
      <c r="T665" s="1545"/>
      <c r="U665" s="1545"/>
      <c r="V665" s="1545"/>
      <c r="W665" s="1545"/>
      <c r="X665" s="1545"/>
      <c r="Y665" s="1545"/>
    </row>
    <row r="666" spans="1:25">
      <c r="A666" s="1544"/>
      <c r="B666" s="1544"/>
      <c r="C666" s="1544"/>
      <c r="D666" s="1544"/>
      <c r="E666" s="1544"/>
      <c r="R666" s="1545"/>
      <c r="S666" s="1545"/>
      <c r="T666" s="1545"/>
      <c r="U666" s="1545"/>
      <c r="V666" s="1545"/>
      <c r="W666" s="1545"/>
      <c r="X666" s="1545"/>
      <c r="Y666" s="1545"/>
    </row>
    <row r="667" spans="1:25">
      <c r="A667" s="1544"/>
      <c r="B667" s="1544"/>
      <c r="C667" s="1544"/>
      <c r="D667" s="1544"/>
      <c r="E667" s="1544"/>
      <c r="R667" s="1545"/>
      <c r="S667" s="1545"/>
      <c r="T667" s="1545"/>
      <c r="U667" s="1545"/>
      <c r="V667" s="1545"/>
      <c r="W667" s="1545"/>
      <c r="X667" s="1545"/>
      <c r="Y667" s="1545"/>
    </row>
    <row r="668" spans="1:25">
      <c r="A668" s="1544"/>
      <c r="B668" s="1544"/>
      <c r="C668" s="1544"/>
      <c r="D668" s="1544"/>
      <c r="E668" s="1544"/>
      <c r="R668" s="1545"/>
      <c r="S668" s="1545"/>
      <c r="T668" s="1545"/>
      <c r="U668" s="1545"/>
      <c r="V668" s="1545"/>
      <c r="W668" s="1545"/>
      <c r="X668" s="1545"/>
      <c r="Y668" s="1545"/>
    </row>
    <row r="669" spans="1:25">
      <c r="A669" s="1544"/>
      <c r="B669" s="1544"/>
      <c r="C669" s="1544"/>
      <c r="D669" s="1544"/>
      <c r="E669" s="1544"/>
      <c r="R669" s="1545"/>
      <c r="S669" s="1545"/>
      <c r="T669" s="1545"/>
      <c r="U669" s="1545"/>
      <c r="V669" s="1545"/>
      <c r="W669" s="1545"/>
      <c r="X669" s="1545"/>
      <c r="Y669" s="1545"/>
    </row>
    <row r="670" spans="1:25">
      <c r="A670" s="1544"/>
      <c r="B670" s="1544"/>
      <c r="C670" s="1544"/>
      <c r="D670" s="1544"/>
      <c r="E670" s="1544"/>
      <c r="R670" s="1545"/>
      <c r="S670" s="1545"/>
      <c r="T670" s="1545"/>
      <c r="U670" s="1545"/>
      <c r="V670" s="1545"/>
      <c r="W670" s="1545"/>
      <c r="X670" s="1545"/>
      <c r="Y670" s="1545"/>
    </row>
    <row r="671" spans="1:25">
      <c r="A671" s="1544"/>
      <c r="B671" s="1544"/>
      <c r="C671" s="1544"/>
      <c r="D671" s="1544"/>
      <c r="E671" s="1544"/>
      <c r="R671" s="1545"/>
      <c r="S671" s="1545"/>
      <c r="T671" s="1545"/>
      <c r="U671" s="1545"/>
      <c r="V671" s="1545"/>
      <c r="W671" s="1545"/>
      <c r="X671" s="1545"/>
      <c r="Y671" s="1545"/>
    </row>
    <row r="672" spans="1:25">
      <c r="A672" s="1544"/>
      <c r="B672" s="1544"/>
      <c r="C672" s="1544"/>
      <c r="D672" s="1544"/>
      <c r="E672" s="1544"/>
      <c r="R672" s="1545"/>
      <c r="S672" s="1545"/>
      <c r="T672" s="1545"/>
      <c r="U672" s="1545"/>
      <c r="V672" s="1545"/>
      <c r="W672" s="1545"/>
      <c r="X672" s="1545"/>
      <c r="Y672" s="1545"/>
    </row>
    <row r="673" spans="1:25">
      <c r="A673" s="1544"/>
      <c r="B673" s="1544"/>
      <c r="C673" s="1544"/>
      <c r="D673" s="1544"/>
      <c r="E673" s="1544"/>
      <c r="R673" s="1545"/>
      <c r="S673" s="1545"/>
      <c r="T673" s="1545"/>
      <c r="U673" s="1545"/>
      <c r="V673" s="1545"/>
      <c r="W673" s="1545"/>
      <c r="X673" s="1545"/>
      <c r="Y673" s="1545"/>
    </row>
    <row r="674" spans="1:25">
      <c r="A674" s="1544"/>
      <c r="B674" s="1544"/>
      <c r="C674" s="1544"/>
      <c r="D674" s="1544"/>
      <c r="E674" s="1544"/>
      <c r="R674" s="1545"/>
      <c r="S674" s="1545"/>
      <c r="T674" s="1545"/>
      <c r="U674" s="1545"/>
      <c r="V674" s="1545"/>
      <c r="W674" s="1545"/>
      <c r="X674" s="1545"/>
      <c r="Y674" s="1545"/>
    </row>
    <row r="675" spans="1:25">
      <c r="A675" s="1544"/>
      <c r="B675" s="1544"/>
      <c r="C675" s="1544"/>
      <c r="D675" s="1544"/>
      <c r="E675" s="1544"/>
      <c r="R675" s="1545"/>
      <c r="S675" s="1545"/>
      <c r="T675" s="1545"/>
      <c r="U675" s="1545"/>
      <c r="V675" s="1545"/>
      <c r="W675" s="1545"/>
      <c r="X675" s="1545"/>
      <c r="Y675" s="1545"/>
    </row>
    <row r="676" spans="1:25">
      <c r="A676" s="1544"/>
      <c r="B676" s="1544"/>
      <c r="C676" s="1544"/>
      <c r="D676" s="1544"/>
      <c r="E676" s="1544"/>
      <c r="R676" s="1545"/>
      <c r="S676" s="1545"/>
      <c r="T676" s="1545"/>
      <c r="U676" s="1545"/>
      <c r="V676" s="1545"/>
      <c r="W676" s="1545"/>
      <c r="X676" s="1545"/>
      <c r="Y676" s="1545"/>
    </row>
    <row r="677" spans="1:25">
      <c r="A677" s="1544"/>
      <c r="B677" s="1544"/>
      <c r="C677" s="1544"/>
      <c r="D677" s="1544"/>
      <c r="E677" s="1544"/>
      <c r="R677" s="1545"/>
      <c r="S677" s="1545"/>
      <c r="T677" s="1545"/>
      <c r="U677" s="1545"/>
      <c r="V677" s="1545"/>
      <c r="W677" s="1545"/>
      <c r="X677" s="1545"/>
      <c r="Y677" s="1545"/>
    </row>
    <row r="678" spans="1:25">
      <c r="A678" s="1544"/>
      <c r="B678" s="1544"/>
      <c r="C678" s="1544"/>
      <c r="D678" s="1544"/>
      <c r="E678" s="1544"/>
      <c r="R678" s="1545"/>
      <c r="S678" s="1545"/>
      <c r="T678" s="1545"/>
      <c r="U678" s="1545"/>
      <c r="V678" s="1545"/>
      <c r="W678" s="1545"/>
      <c r="X678" s="1545"/>
      <c r="Y678" s="1545"/>
    </row>
    <row r="679" spans="1:25">
      <c r="A679" s="1544"/>
      <c r="B679" s="1544"/>
      <c r="C679" s="1544"/>
      <c r="D679" s="1544"/>
      <c r="E679" s="1544"/>
      <c r="R679" s="1545"/>
      <c r="S679" s="1545"/>
      <c r="T679" s="1545"/>
      <c r="U679" s="1545"/>
      <c r="V679" s="1545"/>
      <c r="W679" s="1545"/>
      <c r="X679" s="1545"/>
      <c r="Y679" s="1545"/>
    </row>
    <row r="680" spans="1:25">
      <c r="A680" s="1544"/>
      <c r="B680" s="1544"/>
      <c r="C680" s="1544"/>
      <c r="D680" s="1544"/>
      <c r="E680" s="1544"/>
      <c r="R680" s="1545"/>
      <c r="S680" s="1545"/>
      <c r="T680" s="1545"/>
      <c r="U680" s="1545"/>
      <c r="V680" s="1545"/>
      <c r="W680" s="1545"/>
      <c r="X680" s="1545"/>
      <c r="Y680" s="1545"/>
    </row>
    <row r="681" spans="1:25">
      <c r="A681" s="1544"/>
      <c r="B681" s="1544"/>
      <c r="C681" s="1544"/>
      <c r="D681" s="1544"/>
      <c r="E681" s="1544"/>
      <c r="R681" s="1545"/>
      <c r="S681" s="1545"/>
      <c r="T681" s="1545"/>
      <c r="U681" s="1545"/>
      <c r="V681" s="1545"/>
      <c r="W681" s="1545"/>
      <c r="X681" s="1545"/>
      <c r="Y681" s="1545"/>
    </row>
    <row r="682" spans="1:25">
      <c r="A682" s="1544"/>
      <c r="B682" s="1544"/>
      <c r="C682" s="1544"/>
      <c r="D682" s="1544"/>
      <c r="E682" s="1544"/>
      <c r="R682" s="1545"/>
      <c r="S682" s="1545"/>
      <c r="T682" s="1545"/>
      <c r="U682" s="1545"/>
      <c r="V682" s="1545"/>
      <c r="W682" s="1545"/>
      <c r="X682" s="1545"/>
      <c r="Y682" s="1545"/>
    </row>
    <row r="683" spans="1:25">
      <c r="A683" s="1544"/>
      <c r="B683" s="1544"/>
      <c r="C683" s="1544"/>
      <c r="D683" s="1544"/>
      <c r="E683" s="1544"/>
      <c r="R683" s="1545"/>
      <c r="S683" s="1545"/>
      <c r="T683" s="1545"/>
      <c r="U683" s="1545"/>
      <c r="V683" s="1545"/>
      <c r="W683" s="1545"/>
      <c r="X683" s="1545"/>
      <c r="Y683" s="1545"/>
    </row>
    <row r="684" spans="1:25">
      <c r="A684" s="1544"/>
      <c r="B684" s="1544"/>
      <c r="C684" s="1544"/>
      <c r="D684" s="1544"/>
      <c r="E684" s="1544"/>
      <c r="R684" s="1545"/>
      <c r="S684" s="1545"/>
      <c r="T684" s="1545"/>
      <c r="U684" s="1545"/>
      <c r="V684" s="1545"/>
      <c r="W684" s="1545"/>
      <c r="X684" s="1545"/>
      <c r="Y684" s="1545"/>
    </row>
    <row r="685" spans="1:25">
      <c r="A685" s="1544"/>
      <c r="B685" s="1544"/>
      <c r="C685" s="1544"/>
      <c r="D685" s="1544"/>
      <c r="E685" s="1544"/>
      <c r="R685" s="1545"/>
      <c r="S685" s="1545"/>
      <c r="T685" s="1545"/>
      <c r="U685" s="1545"/>
      <c r="V685" s="1545"/>
      <c r="W685" s="1545"/>
      <c r="X685" s="1545"/>
      <c r="Y685" s="1545"/>
    </row>
    <row r="686" spans="1:25">
      <c r="A686" s="1544"/>
      <c r="B686" s="1544"/>
      <c r="C686" s="1544"/>
      <c r="D686" s="1544"/>
      <c r="E686" s="1544"/>
      <c r="R686" s="1545"/>
      <c r="S686" s="1545"/>
      <c r="T686" s="1545"/>
      <c r="U686" s="1545"/>
      <c r="V686" s="1545"/>
      <c r="W686" s="1545"/>
      <c r="X686" s="1545"/>
      <c r="Y686" s="1545"/>
    </row>
    <row r="687" spans="1:25">
      <c r="A687" s="1544"/>
      <c r="B687" s="1544"/>
      <c r="C687" s="1544"/>
      <c r="D687" s="1544"/>
      <c r="E687" s="1544"/>
      <c r="R687" s="1545"/>
      <c r="S687" s="1545"/>
      <c r="T687" s="1545"/>
      <c r="U687" s="1545"/>
      <c r="V687" s="1545"/>
      <c r="W687" s="1545"/>
      <c r="X687" s="1545"/>
      <c r="Y687" s="1545"/>
    </row>
    <row r="688" spans="1:25">
      <c r="A688" s="1544"/>
      <c r="B688" s="1544"/>
      <c r="C688" s="1544"/>
      <c r="D688" s="1544"/>
      <c r="E688" s="1544"/>
      <c r="R688" s="1545"/>
      <c r="S688" s="1545"/>
      <c r="T688" s="1545"/>
      <c r="U688" s="1545"/>
      <c r="V688" s="1545"/>
      <c r="W688" s="1545"/>
      <c r="X688" s="1545"/>
      <c r="Y688" s="1545"/>
    </row>
    <row r="689" spans="1:25">
      <c r="A689" s="1544"/>
      <c r="B689" s="1544"/>
      <c r="C689" s="1544"/>
      <c r="D689" s="1544"/>
      <c r="E689" s="1544"/>
      <c r="R689" s="1545"/>
      <c r="S689" s="1545"/>
      <c r="T689" s="1545"/>
      <c r="U689" s="1545"/>
      <c r="V689" s="1545"/>
      <c r="W689" s="1545"/>
      <c r="X689" s="1545"/>
      <c r="Y689" s="1545"/>
    </row>
    <row r="690" spans="1:25">
      <c r="A690" s="1544"/>
      <c r="B690" s="1544"/>
      <c r="C690" s="1544"/>
      <c r="D690" s="1544"/>
      <c r="E690" s="1544"/>
      <c r="R690" s="1545"/>
      <c r="S690" s="1545"/>
      <c r="T690" s="1545"/>
      <c r="U690" s="1545"/>
      <c r="V690" s="1545"/>
      <c r="W690" s="1545"/>
      <c r="X690" s="1545"/>
      <c r="Y690" s="1545"/>
    </row>
    <row r="691" spans="1:25">
      <c r="A691" s="1544"/>
      <c r="B691" s="1544"/>
      <c r="C691" s="1544"/>
      <c r="D691" s="1544"/>
      <c r="E691" s="1544"/>
      <c r="R691" s="1545"/>
      <c r="S691" s="1545"/>
      <c r="T691" s="1545"/>
      <c r="U691" s="1545"/>
      <c r="V691" s="1545"/>
      <c r="W691" s="1545"/>
      <c r="X691" s="1545"/>
      <c r="Y691" s="1545"/>
    </row>
    <row r="692" spans="1:25">
      <c r="A692" s="1544"/>
      <c r="B692" s="1544"/>
      <c r="C692" s="1544"/>
      <c r="D692" s="1544"/>
      <c r="E692" s="1544"/>
      <c r="R692" s="1545"/>
      <c r="S692" s="1545"/>
      <c r="T692" s="1545"/>
      <c r="U692" s="1545"/>
      <c r="V692" s="1545"/>
      <c r="W692" s="1545"/>
      <c r="X692" s="1545"/>
      <c r="Y692" s="1545"/>
    </row>
    <row r="693" spans="1:25">
      <c r="A693" s="1544"/>
      <c r="B693" s="1544"/>
      <c r="C693" s="1544"/>
      <c r="D693" s="1544"/>
      <c r="E693" s="1544"/>
      <c r="R693" s="1545"/>
      <c r="S693" s="1545"/>
      <c r="T693" s="1545"/>
      <c r="U693" s="1545"/>
      <c r="V693" s="1545"/>
      <c r="W693" s="1545"/>
      <c r="X693" s="1545"/>
      <c r="Y693" s="1545"/>
    </row>
    <row r="694" spans="1:25">
      <c r="A694" s="1544"/>
      <c r="B694" s="1544"/>
      <c r="C694" s="1544"/>
      <c r="D694" s="1544"/>
      <c r="E694" s="1544"/>
      <c r="R694" s="1545"/>
      <c r="S694" s="1545"/>
      <c r="T694" s="1545"/>
      <c r="U694" s="1545"/>
      <c r="V694" s="1545"/>
      <c r="W694" s="1545"/>
      <c r="X694" s="1545"/>
      <c r="Y694" s="1545"/>
    </row>
    <row r="695" spans="1:25">
      <c r="A695" s="1544"/>
      <c r="B695" s="1544"/>
      <c r="C695" s="1544"/>
      <c r="D695" s="1544"/>
      <c r="E695" s="1544"/>
      <c r="R695" s="1545"/>
      <c r="S695" s="1545"/>
      <c r="T695" s="1545"/>
      <c r="U695" s="1545"/>
      <c r="V695" s="1545"/>
      <c r="W695" s="1545"/>
      <c r="X695" s="1545"/>
      <c r="Y695" s="1545"/>
    </row>
    <row r="696" spans="1:25">
      <c r="A696" s="1544"/>
      <c r="B696" s="1544"/>
      <c r="C696" s="1544"/>
      <c r="D696" s="1544"/>
      <c r="E696" s="1544"/>
      <c r="R696" s="1545"/>
      <c r="S696" s="1545"/>
      <c r="T696" s="1545"/>
      <c r="U696" s="1545"/>
      <c r="V696" s="1545"/>
      <c r="W696" s="1545"/>
      <c r="X696" s="1545"/>
      <c r="Y696" s="1545"/>
    </row>
    <row r="697" spans="1:25">
      <c r="A697" s="1544"/>
      <c r="B697" s="1544"/>
      <c r="C697" s="1544"/>
      <c r="D697" s="1544"/>
      <c r="E697" s="1544"/>
      <c r="R697" s="1545"/>
      <c r="S697" s="1545"/>
      <c r="T697" s="1545"/>
      <c r="U697" s="1545"/>
      <c r="V697" s="1545"/>
      <c r="W697" s="1545"/>
      <c r="X697" s="1545"/>
      <c r="Y697" s="1545"/>
    </row>
    <row r="698" spans="1:25">
      <c r="A698" s="1544"/>
      <c r="B698" s="1544"/>
      <c r="C698" s="1544"/>
      <c r="D698" s="1544"/>
      <c r="E698" s="1544"/>
      <c r="R698" s="1545"/>
      <c r="S698" s="1545"/>
      <c r="T698" s="1545"/>
      <c r="U698" s="1545"/>
      <c r="V698" s="1545"/>
      <c r="W698" s="1545"/>
      <c r="X698" s="1545"/>
      <c r="Y698" s="1545"/>
    </row>
    <row r="699" spans="1:25">
      <c r="A699" s="1544"/>
      <c r="B699" s="1544"/>
      <c r="C699" s="1544"/>
      <c r="D699" s="1544"/>
      <c r="E699" s="1544"/>
      <c r="R699" s="1545"/>
      <c r="S699" s="1545"/>
      <c r="T699" s="1545"/>
      <c r="U699" s="1545"/>
      <c r="V699" s="1545"/>
      <c r="W699" s="1545"/>
      <c r="X699" s="1545"/>
      <c r="Y699" s="1545"/>
    </row>
    <row r="700" spans="1:25">
      <c r="A700" s="1544"/>
      <c r="B700" s="1544"/>
      <c r="C700" s="1544"/>
      <c r="D700" s="1544"/>
      <c r="E700" s="1544"/>
      <c r="R700" s="1545"/>
      <c r="S700" s="1545"/>
      <c r="T700" s="1545"/>
      <c r="U700" s="1545"/>
      <c r="V700" s="1545"/>
      <c r="W700" s="1545"/>
      <c r="X700" s="1545"/>
      <c r="Y700" s="1545"/>
    </row>
    <row r="701" spans="1:25">
      <c r="A701" s="1544"/>
      <c r="B701" s="1544"/>
      <c r="C701" s="1544"/>
      <c r="D701" s="1544"/>
      <c r="E701" s="1544"/>
      <c r="R701" s="1545"/>
      <c r="S701" s="1545"/>
      <c r="T701" s="1545"/>
      <c r="U701" s="1545"/>
      <c r="V701" s="1545"/>
      <c r="W701" s="1545"/>
      <c r="X701" s="1545"/>
      <c r="Y701" s="1545"/>
    </row>
    <row r="702" spans="1:25">
      <c r="A702" s="1544"/>
      <c r="B702" s="1544"/>
      <c r="C702" s="1544"/>
      <c r="D702" s="1544"/>
      <c r="E702" s="1544"/>
      <c r="R702" s="1545"/>
      <c r="S702" s="1545"/>
      <c r="T702" s="1545"/>
      <c r="U702" s="1545"/>
      <c r="V702" s="1545"/>
      <c r="W702" s="1545"/>
      <c r="X702" s="1545"/>
      <c r="Y702" s="1545"/>
    </row>
    <row r="703" spans="1:25">
      <c r="A703" s="1544"/>
      <c r="B703" s="1544"/>
      <c r="C703" s="1544"/>
      <c r="D703" s="1544"/>
      <c r="E703" s="1544"/>
      <c r="R703" s="1545"/>
      <c r="S703" s="1545"/>
      <c r="T703" s="1545"/>
      <c r="U703" s="1545"/>
      <c r="V703" s="1545"/>
      <c r="W703" s="1545"/>
      <c r="X703" s="1545"/>
      <c r="Y703" s="1545"/>
    </row>
    <row r="704" spans="1:25">
      <c r="A704" s="1544"/>
      <c r="B704" s="1544"/>
      <c r="C704" s="1544"/>
      <c r="D704" s="1544"/>
      <c r="E704" s="1544"/>
      <c r="R704" s="1545"/>
      <c r="S704" s="1545"/>
      <c r="T704" s="1545"/>
      <c r="U704" s="1545"/>
      <c r="V704" s="1545"/>
      <c r="W704" s="1545"/>
      <c r="X704" s="1545"/>
      <c r="Y704" s="1545"/>
    </row>
    <row r="705" spans="1:25">
      <c r="A705" s="1544"/>
      <c r="B705" s="1544"/>
      <c r="C705" s="1544"/>
      <c r="D705" s="1544"/>
      <c r="E705" s="1544"/>
      <c r="R705" s="1545"/>
      <c r="S705" s="1545"/>
      <c r="T705" s="1545"/>
      <c r="U705" s="1545"/>
      <c r="V705" s="1545"/>
      <c r="W705" s="1545"/>
      <c r="X705" s="1545"/>
      <c r="Y705" s="1545"/>
    </row>
    <row r="706" spans="1:25">
      <c r="A706" s="1544"/>
      <c r="B706" s="1544"/>
      <c r="C706" s="1544"/>
      <c r="D706" s="1544"/>
      <c r="E706" s="1544"/>
      <c r="R706" s="1545"/>
      <c r="S706" s="1545"/>
      <c r="T706" s="1545"/>
      <c r="U706" s="1545"/>
      <c r="V706" s="1545"/>
      <c r="W706" s="1545"/>
      <c r="X706" s="1545"/>
      <c r="Y706" s="1545"/>
    </row>
    <row r="707" spans="1:25">
      <c r="A707" s="1544"/>
      <c r="B707" s="1544"/>
      <c r="C707" s="1544"/>
      <c r="D707" s="1544"/>
      <c r="E707" s="1544"/>
      <c r="R707" s="1545"/>
      <c r="S707" s="1545"/>
      <c r="T707" s="1545"/>
      <c r="U707" s="1545"/>
      <c r="V707" s="1545"/>
      <c r="W707" s="1545"/>
      <c r="X707" s="1545"/>
      <c r="Y707" s="1545"/>
    </row>
    <row r="708" spans="1:25">
      <c r="A708" s="1544"/>
      <c r="B708" s="1544"/>
      <c r="C708" s="1544"/>
      <c r="D708" s="1544"/>
      <c r="E708" s="1544"/>
      <c r="R708" s="1545"/>
      <c r="S708" s="1545"/>
      <c r="T708" s="1545"/>
      <c r="U708" s="1545"/>
      <c r="V708" s="1545"/>
      <c r="W708" s="1545"/>
      <c r="X708" s="1545"/>
      <c r="Y708" s="1545"/>
    </row>
    <row r="709" spans="1:25">
      <c r="A709" s="1544"/>
      <c r="B709" s="1544"/>
      <c r="C709" s="1544"/>
      <c r="D709" s="1544"/>
      <c r="E709" s="1544"/>
      <c r="R709" s="1545"/>
      <c r="S709" s="1545"/>
      <c r="T709" s="1545"/>
      <c r="U709" s="1545"/>
      <c r="V709" s="1545"/>
      <c r="W709" s="1545"/>
      <c r="X709" s="1545"/>
      <c r="Y709" s="1545"/>
    </row>
    <row r="710" spans="1:25">
      <c r="A710" s="1544"/>
      <c r="B710" s="1544"/>
      <c r="C710" s="1544"/>
      <c r="D710" s="1544"/>
      <c r="E710" s="1544"/>
      <c r="R710" s="1545"/>
      <c r="S710" s="1545"/>
      <c r="T710" s="1545"/>
      <c r="U710" s="1545"/>
      <c r="V710" s="1545"/>
      <c r="W710" s="1545"/>
      <c r="X710" s="1545"/>
      <c r="Y710" s="1545"/>
    </row>
    <row r="711" spans="1:25">
      <c r="A711" s="1544"/>
      <c r="B711" s="1544"/>
      <c r="C711" s="1544"/>
      <c r="D711" s="1544"/>
      <c r="E711" s="1544"/>
      <c r="R711" s="1545"/>
      <c r="S711" s="1545"/>
      <c r="T711" s="1545"/>
      <c r="U711" s="1545"/>
      <c r="V711" s="1545"/>
      <c r="W711" s="1545"/>
      <c r="X711" s="1545"/>
      <c r="Y711" s="1545"/>
    </row>
    <row r="712" spans="1:25">
      <c r="A712" s="1544"/>
      <c r="B712" s="1544"/>
      <c r="C712" s="1544"/>
      <c r="D712" s="1544"/>
      <c r="E712" s="1544"/>
      <c r="R712" s="1545"/>
      <c r="S712" s="1545"/>
      <c r="T712" s="1545"/>
      <c r="U712" s="1545"/>
      <c r="V712" s="1545"/>
      <c r="W712" s="1545"/>
      <c r="X712" s="1545"/>
      <c r="Y712" s="1545"/>
    </row>
    <row r="713" spans="1:25">
      <c r="A713" s="1544"/>
      <c r="B713" s="1544"/>
      <c r="C713" s="1544"/>
      <c r="D713" s="1544"/>
      <c r="E713" s="1544"/>
      <c r="R713" s="1545"/>
      <c r="S713" s="1545"/>
      <c r="T713" s="1545"/>
      <c r="U713" s="1545"/>
      <c r="V713" s="1545"/>
      <c r="W713" s="1545"/>
      <c r="X713" s="1545"/>
      <c r="Y713" s="1545"/>
    </row>
    <row r="714" spans="1:25">
      <c r="A714" s="1544"/>
      <c r="B714" s="1544"/>
      <c r="C714" s="1544"/>
      <c r="D714" s="1544"/>
      <c r="E714" s="1544"/>
      <c r="R714" s="1545"/>
      <c r="S714" s="1545"/>
      <c r="T714" s="1545"/>
      <c r="U714" s="1545"/>
      <c r="V714" s="1545"/>
      <c r="W714" s="1545"/>
      <c r="X714" s="1545"/>
      <c r="Y714" s="1545"/>
    </row>
    <row r="715" spans="1:25">
      <c r="A715" s="1544"/>
      <c r="B715" s="1544"/>
      <c r="C715" s="1544"/>
      <c r="D715" s="1544"/>
      <c r="E715" s="1544"/>
      <c r="R715" s="1545"/>
      <c r="S715" s="1545"/>
      <c r="T715" s="1545"/>
      <c r="U715" s="1545"/>
      <c r="V715" s="1545"/>
      <c r="W715" s="1545"/>
      <c r="X715" s="1545"/>
      <c r="Y715" s="1545"/>
    </row>
    <row r="716" spans="1:25">
      <c r="A716" s="1544"/>
      <c r="B716" s="1544"/>
      <c r="C716" s="1544"/>
      <c r="D716" s="1544"/>
      <c r="E716" s="1544"/>
      <c r="R716" s="1545"/>
      <c r="S716" s="1545"/>
      <c r="T716" s="1545"/>
      <c r="U716" s="1545"/>
      <c r="V716" s="1545"/>
      <c r="W716" s="1545"/>
      <c r="X716" s="1545"/>
      <c r="Y716" s="1545"/>
    </row>
    <row r="717" spans="1:25">
      <c r="A717" s="1544"/>
      <c r="B717" s="1544"/>
      <c r="C717" s="1544"/>
      <c r="D717" s="1544"/>
      <c r="E717" s="1544"/>
      <c r="R717" s="1545"/>
      <c r="S717" s="1545"/>
      <c r="T717" s="1545"/>
      <c r="U717" s="1545"/>
      <c r="V717" s="1545"/>
      <c r="W717" s="1545"/>
      <c r="X717" s="1545"/>
      <c r="Y717" s="1545"/>
    </row>
    <row r="718" spans="1:25">
      <c r="A718" s="1544"/>
      <c r="B718" s="1544"/>
      <c r="C718" s="1544"/>
      <c r="D718" s="1544"/>
      <c r="E718" s="1544"/>
      <c r="R718" s="1545"/>
      <c r="S718" s="1545"/>
      <c r="T718" s="1545"/>
      <c r="U718" s="1545"/>
      <c r="V718" s="1545"/>
      <c r="W718" s="1545"/>
      <c r="X718" s="1545"/>
      <c r="Y718" s="1545"/>
    </row>
    <row r="719" spans="1:25">
      <c r="A719" s="1544"/>
      <c r="B719" s="1544"/>
      <c r="C719" s="1544"/>
      <c r="D719" s="1544"/>
      <c r="E719" s="1544"/>
      <c r="R719" s="1545"/>
      <c r="S719" s="1545"/>
      <c r="T719" s="1545"/>
      <c r="U719" s="1545"/>
      <c r="V719" s="1545"/>
      <c r="W719" s="1545"/>
      <c r="X719" s="1545"/>
      <c r="Y719" s="1545"/>
    </row>
    <row r="720" spans="1:25">
      <c r="A720" s="1544"/>
      <c r="B720" s="1544"/>
      <c r="C720" s="1544"/>
      <c r="D720" s="1544"/>
      <c r="E720" s="1544"/>
      <c r="R720" s="1545"/>
      <c r="S720" s="1545"/>
      <c r="T720" s="1545"/>
      <c r="U720" s="1545"/>
      <c r="V720" s="1545"/>
      <c r="W720" s="1545"/>
      <c r="X720" s="1545"/>
      <c r="Y720" s="1545"/>
    </row>
    <row r="721" spans="1:25">
      <c r="A721" s="1544"/>
      <c r="B721" s="1544"/>
      <c r="C721" s="1544"/>
      <c r="D721" s="1544"/>
      <c r="E721" s="1544"/>
      <c r="R721" s="1545"/>
      <c r="S721" s="1545"/>
      <c r="T721" s="1545"/>
      <c r="U721" s="1545"/>
      <c r="V721" s="1545"/>
      <c r="W721" s="1545"/>
      <c r="X721" s="1545"/>
      <c r="Y721" s="1545"/>
    </row>
    <row r="722" spans="1:25">
      <c r="A722" s="1544"/>
      <c r="B722" s="1544"/>
      <c r="C722" s="1544"/>
      <c r="D722" s="1544"/>
      <c r="E722" s="1544"/>
      <c r="R722" s="1545"/>
      <c r="S722" s="1545"/>
      <c r="T722" s="1545"/>
      <c r="U722" s="1545"/>
      <c r="V722" s="1545"/>
      <c r="W722" s="1545"/>
      <c r="X722" s="1545"/>
      <c r="Y722" s="1545"/>
    </row>
    <row r="723" spans="1:25">
      <c r="A723" s="1544"/>
      <c r="B723" s="1544"/>
      <c r="C723" s="1544"/>
      <c r="D723" s="1544"/>
      <c r="E723" s="1544"/>
      <c r="R723" s="1545"/>
      <c r="S723" s="1545"/>
      <c r="T723" s="1545"/>
      <c r="U723" s="1545"/>
      <c r="V723" s="1545"/>
      <c r="W723" s="1545"/>
      <c r="X723" s="1545"/>
      <c r="Y723" s="1545"/>
    </row>
    <row r="724" spans="1:25">
      <c r="A724" s="1544"/>
      <c r="B724" s="1544"/>
      <c r="C724" s="1544"/>
      <c r="D724" s="1544"/>
      <c r="E724" s="1544"/>
      <c r="R724" s="1545"/>
      <c r="S724" s="1545"/>
      <c r="T724" s="1545"/>
      <c r="U724" s="1545"/>
      <c r="V724" s="1545"/>
      <c r="W724" s="1545"/>
      <c r="X724" s="1545"/>
      <c r="Y724" s="1545"/>
    </row>
    <row r="725" spans="1:25">
      <c r="A725" s="1544"/>
      <c r="B725" s="1544"/>
      <c r="C725" s="1544"/>
      <c r="D725" s="1544"/>
      <c r="E725" s="1544"/>
      <c r="R725" s="1545"/>
      <c r="S725" s="1545"/>
      <c r="T725" s="1545"/>
      <c r="U725" s="1545"/>
      <c r="V725" s="1545"/>
      <c r="W725" s="1545"/>
      <c r="X725" s="1545"/>
      <c r="Y725" s="1545"/>
    </row>
    <row r="726" spans="1:25">
      <c r="A726" s="1544"/>
      <c r="B726" s="1544"/>
      <c r="C726" s="1544"/>
      <c r="D726" s="1544"/>
      <c r="E726" s="1544"/>
      <c r="R726" s="1545"/>
      <c r="S726" s="1545"/>
      <c r="T726" s="1545"/>
      <c r="U726" s="1545"/>
      <c r="V726" s="1545"/>
      <c r="W726" s="1545"/>
      <c r="X726" s="1545"/>
      <c r="Y726" s="1545"/>
    </row>
    <row r="727" spans="1:25">
      <c r="A727" s="1544"/>
      <c r="B727" s="1544"/>
      <c r="C727" s="1544"/>
      <c r="D727" s="1544"/>
      <c r="E727" s="1544"/>
      <c r="R727" s="1545"/>
      <c r="S727" s="1545"/>
      <c r="T727" s="1545"/>
      <c r="U727" s="1545"/>
      <c r="V727" s="1545"/>
      <c r="W727" s="1545"/>
      <c r="X727" s="1545"/>
      <c r="Y727" s="1545"/>
    </row>
    <row r="728" spans="1:25">
      <c r="A728" s="1544"/>
      <c r="B728" s="1544"/>
      <c r="C728" s="1544"/>
      <c r="D728" s="1544"/>
      <c r="E728" s="1544"/>
      <c r="R728" s="1545"/>
      <c r="S728" s="1545"/>
      <c r="T728" s="1545"/>
      <c r="U728" s="1545"/>
      <c r="V728" s="1545"/>
      <c r="W728" s="1545"/>
      <c r="X728" s="1545"/>
      <c r="Y728" s="1545"/>
    </row>
    <row r="729" spans="1:25">
      <c r="A729" s="1544"/>
      <c r="B729" s="1544"/>
      <c r="C729" s="1544"/>
      <c r="D729" s="1544"/>
      <c r="E729" s="1544"/>
      <c r="R729" s="1545"/>
      <c r="S729" s="1545"/>
      <c r="T729" s="1545"/>
      <c r="U729" s="1545"/>
      <c r="V729" s="1545"/>
      <c r="W729" s="1545"/>
      <c r="X729" s="1545"/>
      <c r="Y729" s="1545"/>
    </row>
    <row r="730" spans="1:25">
      <c r="A730" s="1544"/>
      <c r="B730" s="1544"/>
      <c r="C730" s="1544"/>
      <c r="D730" s="1544"/>
      <c r="E730" s="1544"/>
      <c r="R730" s="1545"/>
      <c r="S730" s="1545"/>
      <c r="T730" s="1545"/>
      <c r="U730" s="1545"/>
      <c r="V730" s="1545"/>
      <c r="W730" s="1545"/>
      <c r="X730" s="1545"/>
      <c r="Y730" s="1545"/>
    </row>
    <row r="731" spans="1:25">
      <c r="A731" s="1544"/>
      <c r="B731" s="1544"/>
      <c r="C731" s="1544"/>
      <c r="D731" s="1544"/>
      <c r="E731" s="1544"/>
      <c r="R731" s="1545"/>
      <c r="S731" s="1545"/>
      <c r="T731" s="1545"/>
      <c r="U731" s="1545"/>
      <c r="V731" s="1545"/>
      <c r="W731" s="1545"/>
      <c r="X731" s="1545"/>
      <c r="Y731" s="1545"/>
    </row>
    <row r="732" spans="1:25">
      <c r="A732" s="1544"/>
      <c r="B732" s="1544"/>
      <c r="C732" s="1544"/>
      <c r="D732" s="1544"/>
      <c r="E732" s="1544"/>
      <c r="R732" s="1545"/>
      <c r="S732" s="1545"/>
      <c r="T732" s="1545"/>
      <c r="U732" s="1545"/>
      <c r="V732" s="1545"/>
      <c r="W732" s="1545"/>
      <c r="X732" s="1545"/>
      <c r="Y732" s="1545"/>
    </row>
    <row r="733" spans="1:25">
      <c r="A733" s="1544"/>
      <c r="B733" s="1544"/>
      <c r="C733" s="1544"/>
      <c r="D733" s="1544"/>
      <c r="E733" s="1544"/>
      <c r="R733" s="1545"/>
      <c r="S733" s="1545"/>
      <c r="T733" s="1545"/>
      <c r="U733" s="1545"/>
      <c r="V733" s="1545"/>
      <c r="W733" s="1545"/>
      <c r="X733" s="1545"/>
      <c r="Y733" s="1545"/>
    </row>
    <row r="734" spans="1:25">
      <c r="A734" s="1544"/>
      <c r="B734" s="1544"/>
      <c r="C734" s="1544"/>
      <c r="D734" s="1544"/>
      <c r="E734" s="1544"/>
      <c r="R734" s="1545"/>
      <c r="S734" s="1545"/>
      <c r="T734" s="1545"/>
      <c r="U734" s="1545"/>
      <c r="V734" s="1545"/>
      <c r="W734" s="1545"/>
      <c r="X734" s="1545"/>
      <c r="Y734" s="1545"/>
    </row>
    <row r="735" spans="1:25">
      <c r="A735" s="1544"/>
      <c r="B735" s="1544"/>
      <c r="C735" s="1544"/>
      <c r="D735" s="1544"/>
      <c r="E735" s="1544"/>
      <c r="R735" s="1545"/>
      <c r="S735" s="1545"/>
      <c r="T735" s="1545"/>
      <c r="U735" s="1545"/>
      <c r="V735" s="1545"/>
      <c r="W735" s="1545"/>
      <c r="X735" s="1545"/>
      <c r="Y735" s="1545"/>
    </row>
    <row r="736" spans="1:25">
      <c r="A736" s="1544"/>
      <c r="B736" s="1544"/>
      <c r="C736" s="1544"/>
      <c r="D736" s="1544"/>
      <c r="E736" s="1544"/>
      <c r="R736" s="1545"/>
      <c r="S736" s="1545"/>
      <c r="T736" s="1545"/>
      <c r="U736" s="1545"/>
      <c r="V736" s="1545"/>
      <c r="W736" s="1545"/>
      <c r="X736" s="1545"/>
      <c r="Y736" s="1545"/>
    </row>
    <row r="737" spans="1:25">
      <c r="A737" s="1544"/>
      <c r="B737" s="1544"/>
      <c r="C737" s="1544"/>
      <c r="D737" s="1544"/>
      <c r="E737" s="1544"/>
      <c r="R737" s="1545"/>
      <c r="S737" s="1545"/>
      <c r="T737" s="1545"/>
      <c r="U737" s="1545"/>
      <c r="V737" s="1545"/>
      <c r="W737" s="1545"/>
      <c r="X737" s="1545"/>
      <c r="Y737" s="1545"/>
    </row>
    <row r="738" spans="1:25">
      <c r="A738" s="1544"/>
      <c r="B738" s="1544"/>
      <c r="C738" s="1544"/>
      <c r="D738" s="1544"/>
      <c r="E738" s="1544"/>
      <c r="R738" s="1545"/>
      <c r="S738" s="1545"/>
      <c r="T738" s="1545"/>
      <c r="U738" s="1545"/>
      <c r="V738" s="1545"/>
      <c r="W738" s="1545"/>
      <c r="X738" s="1545"/>
      <c r="Y738" s="1545"/>
    </row>
    <row r="739" spans="1:25">
      <c r="A739" s="1544"/>
      <c r="B739" s="1544"/>
      <c r="C739" s="1544"/>
      <c r="D739" s="1544"/>
      <c r="E739" s="1544"/>
      <c r="R739" s="1545"/>
      <c r="S739" s="1545"/>
      <c r="T739" s="1545"/>
      <c r="U739" s="1545"/>
      <c r="V739" s="1545"/>
      <c r="W739" s="1545"/>
      <c r="X739" s="1545"/>
      <c r="Y739" s="1545"/>
    </row>
    <row r="740" spans="1:25">
      <c r="A740" s="1544"/>
      <c r="B740" s="1544"/>
      <c r="C740" s="1544"/>
      <c r="D740" s="1544"/>
      <c r="E740" s="1544"/>
      <c r="R740" s="1545"/>
      <c r="S740" s="1545"/>
      <c r="T740" s="1545"/>
      <c r="U740" s="1545"/>
      <c r="V740" s="1545"/>
      <c r="W740" s="1545"/>
      <c r="X740" s="1545"/>
      <c r="Y740" s="1545"/>
    </row>
    <row r="741" spans="1:25">
      <c r="A741" s="1544"/>
      <c r="B741" s="1544"/>
      <c r="C741" s="1544"/>
      <c r="D741" s="1544"/>
      <c r="E741" s="1544"/>
      <c r="R741" s="1545"/>
      <c r="S741" s="1545"/>
      <c r="T741" s="1545"/>
      <c r="U741" s="1545"/>
      <c r="V741" s="1545"/>
      <c r="W741" s="1545"/>
      <c r="X741" s="1545"/>
      <c r="Y741" s="1545"/>
    </row>
    <row r="742" spans="1:25">
      <c r="A742" s="1544"/>
      <c r="B742" s="1544"/>
      <c r="C742" s="1544"/>
      <c r="D742" s="1544"/>
      <c r="E742" s="1544"/>
      <c r="R742" s="1545"/>
      <c r="S742" s="1545"/>
      <c r="T742" s="1545"/>
      <c r="U742" s="1545"/>
      <c r="V742" s="1545"/>
      <c r="W742" s="1545"/>
      <c r="X742" s="1545"/>
      <c r="Y742" s="1545"/>
    </row>
    <row r="743" spans="1:25">
      <c r="A743" s="1544"/>
      <c r="B743" s="1544"/>
      <c r="C743" s="1544"/>
      <c r="D743" s="1544"/>
      <c r="E743" s="1544"/>
      <c r="R743" s="1545"/>
      <c r="S743" s="1545"/>
      <c r="T743" s="1545"/>
      <c r="U743" s="1545"/>
      <c r="V743" s="1545"/>
      <c r="W743" s="1545"/>
      <c r="X743" s="1545"/>
      <c r="Y743" s="1545"/>
    </row>
    <row r="744" spans="1:25">
      <c r="A744" s="1544"/>
      <c r="B744" s="1544"/>
      <c r="C744" s="1544"/>
      <c r="D744" s="1544"/>
      <c r="E744" s="1544"/>
      <c r="R744" s="1545"/>
      <c r="S744" s="1545"/>
      <c r="T744" s="1545"/>
      <c r="U744" s="1545"/>
      <c r="V744" s="1545"/>
      <c r="W744" s="1545"/>
      <c r="X744" s="1545"/>
      <c r="Y744" s="1545"/>
    </row>
    <row r="745" spans="1:25">
      <c r="A745" s="1544"/>
      <c r="B745" s="1544"/>
      <c r="C745" s="1544"/>
      <c r="D745" s="1544"/>
      <c r="E745" s="1544"/>
      <c r="R745" s="1545"/>
      <c r="S745" s="1545"/>
      <c r="T745" s="1545"/>
      <c r="U745" s="1545"/>
      <c r="V745" s="1545"/>
      <c r="W745" s="1545"/>
      <c r="X745" s="1545"/>
      <c r="Y745" s="1545"/>
    </row>
    <row r="746" spans="1:25">
      <c r="A746" s="1544"/>
      <c r="B746" s="1544"/>
      <c r="C746" s="1544"/>
      <c r="D746" s="1544"/>
      <c r="E746" s="1544"/>
      <c r="R746" s="1545"/>
      <c r="S746" s="1545"/>
      <c r="T746" s="1545"/>
      <c r="U746" s="1545"/>
      <c r="V746" s="1545"/>
      <c r="W746" s="1545"/>
      <c r="X746" s="1545"/>
      <c r="Y746" s="1545"/>
    </row>
    <row r="747" spans="1:25">
      <c r="A747" s="1544"/>
      <c r="B747" s="1544"/>
      <c r="C747" s="1544"/>
      <c r="D747" s="1544"/>
      <c r="E747" s="1544"/>
      <c r="R747" s="1545"/>
      <c r="S747" s="1545"/>
      <c r="T747" s="1545"/>
      <c r="U747" s="1545"/>
      <c r="V747" s="1545"/>
      <c r="W747" s="1545"/>
      <c r="X747" s="1545"/>
      <c r="Y747" s="1545"/>
    </row>
    <row r="748" spans="1:25">
      <c r="A748" s="1544"/>
      <c r="B748" s="1544"/>
      <c r="C748" s="1544"/>
      <c r="D748" s="1544"/>
      <c r="E748" s="1544"/>
      <c r="R748" s="1545"/>
      <c r="S748" s="1545"/>
      <c r="T748" s="1545"/>
      <c r="U748" s="1545"/>
      <c r="V748" s="1545"/>
      <c r="W748" s="1545"/>
      <c r="X748" s="1545"/>
      <c r="Y748" s="1545"/>
    </row>
    <row r="749" spans="1:25">
      <c r="A749" s="1544"/>
      <c r="B749" s="1544"/>
      <c r="C749" s="1544"/>
      <c r="D749" s="1544"/>
      <c r="E749" s="1544"/>
      <c r="R749" s="1545"/>
      <c r="S749" s="1545"/>
      <c r="T749" s="1545"/>
      <c r="U749" s="1545"/>
      <c r="V749" s="1545"/>
      <c r="W749" s="1545"/>
      <c r="X749" s="1545"/>
      <c r="Y749" s="1545"/>
    </row>
    <row r="750" spans="1:25">
      <c r="A750" s="1544"/>
      <c r="B750" s="1544"/>
      <c r="C750" s="1544"/>
      <c r="D750" s="1544"/>
      <c r="E750" s="1544"/>
      <c r="R750" s="1545"/>
      <c r="S750" s="1545"/>
      <c r="T750" s="1545"/>
      <c r="U750" s="1545"/>
      <c r="V750" s="1545"/>
      <c r="W750" s="1545"/>
      <c r="X750" s="1545"/>
      <c r="Y750" s="1545"/>
    </row>
    <row r="751" spans="1:25">
      <c r="A751" s="1544"/>
      <c r="B751" s="1544"/>
      <c r="C751" s="1544"/>
      <c r="D751" s="1544"/>
      <c r="E751" s="1544"/>
      <c r="R751" s="1545"/>
      <c r="S751" s="1545"/>
      <c r="T751" s="1545"/>
      <c r="U751" s="1545"/>
      <c r="V751" s="1545"/>
      <c r="W751" s="1545"/>
      <c r="X751" s="1545"/>
      <c r="Y751" s="1545"/>
    </row>
    <row r="752" spans="1:25">
      <c r="A752" s="1544"/>
      <c r="B752" s="1544"/>
      <c r="C752" s="1544"/>
      <c r="D752" s="1544"/>
      <c r="E752" s="1544"/>
      <c r="R752" s="1545"/>
      <c r="S752" s="1545"/>
      <c r="T752" s="1545"/>
      <c r="U752" s="1545"/>
      <c r="V752" s="1545"/>
      <c r="W752" s="1545"/>
      <c r="X752" s="1545"/>
      <c r="Y752" s="1545"/>
    </row>
    <row r="753" spans="1:25">
      <c r="A753" s="1544"/>
      <c r="B753" s="1544"/>
      <c r="C753" s="1544"/>
      <c r="D753" s="1544"/>
      <c r="E753" s="1544"/>
      <c r="R753" s="1545"/>
      <c r="S753" s="1545"/>
      <c r="T753" s="1545"/>
      <c r="U753" s="1545"/>
      <c r="V753" s="1545"/>
      <c r="W753" s="1545"/>
      <c r="X753" s="1545"/>
      <c r="Y753" s="1545"/>
    </row>
    <row r="754" spans="1:25">
      <c r="A754" s="1544"/>
      <c r="B754" s="1544"/>
      <c r="C754" s="1544"/>
      <c r="D754" s="1544"/>
      <c r="E754" s="1544"/>
      <c r="R754" s="1545"/>
      <c r="S754" s="1545"/>
      <c r="T754" s="1545"/>
      <c r="U754" s="1545"/>
      <c r="V754" s="1545"/>
      <c r="W754" s="1545"/>
      <c r="X754" s="1545"/>
      <c r="Y754" s="1545"/>
    </row>
    <row r="755" spans="1:25">
      <c r="A755" s="1544"/>
      <c r="B755" s="1544"/>
      <c r="C755" s="1544"/>
      <c r="D755" s="1544"/>
      <c r="E755" s="1544"/>
      <c r="R755" s="1545"/>
      <c r="S755" s="1545"/>
      <c r="T755" s="1545"/>
      <c r="U755" s="1545"/>
      <c r="V755" s="1545"/>
      <c r="W755" s="1545"/>
      <c r="X755" s="1545"/>
      <c r="Y755" s="1545"/>
    </row>
    <row r="756" spans="1:25">
      <c r="A756" s="1544"/>
      <c r="B756" s="1544"/>
      <c r="C756" s="1544"/>
      <c r="D756" s="1544"/>
      <c r="E756" s="1544"/>
      <c r="R756" s="1545"/>
      <c r="S756" s="1545"/>
      <c r="T756" s="1545"/>
      <c r="U756" s="1545"/>
      <c r="V756" s="1545"/>
      <c r="W756" s="1545"/>
      <c r="X756" s="1545"/>
      <c r="Y756" s="1545"/>
    </row>
    <row r="757" spans="1:25">
      <c r="A757" s="1544"/>
      <c r="B757" s="1544"/>
      <c r="C757" s="1544"/>
      <c r="D757" s="1544"/>
      <c r="E757" s="1544"/>
      <c r="R757" s="1545"/>
      <c r="S757" s="1545"/>
      <c r="T757" s="1545"/>
      <c r="U757" s="1545"/>
      <c r="V757" s="1545"/>
      <c r="W757" s="1545"/>
      <c r="X757" s="1545"/>
      <c r="Y757" s="1545"/>
    </row>
    <row r="758" spans="1:25">
      <c r="A758" s="1544"/>
      <c r="B758" s="1544"/>
      <c r="C758" s="1544"/>
      <c r="D758" s="1544"/>
      <c r="E758" s="1544"/>
      <c r="R758" s="1545"/>
      <c r="S758" s="1545"/>
      <c r="T758" s="1545"/>
      <c r="U758" s="1545"/>
      <c r="V758" s="1545"/>
      <c r="W758" s="1545"/>
      <c r="X758" s="1545"/>
      <c r="Y758" s="1545"/>
    </row>
    <row r="759" spans="1:25">
      <c r="A759" s="1544"/>
      <c r="B759" s="1544"/>
      <c r="C759" s="1544"/>
      <c r="D759" s="1544"/>
      <c r="E759" s="1544"/>
      <c r="R759" s="1545"/>
      <c r="S759" s="1545"/>
      <c r="T759" s="1545"/>
      <c r="U759" s="1545"/>
      <c r="V759" s="1545"/>
      <c r="W759" s="1545"/>
      <c r="X759" s="1545"/>
      <c r="Y759" s="1545"/>
    </row>
    <row r="760" spans="1:25">
      <c r="A760" s="1544"/>
      <c r="B760" s="1544"/>
      <c r="C760" s="1544"/>
      <c r="D760" s="1544"/>
      <c r="E760" s="1544"/>
      <c r="R760" s="1545"/>
      <c r="S760" s="1545"/>
      <c r="T760" s="1545"/>
      <c r="U760" s="1545"/>
      <c r="V760" s="1545"/>
      <c r="W760" s="1545"/>
      <c r="X760" s="1545"/>
      <c r="Y760" s="1545"/>
    </row>
    <row r="761" spans="1:25">
      <c r="A761" s="1544"/>
      <c r="B761" s="1544"/>
      <c r="C761" s="1544"/>
      <c r="D761" s="1544"/>
      <c r="E761" s="1544"/>
      <c r="R761" s="1545"/>
      <c r="S761" s="1545"/>
      <c r="T761" s="1545"/>
      <c r="U761" s="1545"/>
      <c r="V761" s="1545"/>
      <c r="W761" s="1545"/>
      <c r="X761" s="1545"/>
      <c r="Y761" s="1545"/>
    </row>
    <row r="762" spans="1:25">
      <c r="A762" s="1544"/>
      <c r="B762" s="1544"/>
      <c r="C762" s="1544"/>
      <c r="D762" s="1544"/>
      <c r="E762" s="1544"/>
      <c r="R762" s="1545"/>
      <c r="S762" s="1545"/>
      <c r="T762" s="1545"/>
      <c r="U762" s="1545"/>
      <c r="V762" s="1545"/>
      <c r="W762" s="1545"/>
      <c r="X762" s="1545"/>
      <c r="Y762" s="1545"/>
    </row>
    <row r="763" spans="1:25">
      <c r="A763" s="1544"/>
      <c r="B763" s="1544"/>
      <c r="C763" s="1544"/>
      <c r="D763" s="1544"/>
      <c r="E763" s="1544"/>
      <c r="R763" s="1545"/>
      <c r="S763" s="1545"/>
      <c r="T763" s="1545"/>
      <c r="U763" s="1545"/>
      <c r="V763" s="1545"/>
      <c r="W763" s="1545"/>
      <c r="X763" s="1545"/>
      <c r="Y763" s="1545"/>
    </row>
    <row r="764" spans="1:25">
      <c r="A764" s="1544"/>
      <c r="B764" s="1544"/>
      <c r="C764" s="1544"/>
      <c r="D764" s="1544"/>
      <c r="E764" s="1544"/>
      <c r="R764" s="1545"/>
      <c r="S764" s="1545"/>
      <c r="T764" s="1545"/>
      <c r="U764" s="1545"/>
      <c r="V764" s="1545"/>
      <c r="W764" s="1545"/>
      <c r="X764" s="1545"/>
      <c r="Y764" s="1545"/>
    </row>
    <row r="765" spans="1:25">
      <c r="A765" s="1544"/>
      <c r="B765" s="1544"/>
      <c r="C765" s="1544"/>
      <c r="D765" s="1544"/>
      <c r="E765" s="1544"/>
      <c r="R765" s="1545"/>
      <c r="S765" s="1545"/>
      <c r="T765" s="1545"/>
      <c r="U765" s="1545"/>
      <c r="V765" s="1545"/>
      <c r="W765" s="1545"/>
      <c r="X765" s="1545"/>
      <c r="Y765" s="1545"/>
    </row>
    <row r="766" spans="1:25">
      <c r="A766" s="1544"/>
      <c r="B766" s="1544"/>
      <c r="C766" s="1544"/>
      <c r="D766" s="1544"/>
      <c r="E766" s="1544"/>
      <c r="R766" s="1545"/>
      <c r="S766" s="1545"/>
      <c r="T766" s="1545"/>
      <c r="U766" s="1545"/>
      <c r="V766" s="1545"/>
      <c r="W766" s="1545"/>
      <c r="X766" s="1545"/>
      <c r="Y766" s="1545"/>
    </row>
    <row r="767" spans="1:25">
      <c r="A767" s="1544"/>
      <c r="B767" s="1544"/>
      <c r="C767" s="1544"/>
      <c r="D767" s="1544"/>
      <c r="E767" s="1544"/>
      <c r="R767" s="1545"/>
      <c r="S767" s="1545"/>
      <c r="T767" s="1545"/>
      <c r="U767" s="1545"/>
      <c r="V767" s="1545"/>
      <c r="W767" s="1545"/>
      <c r="X767" s="1545"/>
      <c r="Y767" s="1545"/>
    </row>
    <row r="768" spans="1:25">
      <c r="A768" s="1544"/>
      <c r="B768" s="1544"/>
      <c r="C768" s="1544"/>
      <c r="D768" s="1544"/>
      <c r="E768" s="1544"/>
      <c r="R768" s="1545"/>
      <c r="S768" s="1545"/>
      <c r="T768" s="1545"/>
      <c r="U768" s="1545"/>
      <c r="V768" s="1545"/>
      <c r="W768" s="1545"/>
      <c r="X768" s="1545"/>
      <c r="Y768" s="1545"/>
    </row>
    <row r="769" spans="1:25">
      <c r="A769" s="1544"/>
      <c r="B769" s="1544"/>
      <c r="C769" s="1544"/>
      <c r="D769" s="1544"/>
      <c r="E769" s="1544"/>
      <c r="R769" s="1545"/>
      <c r="S769" s="1545"/>
      <c r="T769" s="1545"/>
      <c r="U769" s="1545"/>
      <c r="V769" s="1545"/>
      <c r="W769" s="1545"/>
      <c r="X769" s="1545"/>
      <c r="Y769" s="1545"/>
    </row>
    <row r="770" spans="1:25">
      <c r="A770" s="1544"/>
      <c r="B770" s="1544"/>
      <c r="C770" s="1544"/>
      <c r="D770" s="1544"/>
      <c r="E770" s="1544"/>
      <c r="R770" s="1545"/>
      <c r="S770" s="1545"/>
      <c r="T770" s="1545"/>
      <c r="U770" s="1545"/>
      <c r="V770" s="1545"/>
      <c r="W770" s="1545"/>
      <c r="X770" s="1545"/>
      <c r="Y770" s="1545"/>
    </row>
    <row r="771" spans="1:25">
      <c r="A771" s="1544"/>
      <c r="B771" s="1544"/>
      <c r="C771" s="1544"/>
      <c r="D771" s="1544"/>
      <c r="E771" s="1544"/>
      <c r="R771" s="1545"/>
      <c r="S771" s="1545"/>
      <c r="T771" s="1545"/>
      <c r="U771" s="1545"/>
      <c r="V771" s="1545"/>
      <c r="W771" s="1545"/>
      <c r="X771" s="1545"/>
      <c r="Y771" s="1545"/>
    </row>
    <row r="772" spans="1:25">
      <c r="A772" s="1544"/>
      <c r="B772" s="1544"/>
      <c r="C772" s="1544"/>
      <c r="D772" s="1544"/>
      <c r="E772" s="1544"/>
      <c r="R772" s="1545"/>
      <c r="S772" s="1545"/>
      <c r="T772" s="1545"/>
      <c r="U772" s="1545"/>
      <c r="V772" s="1545"/>
      <c r="W772" s="1545"/>
      <c r="X772" s="1545"/>
      <c r="Y772" s="1545"/>
    </row>
    <row r="773" spans="1:25">
      <c r="A773" s="1544"/>
      <c r="B773" s="1544"/>
      <c r="C773" s="1544"/>
      <c r="D773" s="1544"/>
      <c r="E773" s="1544"/>
      <c r="R773" s="1545"/>
      <c r="S773" s="1545"/>
      <c r="T773" s="1545"/>
      <c r="U773" s="1545"/>
      <c r="V773" s="1545"/>
      <c r="W773" s="1545"/>
      <c r="X773" s="1545"/>
      <c r="Y773" s="1545"/>
    </row>
    <row r="774" spans="1:25">
      <c r="A774" s="1544"/>
      <c r="B774" s="1544"/>
      <c r="C774" s="1544"/>
      <c r="D774" s="1544"/>
      <c r="E774" s="1544"/>
      <c r="R774" s="1545"/>
      <c r="S774" s="1545"/>
      <c r="T774" s="1545"/>
      <c r="U774" s="1545"/>
      <c r="V774" s="1545"/>
      <c r="W774" s="1545"/>
      <c r="X774" s="1545"/>
      <c r="Y774" s="1545"/>
    </row>
    <row r="775" spans="1:25">
      <c r="A775" s="1544"/>
      <c r="B775" s="1544"/>
      <c r="C775" s="1544"/>
      <c r="D775" s="1544"/>
      <c r="E775" s="1544"/>
      <c r="R775" s="1545"/>
      <c r="S775" s="1545"/>
      <c r="T775" s="1545"/>
      <c r="U775" s="1545"/>
      <c r="V775" s="1545"/>
      <c r="W775" s="1545"/>
      <c r="X775" s="1545"/>
      <c r="Y775" s="1545"/>
    </row>
    <row r="776" spans="1:25">
      <c r="A776" s="1544"/>
      <c r="B776" s="1544"/>
      <c r="C776" s="1544"/>
      <c r="D776" s="1544"/>
      <c r="E776" s="1544"/>
      <c r="R776" s="1545"/>
      <c r="S776" s="1545"/>
      <c r="T776" s="1545"/>
      <c r="U776" s="1545"/>
      <c r="V776" s="1545"/>
      <c r="W776" s="1545"/>
      <c r="X776" s="1545"/>
      <c r="Y776" s="1545"/>
    </row>
    <row r="777" spans="1:25">
      <c r="A777" s="1544"/>
      <c r="B777" s="1544"/>
      <c r="C777" s="1544"/>
      <c r="D777" s="1544"/>
      <c r="E777" s="1544"/>
      <c r="R777" s="1545"/>
      <c r="S777" s="1545"/>
      <c r="T777" s="1545"/>
      <c r="U777" s="1545"/>
      <c r="V777" s="1545"/>
      <c r="W777" s="1545"/>
      <c r="X777" s="1545"/>
      <c r="Y777" s="1545"/>
    </row>
    <row r="778" spans="1:25">
      <c r="A778" s="1544"/>
      <c r="B778" s="1544"/>
      <c r="C778" s="1544"/>
      <c r="D778" s="1544"/>
      <c r="E778" s="1544"/>
      <c r="R778" s="1545"/>
      <c r="S778" s="1545"/>
      <c r="T778" s="1545"/>
      <c r="U778" s="1545"/>
      <c r="V778" s="1545"/>
      <c r="W778" s="1545"/>
      <c r="X778" s="1545"/>
      <c r="Y778" s="1545"/>
    </row>
    <row r="779" spans="1:25">
      <c r="A779" s="1544"/>
      <c r="B779" s="1544"/>
      <c r="C779" s="1544"/>
      <c r="D779" s="1544"/>
      <c r="E779" s="1544"/>
      <c r="R779" s="1545"/>
      <c r="S779" s="1545"/>
      <c r="T779" s="1545"/>
      <c r="U779" s="1545"/>
      <c r="V779" s="1545"/>
      <c r="W779" s="1545"/>
      <c r="X779" s="1545"/>
      <c r="Y779" s="1545"/>
    </row>
    <row r="780" spans="1:25">
      <c r="A780" s="1544"/>
      <c r="B780" s="1544"/>
      <c r="C780" s="1544"/>
      <c r="D780" s="1544"/>
      <c r="E780" s="1544"/>
      <c r="R780" s="1545"/>
      <c r="S780" s="1545"/>
      <c r="T780" s="1545"/>
      <c r="U780" s="1545"/>
      <c r="V780" s="1545"/>
      <c r="W780" s="1545"/>
      <c r="X780" s="1545"/>
      <c r="Y780" s="1545"/>
    </row>
    <row r="781" spans="1:25">
      <c r="A781" s="1544"/>
      <c r="B781" s="1544"/>
      <c r="C781" s="1544"/>
      <c r="D781" s="1544"/>
      <c r="E781" s="1544"/>
      <c r="R781" s="1545"/>
      <c r="S781" s="1545"/>
      <c r="T781" s="1545"/>
      <c r="U781" s="1545"/>
      <c r="V781" s="1545"/>
      <c r="W781" s="1545"/>
      <c r="X781" s="1545"/>
      <c r="Y781" s="1545"/>
    </row>
    <row r="782" spans="1:25">
      <c r="A782" s="1544"/>
      <c r="B782" s="1544"/>
      <c r="C782" s="1544"/>
      <c r="D782" s="1544"/>
      <c r="E782" s="1544"/>
      <c r="R782" s="1545"/>
      <c r="S782" s="1545"/>
      <c r="T782" s="1545"/>
      <c r="U782" s="1545"/>
      <c r="V782" s="1545"/>
      <c r="W782" s="1545"/>
      <c r="X782" s="1545"/>
      <c r="Y782" s="1545"/>
    </row>
    <row r="783" spans="1:25">
      <c r="A783" s="1544"/>
      <c r="B783" s="1544"/>
      <c r="C783" s="1544"/>
      <c r="D783" s="1544"/>
      <c r="E783" s="1544"/>
      <c r="R783" s="1545"/>
      <c r="S783" s="1545"/>
      <c r="T783" s="1545"/>
      <c r="U783" s="1545"/>
      <c r="V783" s="1545"/>
      <c r="W783" s="1545"/>
      <c r="X783" s="1545"/>
      <c r="Y783" s="1545"/>
    </row>
    <row r="784" spans="1:25">
      <c r="A784" s="1544"/>
      <c r="B784" s="1544"/>
      <c r="C784" s="1544"/>
      <c r="D784" s="1544"/>
      <c r="E784" s="1544"/>
      <c r="R784" s="1545"/>
      <c r="S784" s="1545"/>
      <c r="T784" s="1545"/>
      <c r="U784" s="1545"/>
      <c r="V784" s="1545"/>
      <c r="W784" s="1545"/>
      <c r="X784" s="1545"/>
      <c r="Y784" s="1545"/>
    </row>
    <row r="785" spans="1:25">
      <c r="A785" s="1544"/>
      <c r="B785" s="1544"/>
      <c r="C785" s="1544"/>
      <c r="D785" s="1544"/>
      <c r="E785" s="1544"/>
      <c r="R785" s="1545"/>
      <c r="S785" s="1545"/>
      <c r="T785" s="1545"/>
      <c r="U785" s="1545"/>
      <c r="V785" s="1545"/>
      <c r="W785" s="1545"/>
      <c r="X785" s="1545"/>
      <c r="Y785" s="1545"/>
    </row>
    <row r="786" spans="1:25">
      <c r="A786" s="1544"/>
      <c r="B786" s="1544"/>
      <c r="C786" s="1544"/>
      <c r="D786" s="1544"/>
      <c r="E786" s="1544"/>
      <c r="R786" s="1545"/>
      <c r="S786" s="1545"/>
      <c r="T786" s="1545"/>
      <c r="U786" s="1545"/>
      <c r="V786" s="1545"/>
      <c r="W786" s="1545"/>
      <c r="X786" s="1545"/>
      <c r="Y786" s="1545"/>
    </row>
    <row r="787" spans="1:25">
      <c r="A787" s="1544"/>
      <c r="B787" s="1544"/>
      <c r="C787" s="1544"/>
      <c r="D787" s="1544"/>
      <c r="E787" s="1544"/>
      <c r="R787" s="1545"/>
      <c r="S787" s="1545"/>
      <c r="T787" s="1545"/>
      <c r="U787" s="1545"/>
      <c r="V787" s="1545"/>
      <c r="W787" s="1545"/>
      <c r="X787" s="1545"/>
      <c r="Y787" s="1545"/>
    </row>
    <row r="788" spans="1:25">
      <c r="A788" s="1544"/>
      <c r="B788" s="1544"/>
      <c r="C788" s="1544"/>
      <c r="D788" s="1544"/>
      <c r="E788" s="1544"/>
      <c r="R788" s="1545"/>
      <c r="S788" s="1545"/>
      <c r="T788" s="1545"/>
      <c r="U788" s="1545"/>
      <c r="V788" s="1545"/>
      <c r="W788" s="1545"/>
      <c r="X788" s="1545"/>
      <c r="Y788" s="1545"/>
    </row>
    <row r="789" spans="1:25">
      <c r="A789" s="1544"/>
      <c r="B789" s="1544"/>
      <c r="C789" s="1544"/>
      <c r="D789" s="1544"/>
      <c r="E789" s="1544"/>
      <c r="R789" s="1545"/>
      <c r="S789" s="1545"/>
      <c r="T789" s="1545"/>
      <c r="U789" s="1545"/>
      <c r="V789" s="1545"/>
      <c r="W789" s="1545"/>
      <c r="X789" s="1545"/>
      <c r="Y789" s="1545"/>
    </row>
    <row r="790" spans="1:25">
      <c r="A790" s="1544"/>
      <c r="B790" s="1544"/>
      <c r="C790" s="1544"/>
      <c r="D790" s="1544"/>
      <c r="E790" s="1544"/>
      <c r="R790" s="1545"/>
      <c r="S790" s="1545"/>
      <c r="T790" s="1545"/>
      <c r="U790" s="1545"/>
      <c r="V790" s="1545"/>
      <c r="W790" s="1545"/>
      <c r="X790" s="1545"/>
      <c r="Y790" s="1545"/>
    </row>
    <row r="791" spans="1:25">
      <c r="A791" s="1544"/>
      <c r="B791" s="1544"/>
      <c r="C791" s="1544"/>
      <c r="D791" s="1544"/>
      <c r="E791" s="1544"/>
      <c r="R791" s="1545"/>
      <c r="S791" s="1545"/>
      <c r="T791" s="1545"/>
      <c r="U791" s="1545"/>
      <c r="V791" s="1545"/>
      <c r="W791" s="1545"/>
      <c r="X791" s="1545"/>
      <c r="Y791" s="1545"/>
    </row>
    <row r="792" spans="1:25">
      <c r="A792" s="1544"/>
      <c r="B792" s="1544"/>
      <c r="C792" s="1544"/>
      <c r="D792" s="1544"/>
      <c r="E792" s="1544"/>
      <c r="R792" s="1545"/>
      <c r="S792" s="1545"/>
      <c r="T792" s="1545"/>
      <c r="U792" s="1545"/>
      <c r="V792" s="1545"/>
      <c r="W792" s="1545"/>
      <c r="X792" s="1545"/>
      <c r="Y792" s="1545"/>
    </row>
    <row r="793" spans="1:25">
      <c r="A793" s="1544"/>
      <c r="B793" s="1544"/>
      <c r="C793" s="1544"/>
      <c r="D793" s="1544"/>
      <c r="E793" s="1544"/>
      <c r="R793" s="1545"/>
      <c r="S793" s="1545"/>
      <c r="T793" s="1545"/>
      <c r="U793" s="1545"/>
      <c r="V793" s="1545"/>
      <c r="W793" s="1545"/>
      <c r="X793" s="1545"/>
      <c r="Y793" s="1545"/>
    </row>
    <row r="794" spans="1:25">
      <c r="A794" s="1544"/>
      <c r="B794" s="1544"/>
      <c r="C794" s="1544"/>
      <c r="D794" s="1544"/>
      <c r="E794" s="1544"/>
      <c r="R794" s="1545"/>
      <c r="S794" s="1545"/>
      <c r="T794" s="1545"/>
      <c r="U794" s="1545"/>
      <c r="V794" s="1545"/>
      <c r="W794" s="1545"/>
      <c r="X794" s="1545"/>
      <c r="Y794" s="1545"/>
    </row>
    <row r="795" spans="1:25">
      <c r="A795" s="1544"/>
      <c r="B795" s="1544"/>
      <c r="C795" s="1544"/>
      <c r="D795" s="1544"/>
      <c r="E795" s="1544"/>
      <c r="R795" s="1545"/>
      <c r="S795" s="1545"/>
      <c r="T795" s="1545"/>
      <c r="U795" s="1545"/>
      <c r="V795" s="1545"/>
      <c r="W795" s="1545"/>
      <c r="X795" s="1545"/>
      <c r="Y795" s="1545"/>
    </row>
    <row r="796" spans="1:25">
      <c r="A796" s="1544"/>
      <c r="B796" s="1544"/>
      <c r="C796" s="1544"/>
      <c r="D796" s="1544"/>
      <c r="E796" s="1544"/>
      <c r="R796" s="1545"/>
      <c r="S796" s="1545"/>
      <c r="T796" s="1545"/>
      <c r="U796" s="1545"/>
      <c r="V796" s="1545"/>
      <c r="W796" s="1545"/>
      <c r="X796" s="1545"/>
      <c r="Y796" s="1545"/>
    </row>
    <row r="797" spans="1:25">
      <c r="A797" s="1544"/>
      <c r="B797" s="1544"/>
      <c r="C797" s="1544"/>
      <c r="D797" s="1544"/>
      <c r="E797" s="1544"/>
      <c r="R797" s="1545"/>
      <c r="S797" s="1545"/>
      <c r="T797" s="1545"/>
      <c r="U797" s="1545"/>
      <c r="V797" s="1545"/>
      <c r="W797" s="1545"/>
      <c r="X797" s="1545"/>
      <c r="Y797" s="1545"/>
    </row>
    <row r="798" spans="1:25">
      <c r="A798" s="1544"/>
      <c r="B798" s="1544"/>
      <c r="C798" s="1544"/>
      <c r="D798" s="1544"/>
      <c r="E798" s="1544"/>
      <c r="R798" s="1545"/>
      <c r="S798" s="1545"/>
      <c r="T798" s="1545"/>
      <c r="U798" s="1545"/>
      <c r="V798" s="1545"/>
      <c r="W798" s="1545"/>
      <c r="X798" s="1545"/>
      <c r="Y798" s="1545"/>
    </row>
    <row r="799" spans="1:25">
      <c r="A799" s="1544"/>
      <c r="B799" s="1544"/>
      <c r="C799" s="1544"/>
      <c r="D799" s="1544"/>
      <c r="E799" s="1544"/>
      <c r="R799" s="1545"/>
      <c r="S799" s="1545"/>
      <c r="T799" s="1545"/>
      <c r="U799" s="1545"/>
      <c r="V799" s="1545"/>
      <c r="W799" s="1545"/>
      <c r="X799" s="1545"/>
      <c r="Y799" s="1545"/>
    </row>
    <row r="800" spans="1:25">
      <c r="A800" s="1544"/>
      <c r="B800" s="1544"/>
      <c r="C800" s="1544"/>
      <c r="D800" s="1544"/>
      <c r="E800" s="1544"/>
      <c r="R800" s="1545"/>
      <c r="S800" s="1545"/>
      <c r="T800" s="1545"/>
      <c r="U800" s="1545"/>
      <c r="V800" s="1545"/>
      <c r="W800" s="1545"/>
      <c r="X800" s="1545"/>
      <c r="Y800" s="1545"/>
    </row>
    <row r="801" spans="1:25">
      <c r="A801" s="1544"/>
      <c r="B801" s="1544"/>
      <c r="C801" s="1544"/>
      <c r="D801" s="1544"/>
      <c r="E801" s="1544"/>
      <c r="R801" s="1545"/>
      <c r="S801" s="1545"/>
      <c r="T801" s="1545"/>
      <c r="U801" s="1545"/>
      <c r="V801" s="1545"/>
      <c r="W801" s="1545"/>
      <c r="X801" s="1545"/>
      <c r="Y801" s="1545"/>
    </row>
    <row r="802" spans="1:25">
      <c r="A802" s="1544"/>
      <c r="B802" s="1544"/>
      <c r="C802" s="1544"/>
      <c r="D802" s="1544"/>
      <c r="E802" s="1544"/>
      <c r="R802" s="1545"/>
      <c r="S802" s="1545"/>
      <c r="T802" s="1545"/>
      <c r="U802" s="1545"/>
      <c r="V802" s="1545"/>
      <c r="W802" s="1545"/>
      <c r="X802" s="1545"/>
      <c r="Y802" s="1545"/>
    </row>
    <row r="803" spans="1:25">
      <c r="A803" s="1544"/>
      <c r="B803" s="1544"/>
      <c r="C803" s="1544"/>
      <c r="D803" s="1544"/>
      <c r="E803" s="1544"/>
      <c r="R803" s="1545"/>
      <c r="S803" s="1545"/>
      <c r="T803" s="1545"/>
      <c r="U803" s="1545"/>
      <c r="V803" s="1545"/>
      <c r="W803" s="1545"/>
      <c r="X803" s="1545"/>
      <c r="Y803" s="1545"/>
    </row>
    <row r="804" spans="1:25">
      <c r="A804" s="1544"/>
      <c r="B804" s="1544"/>
      <c r="C804" s="1544"/>
      <c r="D804" s="1544"/>
      <c r="E804" s="1544"/>
      <c r="R804" s="1545"/>
      <c r="S804" s="1545"/>
      <c r="T804" s="1545"/>
      <c r="U804" s="1545"/>
      <c r="V804" s="1545"/>
      <c r="W804" s="1545"/>
      <c r="X804" s="1545"/>
      <c r="Y804" s="1545"/>
    </row>
    <row r="805" spans="1:25">
      <c r="A805" s="1544"/>
      <c r="B805" s="1544"/>
      <c r="C805" s="1544"/>
      <c r="D805" s="1544"/>
      <c r="E805" s="1544"/>
      <c r="R805" s="1545"/>
      <c r="S805" s="1545"/>
      <c r="T805" s="1545"/>
      <c r="U805" s="1545"/>
      <c r="V805" s="1545"/>
      <c r="W805" s="1545"/>
      <c r="X805" s="1545"/>
      <c r="Y805" s="1545"/>
    </row>
    <row r="806" spans="1:25">
      <c r="A806" s="1544"/>
      <c r="B806" s="1544"/>
      <c r="C806" s="1544"/>
      <c r="D806" s="1544"/>
      <c r="E806" s="1544"/>
      <c r="R806" s="1545"/>
      <c r="S806" s="1545"/>
      <c r="T806" s="1545"/>
      <c r="U806" s="1545"/>
      <c r="V806" s="1545"/>
      <c r="W806" s="1545"/>
      <c r="X806" s="1545"/>
      <c r="Y806" s="1545"/>
    </row>
    <row r="807" spans="1:25">
      <c r="A807" s="1544"/>
      <c r="B807" s="1544"/>
      <c r="C807" s="1544"/>
      <c r="D807" s="1544"/>
      <c r="E807" s="1544"/>
      <c r="R807" s="1545"/>
      <c r="S807" s="1545"/>
      <c r="T807" s="1545"/>
      <c r="U807" s="1545"/>
      <c r="V807" s="1545"/>
      <c r="W807" s="1545"/>
      <c r="X807" s="1545"/>
      <c r="Y807" s="1545"/>
    </row>
    <row r="808" spans="1:25">
      <c r="A808" s="1544"/>
      <c r="B808" s="1544"/>
      <c r="C808" s="1544"/>
      <c r="D808" s="1544"/>
      <c r="E808" s="1544"/>
      <c r="R808" s="1545"/>
      <c r="S808" s="1545"/>
      <c r="T808" s="1545"/>
      <c r="U808" s="1545"/>
      <c r="V808" s="1545"/>
      <c r="W808" s="1545"/>
      <c r="X808" s="1545"/>
      <c r="Y808" s="1545"/>
    </row>
    <row r="809" spans="1:25">
      <c r="A809" s="1544"/>
      <c r="B809" s="1544"/>
      <c r="C809" s="1544"/>
      <c r="D809" s="1544"/>
      <c r="E809" s="1544"/>
      <c r="R809" s="1545"/>
      <c r="S809" s="1545"/>
      <c r="T809" s="1545"/>
      <c r="U809" s="1545"/>
      <c r="V809" s="1545"/>
      <c r="W809" s="1545"/>
      <c r="X809" s="1545"/>
      <c r="Y809" s="1545"/>
    </row>
    <row r="810" spans="1:25">
      <c r="A810" s="1544"/>
      <c r="B810" s="1544"/>
      <c r="C810" s="1544"/>
      <c r="D810" s="1544"/>
      <c r="E810" s="1544"/>
      <c r="R810" s="1545"/>
      <c r="S810" s="1545"/>
      <c r="T810" s="1545"/>
      <c r="U810" s="1545"/>
      <c r="V810" s="1545"/>
      <c r="W810" s="1545"/>
      <c r="X810" s="1545"/>
      <c r="Y810" s="1545"/>
    </row>
    <row r="811" spans="1:25">
      <c r="A811" s="1544"/>
      <c r="B811" s="1544"/>
      <c r="C811" s="1544"/>
      <c r="D811" s="1544"/>
      <c r="E811" s="1544"/>
      <c r="R811" s="1545"/>
      <c r="S811" s="1545"/>
      <c r="T811" s="1545"/>
      <c r="U811" s="1545"/>
      <c r="V811" s="1545"/>
      <c r="W811" s="1545"/>
      <c r="X811" s="1545"/>
      <c r="Y811" s="1545"/>
    </row>
    <row r="812" spans="1:25">
      <c r="A812" s="1544"/>
      <c r="B812" s="1544"/>
      <c r="C812" s="1544"/>
      <c r="D812" s="1544"/>
      <c r="E812" s="1544"/>
      <c r="R812" s="1545"/>
      <c r="S812" s="1545"/>
      <c r="T812" s="1545"/>
      <c r="U812" s="1545"/>
      <c r="V812" s="1545"/>
      <c r="W812" s="1545"/>
      <c r="X812" s="1545"/>
      <c r="Y812" s="1545"/>
    </row>
    <row r="813" spans="1:25">
      <c r="A813" s="1544"/>
      <c r="B813" s="1544"/>
      <c r="C813" s="1544"/>
      <c r="D813" s="1544"/>
      <c r="E813" s="1544"/>
      <c r="R813" s="1545"/>
      <c r="S813" s="1545"/>
      <c r="T813" s="1545"/>
      <c r="U813" s="1545"/>
      <c r="V813" s="1545"/>
      <c r="W813" s="1545"/>
      <c r="X813" s="1545"/>
      <c r="Y813" s="1545"/>
    </row>
    <row r="814" spans="1:25">
      <c r="A814" s="1544"/>
      <c r="B814" s="1544"/>
      <c r="C814" s="1544"/>
      <c r="D814" s="1544"/>
      <c r="E814" s="1544"/>
      <c r="R814" s="1545"/>
      <c r="S814" s="1545"/>
      <c r="T814" s="1545"/>
      <c r="U814" s="1545"/>
      <c r="V814" s="1545"/>
      <c r="W814" s="1545"/>
      <c r="X814" s="1545"/>
      <c r="Y814" s="1545"/>
    </row>
    <row r="815" spans="1:25">
      <c r="A815" s="1544"/>
      <c r="B815" s="1544"/>
      <c r="C815" s="1544"/>
      <c r="D815" s="1544"/>
      <c r="E815" s="1544"/>
      <c r="R815" s="1545"/>
      <c r="S815" s="1545"/>
      <c r="T815" s="1545"/>
      <c r="U815" s="1545"/>
      <c r="V815" s="1545"/>
      <c r="W815" s="1545"/>
      <c r="X815" s="1545"/>
      <c r="Y815" s="1545"/>
    </row>
    <row r="816" spans="1:25">
      <c r="A816" s="1544"/>
      <c r="B816" s="1544"/>
      <c r="C816" s="1544"/>
      <c r="D816" s="1544"/>
      <c r="E816" s="1544"/>
      <c r="R816" s="1545"/>
      <c r="S816" s="1545"/>
      <c r="T816" s="1545"/>
      <c r="U816" s="1545"/>
      <c r="V816" s="1545"/>
      <c r="W816" s="1545"/>
      <c r="X816" s="1545"/>
      <c r="Y816" s="1545"/>
    </row>
    <row r="817" spans="1:25">
      <c r="A817" s="1544"/>
      <c r="B817" s="1544"/>
      <c r="C817" s="1544"/>
      <c r="D817" s="1544"/>
      <c r="E817" s="1544"/>
      <c r="R817" s="1545"/>
      <c r="S817" s="1545"/>
      <c r="T817" s="1545"/>
      <c r="U817" s="1545"/>
      <c r="V817" s="1545"/>
      <c r="W817" s="1545"/>
      <c r="X817" s="1545"/>
      <c r="Y817" s="1545"/>
    </row>
    <row r="818" spans="1:25">
      <c r="A818" s="1544"/>
      <c r="B818" s="1544"/>
      <c r="C818" s="1544"/>
      <c r="D818" s="1544"/>
      <c r="E818" s="1544"/>
      <c r="R818" s="1545"/>
      <c r="S818" s="1545"/>
      <c r="T818" s="1545"/>
      <c r="U818" s="1545"/>
      <c r="V818" s="1545"/>
      <c r="W818" s="1545"/>
      <c r="X818" s="1545"/>
      <c r="Y818" s="1545"/>
    </row>
    <row r="819" spans="1:25">
      <c r="A819" s="1544"/>
      <c r="B819" s="1544"/>
      <c r="C819" s="1544"/>
      <c r="D819" s="1544"/>
      <c r="E819" s="1544"/>
      <c r="R819" s="1545"/>
      <c r="S819" s="1545"/>
      <c r="T819" s="1545"/>
      <c r="U819" s="1545"/>
      <c r="V819" s="1545"/>
      <c r="W819" s="1545"/>
      <c r="X819" s="1545"/>
      <c r="Y819" s="1545"/>
    </row>
    <row r="820" spans="1:25">
      <c r="A820" s="1544"/>
      <c r="B820" s="1544"/>
      <c r="C820" s="1544"/>
      <c r="D820" s="1544"/>
      <c r="E820" s="1544"/>
      <c r="R820" s="1545"/>
      <c r="S820" s="1545"/>
      <c r="T820" s="1545"/>
      <c r="U820" s="1545"/>
      <c r="V820" s="1545"/>
      <c r="W820" s="1545"/>
      <c r="X820" s="1545"/>
      <c r="Y820" s="1545"/>
    </row>
    <row r="821" spans="1:25">
      <c r="A821" s="1544"/>
      <c r="B821" s="1544"/>
      <c r="C821" s="1544"/>
      <c r="D821" s="1544"/>
      <c r="E821" s="1544"/>
      <c r="R821" s="1545"/>
      <c r="S821" s="1545"/>
      <c r="T821" s="1545"/>
      <c r="U821" s="1545"/>
      <c r="V821" s="1545"/>
      <c r="W821" s="1545"/>
      <c r="X821" s="1545"/>
      <c r="Y821" s="1545"/>
    </row>
    <row r="822" spans="1:25">
      <c r="A822" s="1544"/>
      <c r="B822" s="1544"/>
      <c r="C822" s="1544"/>
      <c r="D822" s="1544"/>
      <c r="E822" s="1544"/>
      <c r="R822" s="1545"/>
      <c r="S822" s="1545"/>
      <c r="T822" s="1545"/>
      <c r="U822" s="1545"/>
      <c r="V822" s="1545"/>
      <c r="W822" s="1545"/>
      <c r="X822" s="1545"/>
      <c r="Y822" s="1545"/>
    </row>
    <row r="823" spans="1:25">
      <c r="A823" s="1544"/>
      <c r="B823" s="1544"/>
      <c r="C823" s="1544"/>
      <c r="D823" s="1544"/>
      <c r="E823" s="1544"/>
      <c r="R823" s="1545"/>
      <c r="S823" s="1545"/>
      <c r="T823" s="1545"/>
      <c r="U823" s="1545"/>
      <c r="V823" s="1545"/>
      <c r="W823" s="1545"/>
      <c r="X823" s="1545"/>
      <c r="Y823" s="1545"/>
    </row>
    <row r="824" spans="1:25">
      <c r="A824" s="1544"/>
      <c r="B824" s="1544"/>
      <c r="C824" s="1544"/>
      <c r="D824" s="1544"/>
      <c r="E824" s="1544"/>
      <c r="R824" s="1545"/>
      <c r="S824" s="1545"/>
      <c r="T824" s="1545"/>
      <c r="U824" s="1545"/>
      <c r="V824" s="1545"/>
      <c r="W824" s="1545"/>
      <c r="X824" s="1545"/>
      <c r="Y824" s="1545"/>
    </row>
    <row r="825" spans="1:25">
      <c r="A825" s="1544"/>
      <c r="B825" s="1544"/>
      <c r="C825" s="1544"/>
      <c r="D825" s="1544"/>
      <c r="E825" s="1544"/>
      <c r="R825" s="1545"/>
      <c r="S825" s="1545"/>
      <c r="T825" s="1545"/>
      <c r="U825" s="1545"/>
      <c r="V825" s="1545"/>
      <c r="W825" s="1545"/>
      <c r="X825" s="1545"/>
      <c r="Y825" s="1545"/>
    </row>
    <row r="826" spans="1:25">
      <c r="A826" s="1544"/>
      <c r="B826" s="1544"/>
      <c r="C826" s="1544"/>
      <c r="D826" s="1544"/>
      <c r="E826" s="1544"/>
      <c r="R826" s="1545"/>
      <c r="S826" s="1545"/>
      <c r="T826" s="1545"/>
      <c r="U826" s="1545"/>
      <c r="V826" s="1545"/>
      <c r="W826" s="1545"/>
      <c r="X826" s="1545"/>
      <c r="Y826" s="1545"/>
    </row>
    <row r="827" spans="1:25">
      <c r="A827" s="1544"/>
      <c r="B827" s="1544"/>
      <c r="C827" s="1544"/>
      <c r="D827" s="1544"/>
      <c r="E827" s="1544"/>
      <c r="R827" s="1545"/>
      <c r="S827" s="1545"/>
      <c r="T827" s="1545"/>
      <c r="U827" s="1545"/>
      <c r="V827" s="1545"/>
      <c r="W827" s="1545"/>
      <c r="X827" s="1545"/>
      <c r="Y827" s="1545"/>
    </row>
    <row r="828" spans="1:25">
      <c r="A828" s="1544"/>
      <c r="B828" s="1544"/>
      <c r="C828" s="1544"/>
      <c r="D828" s="1544"/>
      <c r="E828" s="1544"/>
      <c r="R828" s="1545"/>
      <c r="S828" s="1545"/>
      <c r="T828" s="1545"/>
      <c r="U828" s="1545"/>
      <c r="V828" s="1545"/>
      <c r="W828" s="1545"/>
      <c r="X828" s="1545"/>
      <c r="Y828" s="1545"/>
    </row>
    <row r="829" spans="1:25">
      <c r="A829" s="1544"/>
      <c r="B829" s="1544"/>
      <c r="C829" s="1544"/>
      <c r="D829" s="1544"/>
      <c r="E829" s="1544"/>
      <c r="R829" s="1545"/>
      <c r="S829" s="1545"/>
      <c r="T829" s="1545"/>
      <c r="U829" s="1545"/>
      <c r="V829" s="1545"/>
      <c r="W829" s="1545"/>
      <c r="X829" s="1545"/>
      <c r="Y829" s="1545"/>
    </row>
    <row r="830" spans="1:25">
      <c r="A830" s="1544"/>
      <c r="B830" s="1544"/>
      <c r="C830" s="1544"/>
      <c r="D830" s="1544"/>
      <c r="E830" s="1544"/>
      <c r="R830" s="1545"/>
      <c r="S830" s="1545"/>
      <c r="T830" s="1545"/>
      <c r="U830" s="1545"/>
      <c r="V830" s="1545"/>
      <c r="W830" s="1545"/>
      <c r="X830" s="1545"/>
      <c r="Y830" s="1545"/>
    </row>
    <row r="831" spans="1:25">
      <c r="A831" s="1544"/>
      <c r="B831" s="1544"/>
      <c r="C831" s="1544"/>
      <c r="D831" s="1544"/>
      <c r="E831" s="1544"/>
      <c r="R831" s="1545"/>
      <c r="S831" s="1545"/>
      <c r="T831" s="1545"/>
      <c r="U831" s="1545"/>
      <c r="V831" s="1545"/>
      <c r="W831" s="1545"/>
      <c r="X831" s="1545"/>
      <c r="Y831" s="1545"/>
    </row>
    <row r="832" spans="1:25">
      <c r="A832" s="1544"/>
      <c r="B832" s="1544"/>
      <c r="C832" s="1544"/>
      <c r="D832" s="1544"/>
      <c r="E832" s="1544"/>
      <c r="R832" s="1545"/>
      <c r="S832" s="1545"/>
      <c r="T832" s="1545"/>
      <c r="U832" s="1545"/>
      <c r="V832" s="1545"/>
      <c r="W832" s="1545"/>
      <c r="X832" s="1545"/>
      <c r="Y832" s="1545"/>
    </row>
    <row r="833" spans="1:25">
      <c r="A833" s="1544"/>
      <c r="B833" s="1544"/>
      <c r="C833" s="1544"/>
      <c r="D833" s="1544"/>
      <c r="E833" s="1544"/>
      <c r="R833" s="1545"/>
      <c r="S833" s="1545"/>
      <c r="T833" s="1545"/>
      <c r="U833" s="1545"/>
      <c r="V833" s="1545"/>
      <c r="W833" s="1545"/>
      <c r="X833" s="1545"/>
      <c r="Y833" s="1545"/>
    </row>
    <row r="834" spans="1:25">
      <c r="A834" s="1544"/>
      <c r="B834" s="1544"/>
      <c r="C834" s="1544"/>
      <c r="D834" s="1544"/>
      <c r="E834" s="1544"/>
      <c r="R834" s="1545"/>
      <c r="S834" s="1545"/>
      <c r="T834" s="1545"/>
      <c r="U834" s="1545"/>
      <c r="V834" s="1545"/>
      <c r="W834" s="1545"/>
      <c r="X834" s="1545"/>
      <c r="Y834" s="1545"/>
    </row>
    <row r="835" spans="1:25">
      <c r="A835" s="1544"/>
      <c r="B835" s="1544"/>
      <c r="C835" s="1544"/>
      <c r="D835" s="1544"/>
      <c r="E835" s="1544"/>
      <c r="R835" s="1545"/>
      <c r="S835" s="1545"/>
      <c r="T835" s="1545"/>
      <c r="U835" s="1545"/>
      <c r="V835" s="1545"/>
      <c r="W835" s="1545"/>
      <c r="X835" s="1545"/>
      <c r="Y835" s="1545"/>
    </row>
    <row r="836" spans="1:25">
      <c r="A836" s="1544"/>
      <c r="B836" s="1544"/>
      <c r="C836" s="1544"/>
      <c r="D836" s="1544"/>
      <c r="E836" s="1544"/>
      <c r="R836" s="1545"/>
      <c r="S836" s="1545"/>
      <c r="T836" s="1545"/>
      <c r="U836" s="1545"/>
      <c r="V836" s="1545"/>
      <c r="W836" s="1545"/>
      <c r="X836" s="1545"/>
      <c r="Y836" s="1545"/>
    </row>
    <row r="837" spans="1:25">
      <c r="A837" s="1544"/>
      <c r="B837" s="1544"/>
      <c r="C837" s="1544"/>
      <c r="D837" s="1544"/>
      <c r="E837" s="1544"/>
      <c r="R837" s="1545"/>
      <c r="S837" s="1545"/>
      <c r="T837" s="1545"/>
      <c r="U837" s="1545"/>
      <c r="V837" s="1545"/>
      <c r="W837" s="1545"/>
      <c r="X837" s="1545"/>
      <c r="Y837" s="1545"/>
    </row>
    <row r="838" spans="1:25">
      <c r="A838" s="1544"/>
      <c r="B838" s="1544"/>
      <c r="C838" s="1544"/>
      <c r="D838" s="1544"/>
      <c r="E838" s="1544"/>
      <c r="R838" s="1545"/>
      <c r="S838" s="1545"/>
      <c r="T838" s="1545"/>
      <c r="U838" s="1545"/>
      <c r="V838" s="1545"/>
      <c r="W838" s="1545"/>
      <c r="X838" s="1545"/>
      <c r="Y838" s="1545"/>
    </row>
    <row r="839" spans="1:25">
      <c r="A839" s="1544"/>
      <c r="B839" s="1544"/>
      <c r="C839" s="1544"/>
      <c r="D839" s="1544"/>
      <c r="E839" s="1544"/>
      <c r="R839" s="1545"/>
      <c r="S839" s="1545"/>
      <c r="T839" s="1545"/>
      <c r="U839" s="1545"/>
      <c r="V839" s="1545"/>
      <c r="W839" s="1545"/>
      <c r="X839" s="1545"/>
      <c r="Y839" s="1545"/>
    </row>
    <row r="840" spans="1:25">
      <c r="A840" s="1544"/>
      <c r="B840" s="1544"/>
      <c r="C840" s="1544"/>
      <c r="D840" s="1544"/>
      <c r="E840" s="1544"/>
      <c r="R840" s="1545"/>
      <c r="S840" s="1545"/>
      <c r="T840" s="1545"/>
      <c r="U840" s="1545"/>
      <c r="V840" s="1545"/>
      <c r="W840" s="1545"/>
      <c r="X840" s="1545"/>
      <c r="Y840" s="1545"/>
    </row>
    <row r="841" spans="1:25">
      <c r="A841" s="1544"/>
      <c r="B841" s="1544"/>
      <c r="C841" s="1544"/>
      <c r="D841" s="1544"/>
      <c r="E841" s="1544"/>
      <c r="R841" s="1545"/>
      <c r="S841" s="1545"/>
      <c r="T841" s="1545"/>
      <c r="U841" s="1545"/>
      <c r="V841" s="1545"/>
      <c r="W841" s="1545"/>
      <c r="X841" s="1545"/>
      <c r="Y841" s="1545"/>
    </row>
    <row r="842" spans="1:25">
      <c r="A842" s="1544"/>
      <c r="B842" s="1544"/>
      <c r="C842" s="1544"/>
      <c r="D842" s="1544"/>
      <c r="E842" s="1544"/>
      <c r="R842" s="1545"/>
      <c r="S842" s="1545"/>
      <c r="T842" s="1545"/>
      <c r="U842" s="1545"/>
      <c r="V842" s="1545"/>
      <c r="W842" s="1545"/>
      <c r="X842" s="1545"/>
      <c r="Y842" s="1545"/>
    </row>
    <row r="843" spans="1:25">
      <c r="A843" s="1544"/>
      <c r="B843" s="1544"/>
      <c r="C843" s="1544"/>
      <c r="D843" s="1544"/>
      <c r="E843" s="1544"/>
      <c r="R843" s="1545"/>
      <c r="S843" s="1545"/>
      <c r="T843" s="1545"/>
      <c r="U843" s="1545"/>
      <c r="V843" s="1545"/>
      <c r="W843" s="1545"/>
      <c r="X843" s="1545"/>
      <c r="Y843" s="1545"/>
    </row>
    <row r="844" spans="1:25">
      <c r="A844" s="1544"/>
      <c r="B844" s="1544"/>
      <c r="C844" s="1544"/>
      <c r="D844" s="1544"/>
      <c r="E844" s="1544"/>
      <c r="R844" s="1545"/>
      <c r="S844" s="1545"/>
      <c r="T844" s="1545"/>
      <c r="U844" s="1545"/>
      <c r="V844" s="1545"/>
      <c r="W844" s="1545"/>
      <c r="X844" s="1545"/>
      <c r="Y844" s="1545"/>
    </row>
    <row r="845" spans="1:25">
      <c r="A845" s="1544"/>
      <c r="B845" s="1544"/>
      <c r="C845" s="1544"/>
      <c r="D845" s="1544"/>
      <c r="E845" s="1544"/>
      <c r="R845" s="1545"/>
      <c r="S845" s="1545"/>
      <c r="T845" s="1545"/>
      <c r="U845" s="1545"/>
      <c r="V845" s="1545"/>
      <c r="W845" s="1545"/>
      <c r="X845" s="1545"/>
      <c r="Y845" s="1545"/>
    </row>
    <row r="846" spans="1:25">
      <c r="A846" s="1544"/>
      <c r="B846" s="1544"/>
      <c r="C846" s="1544"/>
      <c r="D846" s="1544"/>
      <c r="E846" s="1544"/>
      <c r="R846" s="1545"/>
      <c r="S846" s="1545"/>
      <c r="T846" s="1545"/>
      <c r="U846" s="1545"/>
      <c r="V846" s="1545"/>
      <c r="W846" s="1545"/>
      <c r="X846" s="1545"/>
      <c r="Y846" s="1545"/>
    </row>
    <row r="847" spans="1:25">
      <c r="A847" s="1544"/>
      <c r="B847" s="1544"/>
      <c r="C847" s="1544"/>
      <c r="D847" s="1544"/>
      <c r="E847" s="1544"/>
      <c r="R847" s="1545"/>
      <c r="S847" s="1545"/>
      <c r="T847" s="1545"/>
      <c r="U847" s="1545"/>
      <c r="V847" s="1545"/>
      <c r="W847" s="1545"/>
      <c r="X847" s="1545"/>
      <c r="Y847" s="1545"/>
    </row>
    <row r="848" spans="1:25">
      <c r="A848" s="1544"/>
      <c r="B848" s="1544"/>
      <c r="C848" s="1544"/>
      <c r="D848" s="1544"/>
      <c r="E848" s="1544"/>
      <c r="R848" s="1545"/>
      <c r="S848" s="1545"/>
      <c r="T848" s="1545"/>
      <c r="U848" s="1545"/>
      <c r="V848" s="1545"/>
      <c r="W848" s="1545"/>
      <c r="X848" s="1545"/>
      <c r="Y848" s="1545"/>
    </row>
    <row r="849" spans="1:25">
      <c r="A849" s="1544"/>
      <c r="B849" s="1544"/>
      <c r="C849" s="1544"/>
      <c r="D849" s="1544"/>
      <c r="E849" s="1544"/>
      <c r="R849" s="1545"/>
      <c r="S849" s="1545"/>
      <c r="T849" s="1545"/>
      <c r="U849" s="1545"/>
      <c r="V849" s="1545"/>
      <c r="W849" s="1545"/>
      <c r="X849" s="1545"/>
      <c r="Y849" s="1545"/>
    </row>
    <row r="850" spans="1:25">
      <c r="A850" s="1544"/>
      <c r="B850" s="1544"/>
      <c r="C850" s="1544"/>
      <c r="D850" s="1544"/>
      <c r="E850" s="1544"/>
      <c r="R850" s="1545"/>
      <c r="S850" s="1545"/>
      <c r="T850" s="1545"/>
      <c r="U850" s="1545"/>
      <c r="V850" s="1545"/>
      <c r="W850" s="1545"/>
      <c r="X850" s="1545"/>
      <c r="Y850" s="1545"/>
    </row>
    <row r="851" spans="1:25">
      <c r="A851" s="1544"/>
      <c r="B851" s="1544"/>
      <c r="C851" s="1544"/>
      <c r="D851" s="1544"/>
      <c r="E851" s="1544"/>
      <c r="R851" s="1545"/>
      <c r="S851" s="1545"/>
      <c r="T851" s="1545"/>
      <c r="U851" s="1545"/>
      <c r="V851" s="1545"/>
      <c r="W851" s="1545"/>
      <c r="X851" s="1545"/>
      <c r="Y851" s="1545"/>
    </row>
    <row r="852" spans="1:25">
      <c r="A852" s="1544"/>
      <c r="B852" s="1544"/>
      <c r="C852" s="1544"/>
      <c r="D852" s="1544"/>
      <c r="E852" s="1544"/>
      <c r="R852" s="1545"/>
      <c r="S852" s="1545"/>
      <c r="T852" s="1545"/>
      <c r="U852" s="1545"/>
      <c r="V852" s="1545"/>
      <c r="W852" s="1545"/>
      <c r="X852" s="1545"/>
      <c r="Y852" s="1545"/>
    </row>
    <row r="853" spans="1:25">
      <c r="A853" s="1544"/>
      <c r="B853" s="1544"/>
      <c r="C853" s="1544"/>
      <c r="D853" s="1544"/>
      <c r="E853" s="1544"/>
      <c r="R853" s="1545"/>
      <c r="S853" s="1545"/>
      <c r="T853" s="1545"/>
      <c r="U853" s="1545"/>
      <c r="V853" s="1545"/>
      <c r="W853" s="1545"/>
      <c r="X853" s="1545"/>
      <c r="Y853" s="1545"/>
    </row>
    <row r="854" spans="1:25">
      <c r="A854" s="1544"/>
      <c r="B854" s="1544"/>
      <c r="C854" s="1544"/>
      <c r="D854" s="1544"/>
      <c r="E854" s="1544"/>
      <c r="R854" s="1545"/>
      <c r="S854" s="1545"/>
      <c r="T854" s="1545"/>
      <c r="U854" s="1545"/>
      <c r="V854" s="1545"/>
      <c r="W854" s="1545"/>
      <c r="X854" s="1545"/>
      <c r="Y854" s="1545"/>
    </row>
    <row r="855" spans="1:25">
      <c r="A855" s="1544"/>
      <c r="B855" s="1544"/>
      <c r="C855" s="1544"/>
      <c r="D855" s="1544"/>
      <c r="E855" s="1544"/>
      <c r="R855" s="1545"/>
      <c r="S855" s="1545"/>
      <c r="T855" s="1545"/>
      <c r="U855" s="1545"/>
      <c r="V855" s="1545"/>
      <c r="W855" s="1545"/>
      <c r="X855" s="1545"/>
      <c r="Y855" s="1545"/>
    </row>
    <row r="856" spans="1:25">
      <c r="A856" s="1544"/>
      <c r="B856" s="1544"/>
      <c r="C856" s="1544"/>
      <c r="D856" s="1544"/>
      <c r="E856" s="1544"/>
      <c r="R856" s="1545"/>
      <c r="S856" s="1545"/>
      <c r="T856" s="1545"/>
      <c r="U856" s="1545"/>
      <c r="V856" s="1545"/>
      <c r="W856" s="1545"/>
      <c r="X856" s="1545"/>
      <c r="Y856" s="1545"/>
    </row>
    <row r="857" spans="1:25">
      <c r="A857" s="1544"/>
      <c r="B857" s="1544"/>
      <c r="C857" s="1544"/>
      <c r="D857" s="1544"/>
      <c r="E857" s="1544"/>
      <c r="R857" s="1545"/>
      <c r="S857" s="1545"/>
      <c r="T857" s="1545"/>
      <c r="U857" s="1545"/>
      <c r="V857" s="1545"/>
      <c r="W857" s="1545"/>
      <c r="X857" s="1545"/>
      <c r="Y857" s="1545"/>
    </row>
    <row r="858" spans="1:25">
      <c r="A858" s="1544"/>
      <c r="B858" s="1544"/>
      <c r="C858" s="1544"/>
      <c r="D858" s="1544"/>
      <c r="E858" s="1544"/>
      <c r="R858" s="1545"/>
      <c r="S858" s="1545"/>
      <c r="T858" s="1545"/>
      <c r="U858" s="1545"/>
      <c r="V858" s="1545"/>
      <c r="W858" s="1545"/>
      <c r="X858" s="1545"/>
      <c r="Y858" s="1545"/>
    </row>
    <row r="859" spans="1:25">
      <c r="A859" s="1544"/>
      <c r="B859" s="1544"/>
      <c r="C859" s="1544"/>
      <c r="D859" s="1544"/>
      <c r="E859" s="1544"/>
      <c r="R859" s="1545"/>
      <c r="S859" s="1545"/>
      <c r="T859" s="1545"/>
      <c r="U859" s="1545"/>
      <c r="V859" s="1545"/>
      <c r="W859" s="1545"/>
      <c r="X859" s="1545"/>
      <c r="Y859" s="1545"/>
    </row>
    <row r="860" spans="1:25">
      <c r="A860" s="1544"/>
      <c r="B860" s="1544"/>
      <c r="C860" s="1544"/>
      <c r="D860" s="1544"/>
      <c r="E860" s="1544"/>
      <c r="R860" s="1545"/>
      <c r="S860" s="1545"/>
      <c r="T860" s="1545"/>
      <c r="U860" s="1545"/>
      <c r="V860" s="1545"/>
      <c r="W860" s="1545"/>
      <c r="X860" s="1545"/>
      <c r="Y860" s="1545"/>
    </row>
    <row r="861" spans="1:25">
      <c r="A861" s="1544"/>
      <c r="B861" s="1544"/>
      <c r="C861" s="1544"/>
      <c r="D861" s="1544"/>
      <c r="E861" s="1544"/>
      <c r="R861" s="1545"/>
      <c r="S861" s="1545"/>
      <c r="T861" s="1545"/>
      <c r="U861" s="1545"/>
      <c r="V861" s="1545"/>
      <c r="W861" s="1545"/>
      <c r="X861" s="1545"/>
      <c r="Y861" s="1545"/>
    </row>
    <row r="862" spans="1:25">
      <c r="A862" s="1544"/>
      <c r="B862" s="1544"/>
      <c r="C862" s="1544"/>
      <c r="D862" s="1544"/>
      <c r="E862" s="1544"/>
      <c r="R862" s="1545"/>
      <c r="S862" s="1545"/>
      <c r="T862" s="1545"/>
      <c r="U862" s="1545"/>
      <c r="V862" s="1545"/>
      <c r="W862" s="1545"/>
      <c r="X862" s="1545"/>
      <c r="Y862" s="1545"/>
    </row>
    <row r="863" spans="1:25">
      <c r="A863" s="1544"/>
      <c r="B863" s="1544"/>
      <c r="C863" s="1544"/>
      <c r="D863" s="1544"/>
      <c r="E863" s="1544"/>
      <c r="R863" s="1545"/>
      <c r="S863" s="1545"/>
      <c r="T863" s="1545"/>
      <c r="U863" s="1545"/>
      <c r="V863" s="1545"/>
      <c r="W863" s="1545"/>
      <c r="X863" s="1545"/>
      <c r="Y863" s="1545"/>
    </row>
    <row r="864" spans="1:25">
      <c r="A864" s="1544"/>
      <c r="B864" s="1544"/>
      <c r="C864" s="1544"/>
      <c r="D864" s="1544"/>
      <c r="E864" s="1544"/>
      <c r="R864" s="1545"/>
      <c r="S864" s="1545"/>
      <c r="T864" s="1545"/>
      <c r="U864" s="1545"/>
      <c r="V864" s="1545"/>
      <c r="W864" s="1545"/>
      <c r="X864" s="1545"/>
      <c r="Y864" s="1545"/>
    </row>
    <row r="865" spans="1:25">
      <c r="A865" s="1544"/>
      <c r="B865" s="1544"/>
      <c r="C865" s="1544"/>
      <c r="D865" s="1544"/>
      <c r="E865" s="1544"/>
      <c r="R865" s="1545"/>
      <c r="S865" s="1545"/>
      <c r="T865" s="1545"/>
      <c r="U865" s="1545"/>
      <c r="V865" s="1545"/>
      <c r="W865" s="1545"/>
      <c r="X865" s="1545"/>
      <c r="Y865" s="1545"/>
    </row>
    <row r="866" spans="1:25">
      <c r="A866" s="1544"/>
      <c r="B866" s="1544"/>
      <c r="C866" s="1544"/>
      <c r="D866" s="1544"/>
      <c r="E866" s="1544"/>
      <c r="R866" s="1545"/>
      <c r="S866" s="1545"/>
      <c r="T866" s="1545"/>
      <c r="U866" s="1545"/>
      <c r="V866" s="1545"/>
      <c r="W866" s="1545"/>
      <c r="X866" s="1545"/>
      <c r="Y866" s="1545"/>
    </row>
    <row r="867" spans="1:25">
      <c r="A867" s="1544"/>
      <c r="B867" s="1544"/>
      <c r="C867" s="1544"/>
      <c r="D867" s="1544"/>
      <c r="E867" s="1544"/>
      <c r="R867" s="1545"/>
      <c r="S867" s="1545"/>
      <c r="T867" s="1545"/>
      <c r="U867" s="1545"/>
      <c r="V867" s="1545"/>
      <c r="W867" s="1545"/>
      <c r="X867" s="1545"/>
      <c r="Y867" s="1545"/>
    </row>
    <row r="868" spans="1:25">
      <c r="A868" s="1544"/>
      <c r="B868" s="1544"/>
      <c r="C868" s="1544"/>
      <c r="D868" s="1544"/>
      <c r="E868" s="1544"/>
      <c r="R868" s="1545"/>
      <c r="S868" s="1545"/>
      <c r="T868" s="1545"/>
      <c r="U868" s="1545"/>
      <c r="V868" s="1545"/>
      <c r="W868" s="1545"/>
      <c r="X868" s="1545"/>
      <c r="Y868" s="1545"/>
    </row>
    <row r="869" spans="1:25">
      <c r="A869" s="1544"/>
      <c r="B869" s="1544"/>
      <c r="C869" s="1544"/>
      <c r="D869" s="1544"/>
      <c r="E869" s="1544"/>
      <c r="R869" s="1545"/>
      <c r="S869" s="1545"/>
      <c r="T869" s="1545"/>
      <c r="U869" s="1545"/>
      <c r="V869" s="1545"/>
      <c r="W869" s="1545"/>
      <c r="X869" s="1545"/>
      <c r="Y869" s="1545"/>
    </row>
    <row r="870" spans="1:25">
      <c r="A870" s="1544"/>
      <c r="B870" s="1544"/>
      <c r="C870" s="1544"/>
      <c r="D870" s="1544"/>
      <c r="E870" s="1544"/>
      <c r="R870" s="1545"/>
      <c r="S870" s="1545"/>
      <c r="T870" s="1545"/>
      <c r="U870" s="1545"/>
      <c r="V870" s="1545"/>
      <c r="W870" s="1545"/>
      <c r="X870" s="1545"/>
      <c r="Y870" s="1545"/>
    </row>
    <row r="871" spans="1:25">
      <c r="A871" s="1544"/>
      <c r="B871" s="1544"/>
      <c r="C871" s="1544"/>
      <c r="D871" s="1544"/>
      <c r="E871" s="1544"/>
      <c r="R871" s="1545"/>
      <c r="S871" s="1545"/>
      <c r="T871" s="1545"/>
      <c r="U871" s="1545"/>
      <c r="V871" s="1545"/>
      <c r="W871" s="1545"/>
      <c r="X871" s="1545"/>
      <c r="Y871" s="1545"/>
    </row>
    <row r="872" spans="1:25">
      <c r="A872" s="1544"/>
      <c r="B872" s="1544"/>
      <c r="C872" s="1544"/>
      <c r="D872" s="1544"/>
      <c r="E872" s="1544"/>
      <c r="R872" s="1545"/>
      <c r="S872" s="1545"/>
      <c r="T872" s="1545"/>
      <c r="U872" s="1545"/>
      <c r="V872" s="1545"/>
      <c r="W872" s="1545"/>
      <c r="X872" s="1545"/>
      <c r="Y872" s="1545"/>
    </row>
    <row r="873" spans="1:25">
      <c r="A873" s="1544"/>
      <c r="B873" s="1544"/>
      <c r="C873" s="1544"/>
      <c r="D873" s="1544"/>
      <c r="E873" s="1544"/>
      <c r="R873" s="1545"/>
      <c r="S873" s="1545"/>
      <c r="T873" s="1545"/>
      <c r="U873" s="1545"/>
      <c r="V873" s="1545"/>
      <c r="W873" s="1545"/>
      <c r="X873" s="1545"/>
      <c r="Y873" s="1545"/>
    </row>
    <row r="874" spans="1:25">
      <c r="A874" s="1544"/>
      <c r="B874" s="1544"/>
      <c r="C874" s="1544"/>
      <c r="D874" s="1544"/>
      <c r="E874" s="1544"/>
      <c r="R874" s="1545"/>
      <c r="S874" s="1545"/>
      <c r="T874" s="1545"/>
      <c r="U874" s="1545"/>
      <c r="V874" s="1545"/>
      <c r="W874" s="1545"/>
      <c r="X874" s="1545"/>
      <c r="Y874" s="1545"/>
    </row>
    <row r="875" spans="1:25">
      <c r="A875" s="1544"/>
      <c r="B875" s="1544"/>
      <c r="C875" s="1544"/>
      <c r="D875" s="1544"/>
      <c r="E875" s="1544"/>
      <c r="R875" s="1545"/>
      <c r="S875" s="1545"/>
      <c r="T875" s="1545"/>
      <c r="U875" s="1545"/>
      <c r="V875" s="1545"/>
      <c r="W875" s="1545"/>
      <c r="X875" s="1545"/>
      <c r="Y875" s="1545"/>
    </row>
    <row r="876" spans="1:25">
      <c r="A876" s="1544"/>
      <c r="B876" s="1544"/>
      <c r="C876" s="1544"/>
      <c r="D876" s="1544"/>
      <c r="E876" s="1544"/>
      <c r="R876" s="1545"/>
      <c r="S876" s="1545"/>
      <c r="T876" s="1545"/>
      <c r="U876" s="1545"/>
      <c r="V876" s="1545"/>
      <c r="W876" s="1545"/>
      <c r="X876" s="1545"/>
      <c r="Y876" s="1545"/>
    </row>
    <row r="877" spans="1:25">
      <c r="A877" s="1544"/>
      <c r="B877" s="1544"/>
      <c r="C877" s="1544"/>
      <c r="D877" s="1544"/>
      <c r="E877" s="1544"/>
      <c r="R877" s="1545"/>
      <c r="S877" s="1545"/>
      <c r="T877" s="1545"/>
      <c r="U877" s="1545"/>
      <c r="V877" s="1545"/>
      <c r="W877" s="1545"/>
      <c r="X877" s="1545"/>
      <c r="Y877" s="1545"/>
    </row>
    <row r="878" spans="1:25">
      <c r="A878" s="1544"/>
      <c r="B878" s="1544"/>
      <c r="C878" s="1544"/>
      <c r="D878" s="1544"/>
      <c r="E878" s="1544"/>
      <c r="R878" s="1545"/>
      <c r="S878" s="1545"/>
      <c r="T878" s="1545"/>
      <c r="U878" s="1545"/>
      <c r="V878" s="1545"/>
      <c r="W878" s="1545"/>
      <c r="X878" s="1545"/>
      <c r="Y878" s="1545"/>
    </row>
    <row r="879" spans="1:25">
      <c r="A879" s="1544"/>
      <c r="B879" s="1544"/>
      <c r="C879" s="1544"/>
      <c r="D879" s="1544"/>
      <c r="E879" s="1544"/>
      <c r="R879" s="1545"/>
      <c r="S879" s="1545"/>
      <c r="T879" s="1545"/>
      <c r="U879" s="1545"/>
      <c r="V879" s="1545"/>
      <c r="W879" s="1545"/>
      <c r="X879" s="1545"/>
      <c r="Y879" s="1545"/>
    </row>
    <row r="880" spans="1:25">
      <c r="A880" s="1544"/>
      <c r="B880" s="1544"/>
      <c r="C880" s="1544"/>
      <c r="D880" s="1544"/>
      <c r="E880" s="1544"/>
      <c r="R880" s="1545"/>
      <c r="S880" s="1545"/>
      <c r="T880" s="1545"/>
      <c r="U880" s="1545"/>
      <c r="V880" s="1545"/>
      <c r="W880" s="1545"/>
      <c r="X880" s="1545"/>
      <c r="Y880" s="1545"/>
    </row>
    <row r="881" spans="1:25">
      <c r="A881" s="1544"/>
      <c r="B881" s="1544"/>
      <c r="C881" s="1544"/>
      <c r="D881" s="1544"/>
      <c r="E881" s="1544"/>
      <c r="R881" s="1545"/>
      <c r="S881" s="1545"/>
      <c r="T881" s="1545"/>
      <c r="U881" s="1545"/>
      <c r="V881" s="1545"/>
      <c r="W881" s="1545"/>
      <c r="X881" s="1545"/>
      <c r="Y881" s="1545"/>
    </row>
    <row r="882" spans="1:25">
      <c r="A882" s="1544"/>
      <c r="B882" s="1544"/>
      <c r="C882" s="1544"/>
      <c r="D882" s="1544"/>
      <c r="E882" s="1544"/>
      <c r="R882" s="1545"/>
      <c r="S882" s="1545"/>
      <c r="T882" s="1545"/>
      <c r="U882" s="1545"/>
      <c r="V882" s="1545"/>
      <c r="W882" s="1545"/>
      <c r="X882" s="1545"/>
      <c r="Y882" s="1545"/>
    </row>
    <row r="883" spans="1:25">
      <c r="A883" s="1544"/>
      <c r="B883" s="1544"/>
      <c r="C883" s="1544"/>
      <c r="D883" s="1544"/>
      <c r="E883" s="1544"/>
      <c r="R883" s="1545"/>
      <c r="S883" s="1545"/>
      <c r="T883" s="1545"/>
      <c r="U883" s="1545"/>
      <c r="V883" s="1545"/>
      <c r="W883" s="1545"/>
      <c r="X883" s="1545"/>
      <c r="Y883" s="1545"/>
    </row>
    <row r="884" spans="1:25">
      <c r="A884" s="1544"/>
      <c r="B884" s="1544"/>
      <c r="C884" s="1544"/>
      <c r="D884" s="1544"/>
      <c r="E884" s="1544"/>
      <c r="R884" s="1545"/>
      <c r="S884" s="1545"/>
      <c r="T884" s="1545"/>
      <c r="U884" s="1545"/>
      <c r="V884" s="1545"/>
      <c r="W884" s="1545"/>
      <c r="X884" s="1545"/>
      <c r="Y884" s="1545"/>
    </row>
    <row r="885" spans="1:25">
      <c r="A885" s="1544"/>
      <c r="B885" s="1544"/>
      <c r="C885" s="1544"/>
      <c r="D885" s="1544"/>
      <c r="E885" s="1544"/>
      <c r="R885" s="1545"/>
      <c r="S885" s="1545"/>
      <c r="T885" s="1545"/>
      <c r="U885" s="1545"/>
      <c r="V885" s="1545"/>
      <c r="W885" s="1545"/>
      <c r="X885" s="1545"/>
      <c r="Y885" s="1545"/>
    </row>
    <row r="886" spans="1:25">
      <c r="A886" s="1544"/>
      <c r="B886" s="1544"/>
      <c r="C886" s="1544"/>
      <c r="D886" s="1544"/>
      <c r="E886" s="1544"/>
      <c r="R886" s="1545"/>
      <c r="S886" s="1545"/>
      <c r="T886" s="1545"/>
      <c r="U886" s="1545"/>
      <c r="V886" s="1545"/>
      <c r="W886" s="1545"/>
      <c r="X886" s="1545"/>
      <c r="Y886" s="1545"/>
    </row>
    <row r="887" spans="1:25">
      <c r="A887" s="1544"/>
      <c r="B887" s="1544"/>
      <c r="C887" s="1544"/>
      <c r="D887" s="1544"/>
      <c r="E887" s="1544"/>
      <c r="R887" s="1545"/>
      <c r="S887" s="1545"/>
      <c r="T887" s="1545"/>
      <c r="U887" s="1545"/>
      <c r="V887" s="1545"/>
      <c r="W887" s="1545"/>
      <c r="X887" s="1545"/>
      <c r="Y887" s="1545"/>
    </row>
    <row r="888" spans="1:25">
      <c r="A888" s="1544"/>
      <c r="B888" s="1544"/>
      <c r="C888" s="1544"/>
      <c r="D888" s="1544"/>
      <c r="E888" s="1544"/>
      <c r="R888" s="1545"/>
      <c r="S888" s="1545"/>
      <c r="T888" s="1545"/>
      <c r="U888" s="1545"/>
      <c r="V888" s="1545"/>
      <c r="W888" s="1545"/>
      <c r="X888" s="1545"/>
      <c r="Y888" s="1545"/>
    </row>
    <row r="889" spans="1:25">
      <c r="A889" s="1544"/>
      <c r="B889" s="1544"/>
      <c r="C889" s="1544"/>
      <c r="D889" s="1544"/>
      <c r="E889" s="1544"/>
      <c r="R889" s="1545"/>
      <c r="S889" s="1545"/>
      <c r="T889" s="1545"/>
      <c r="U889" s="1545"/>
      <c r="V889" s="1545"/>
      <c r="W889" s="1545"/>
      <c r="X889" s="1545"/>
      <c r="Y889" s="1545"/>
    </row>
    <row r="890" spans="1:25">
      <c r="A890" s="1544"/>
      <c r="B890" s="1544"/>
      <c r="C890" s="1544"/>
      <c r="D890" s="1544"/>
      <c r="E890" s="1544"/>
      <c r="R890" s="1545"/>
      <c r="S890" s="1545"/>
      <c r="T890" s="1545"/>
      <c r="U890" s="1545"/>
      <c r="V890" s="1545"/>
      <c r="W890" s="1545"/>
      <c r="X890" s="1545"/>
      <c r="Y890" s="1545"/>
    </row>
    <row r="891" spans="1:25">
      <c r="A891" s="1544"/>
      <c r="B891" s="1544"/>
      <c r="C891" s="1544"/>
      <c r="D891" s="1544"/>
      <c r="E891" s="1544"/>
      <c r="R891" s="1545"/>
      <c r="S891" s="1545"/>
      <c r="T891" s="1545"/>
      <c r="U891" s="1545"/>
      <c r="V891" s="1545"/>
      <c r="W891" s="1545"/>
      <c r="X891" s="1545"/>
      <c r="Y891" s="1545"/>
    </row>
    <row r="892" spans="1:25">
      <c r="A892" s="1544"/>
      <c r="B892" s="1544"/>
      <c r="C892" s="1544"/>
      <c r="D892" s="1544"/>
      <c r="E892" s="1544"/>
      <c r="R892" s="1545"/>
      <c r="S892" s="1545"/>
      <c r="T892" s="1545"/>
      <c r="U892" s="1545"/>
      <c r="V892" s="1545"/>
      <c r="W892" s="1545"/>
      <c r="X892" s="1545"/>
      <c r="Y892" s="1545"/>
    </row>
    <row r="893" spans="1:25">
      <c r="A893" s="1544"/>
      <c r="B893" s="1544"/>
      <c r="C893" s="1544"/>
      <c r="D893" s="1544"/>
      <c r="E893" s="1544"/>
      <c r="R893" s="1545"/>
      <c r="S893" s="1545"/>
      <c r="T893" s="1545"/>
      <c r="U893" s="1545"/>
      <c r="V893" s="1545"/>
      <c r="W893" s="1545"/>
      <c r="X893" s="1545"/>
      <c r="Y893" s="1545"/>
    </row>
    <row r="894" spans="1:25">
      <c r="A894" s="1544"/>
      <c r="B894" s="1544"/>
      <c r="C894" s="1544"/>
      <c r="D894" s="1544"/>
      <c r="E894" s="1544"/>
      <c r="R894" s="1545"/>
      <c r="S894" s="1545"/>
      <c r="T894" s="1545"/>
      <c r="U894" s="1545"/>
      <c r="V894" s="1545"/>
      <c r="W894" s="1545"/>
      <c r="X894" s="1545"/>
      <c r="Y894" s="1545"/>
    </row>
    <row r="895" spans="1:25">
      <c r="A895" s="1544"/>
      <c r="B895" s="1544"/>
      <c r="C895" s="1544"/>
      <c r="D895" s="1544"/>
      <c r="E895" s="1544"/>
      <c r="R895" s="1545"/>
      <c r="S895" s="1545"/>
      <c r="T895" s="1545"/>
      <c r="U895" s="1545"/>
      <c r="V895" s="1545"/>
      <c r="W895" s="1545"/>
      <c r="X895" s="1545"/>
      <c r="Y895" s="1545"/>
    </row>
    <row r="896" spans="1:25">
      <c r="A896" s="1544"/>
      <c r="B896" s="1544"/>
      <c r="C896" s="1544"/>
      <c r="D896" s="1544"/>
      <c r="E896" s="1544"/>
      <c r="R896" s="1545"/>
      <c r="S896" s="1545"/>
      <c r="T896" s="1545"/>
      <c r="U896" s="1545"/>
      <c r="V896" s="1545"/>
      <c r="W896" s="1545"/>
      <c r="X896" s="1545"/>
      <c r="Y896" s="1545"/>
    </row>
    <row r="897" spans="1:25">
      <c r="A897" s="1544"/>
      <c r="B897" s="1544"/>
      <c r="C897" s="1544"/>
      <c r="D897" s="1544"/>
      <c r="E897" s="1544"/>
      <c r="R897" s="1545"/>
      <c r="S897" s="1545"/>
      <c r="T897" s="1545"/>
      <c r="U897" s="1545"/>
      <c r="V897" s="1545"/>
      <c r="W897" s="1545"/>
      <c r="X897" s="1545"/>
      <c r="Y897" s="1545"/>
    </row>
    <row r="898" spans="1:25">
      <c r="A898" s="1544"/>
      <c r="B898" s="1544"/>
      <c r="C898" s="1544"/>
      <c r="D898" s="1544"/>
      <c r="E898" s="1544"/>
      <c r="R898" s="1545"/>
      <c r="S898" s="1545"/>
      <c r="T898" s="1545"/>
      <c r="U898" s="1545"/>
      <c r="V898" s="1545"/>
      <c r="W898" s="1545"/>
      <c r="X898" s="1545"/>
      <c r="Y898" s="1545"/>
    </row>
    <row r="899" spans="1:25">
      <c r="A899" s="1544"/>
      <c r="B899" s="1544"/>
      <c r="C899" s="1544"/>
      <c r="D899" s="1544"/>
      <c r="E899" s="1544"/>
      <c r="R899" s="1545"/>
      <c r="S899" s="1545"/>
      <c r="T899" s="1545"/>
      <c r="U899" s="1545"/>
      <c r="V899" s="1545"/>
      <c r="W899" s="1545"/>
      <c r="X899" s="1545"/>
      <c r="Y899" s="1545"/>
    </row>
    <row r="900" spans="1:25">
      <c r="A900" s="1544"/>
      <c r="B900" s="1544"/>
      <c r="C900" s="1544"/>
      <c r="D900" s="1544"/>
      <c r="E900" s="1544"/>
      <c r="R900" s="1545"/>
      <c r="S900" s="1545"/>
      <c r="T900" s="1545"/>
      <c r="U900" s="1545"/>
      <c r="V900" s="1545"/>
      <c r="W900" s="1545"/>
      <c r="X900" s="1545"/>
      <c r="Y900" s="1545"/>
    </row>
    <row r="901" spans="1:25">
      <c r="A901" s="1544"/>
      <c r="B901" s="1544"/>
      <c r="C901" s="1544"/>
      <c r="D901" s="1544"/>
      <c r="E901" s="1544"/>
      <c r="R901" s="1545"/>
      <c r="S901" s="1545"/>
      <c r="T901" s="1545"/>
      <c r="U901" s="1545"/>
      <c r="V901" s="1545"/>
      <c r="W901" s="1545"/>
      <c r="X901" s="1545"/>
      <c r="Y901" s="1545"/>
    </row>
    <row r="902" spans="1:25">
      <c r="A902" s="1544"/>
      <c r="B902" s="1544"/>
      <c r="C902" s="1544"/>
      <c r="D902" s="1544"/>
      <c r="E902" s="1544"/>
      <c r="R902" s="1545"/>
      <c r="S902" s="1545"/>
      <c r="T902" s="1545"/>
      <c r="U902" s="1545"/>
      <c r="V902" s="1545"/>
      <c r="W902" s="1545"/>
      <c r="X902" s="1545"/>
      <c r="Y902" s="1545"/>
    </row>
    <row r="903" spans="1:25">
      <c r="A903" s="1544"/>
      <c r="B903" s="1544"/>
      <c r="C903" s="1544"/>
      <c r="D903" s="1544"/>
      <c r="E903" s="1544"/>
      <c r="R903" s="1545"/>
      <c r="S903" s="1545"/>
      <c r="T903" s="1545"/>
      <c r="U903" s="1545"/>
      <c r="V903" s="1545"/>
      <c r="W903" s="1545"/>
      <c r="X903" s="1545"/>
      <c r="Y903" s="1545"/>
    </row>
    <row r="904" spans="1:25">
      <c r="A904" s="1544"/>
      <c r="B904" s="1544"/>
      <c r="C904" s="1544"/>
      <c r="D904" s="1544"/>
      <c r="E904" s="1544"/>
      <c r="R904" s="1545"/>
      <c r="S904" s="1545"/>
      <c r="T904" s="1545"/>
      <c r="U904" s="1545"/>
      <c r="V904" s="1545"/>
      <c r="W904" s="1545"/>
      <c r="X904" s="1545"/>
      <c r="Y904" s="1545"/>
    </row>
    <row r="905" spans="1:25">
      <c r="A905" s="1544"/>
      <c r="B905" s="1544"/>
      <c r="C905" s="1544"/>
      <c r="D905" s="1544"/>
      <c r="E905" s="1544"/>
      <c r="R905" s="1545"/>
      <c r="S905" s="1545"/>
      <c r="T905" s="1545"/>
      <c r="U905" s="1545"/>
      <c r="V905" s="1545"/>
      <c r="W905" s="1545"/>
      <c r="X905" s="1545"/>
      <c r="Y905" s="1545"/>
    </row>
    <row r="906" spans="1:25">
      <c r="A906" s="1544"/>
      <c r="B906" s="1544"/>
      <c r="C906" s="1544"/>
      <c r="D906" s="1544"/>
      <c r="E906" s="1544"/>
      <c r="R906" s="1545"/>
      <c r="S906" s="1545"/>
      <c r="T906" s="1545"/>
      <c r="U906" s="1545"/>
      <c r="V906" s="1545"/>
      <c r="W906" s="1545"/>
      <c r="X906" s="1545"/>
      <c r="Y906" s="1545"/>
    </row>
    <row r="907" spans="1:25">
      <c r="A907" s="1544"/>
      <c r="B907" s="1544"/>
      <c r="C907" s="1544"/>
      <c r="D907" s="1544"/>
      <c r="E907" s="1544"/>
      <c r="R907" s="1545"/>
      <c r="S907" s="1545"/>
      <c r="T907" s="1545"/>
      <c r="U907" s="1545"/>
      <c r="V907" s="1545"/>
      <c r="W907" s="1545"/>
      <c r="X907" s="1545"/>
      <c r="Y907" s="1545"/>
    </row>
    <row r="908" spans="1:25">
      <c r="A908" s="1544"/>
      <c r="B908" s="1544"/>
      <c r="C908" s="1544"/>
      <c r="D908" s="1544"/>
      <c r="E908" s="1544"/>
      <c r="R908" s="1545"/>
      <c r="S908" s="1545"/>
      <c r="T908" s="1545"/>
      <c r="U908" s="1545"/>
      <c r="V908" s="1545"/>
      <c r="W908" s="1545"/>
      <c r="X908" s="1545"/>
      <c r="Y908" s="1545"/>
    </row>
    <row r="909" spans="1:25">
      <c r="A909" s="1544"/>
      <c r="B909" s="1544"/>
      <c r="C909" s="1544"/>
      <c r="D909" s="1544"/>
      <c r="E909" s="1544"/>
      <c r="R909" s="1545"/>
      <c r="S909" s="1545"/>
      <c r="T909" s="1545"/>
      <c r="U909" s="1545"/>
      <c r="V909" s="1545"/>
      <c r="W909" s="1545"/>
      <c r="X909" s="1545"/>
      <c r="Y909" s="1545"/>
    </row>
    <row r="910" spans="1:25">
      <c r="A910" s="1544"/>
      <c r="B910" s="1544"/>
      <c r="C910" s="1544"/>
      <c r="D910" s="1544"/>
      <c r="E910" s="1544"/>
      <c r="R910" s="1545"/>
      <c r="S910" s="1545"/>
      <c r="T910" s="1545"/>
      <c r="U910" s="1545"/>
      <c r="V910" s="1545"/>
      <c r="W910" s="1545"/>
      <c r="X910" s="1545"/>
      <c r="Y910" s="1545"/>
    </row>
    <row r="911" spans="1:25">
      <c r="A911" s="1544"/>
      <c r="B911" s="1544"/>
      <c r="C911" s="1544"/>
      <c r="D911" s="1544"/>
      <c r="E911" s="1544"/>
      <c r="R911" s="1545"/>
      <c r="S911" s="1545"/>
      <c r="T911" s="1545"/>
      <c r="U911" s="1545"/>
      <c r="V911" s="1545"/>
      <c r="W911" s="1545"/>
      <c r="X911" s="1545"/>
      <c r="Y911" s="1545"/>
    </row>
    <row r="912" spans="1:25">
      <c r="A912" s="1544"/>
      <c r="B912" s="1544"/>
      <c r="C912" s="1544"/>
      <c r="D912" s="1544"/>
      <c r="E912" s="1544"/>
      <c r="R912" s="1545"/>
      <c r="S912" s="1545"/>
      <c r="T912" s="1545"/>
      <c r="U912" s="1545"/>
      <c r="V912" s="1545"/>
      <c r="W912" s="1545"/>
      <c r="X912" s="1545"/>
      <c r="Y912" s="1545"/>
    </row>
    <row r="913" spans="1:25">
      <c r="A913" s="1544"/>
      <c r="B913" s="1544"/>
      <c r="C913" s="1544"/>
      <c r="D913" s="1544"/>
      <c r="E913" s="1544"/>
      <c r="R913" s="1545"/>
      <c r="S913" s="1545"/>
      <c r="T913" s="1545"/>
      <c r="U913" s="1545"/>
      <c r="V913" s="1545"/>
      <c r="W913" s="1545"/>
      <c r="X913" s="1545"/>
      <c r="Y913" s="1545"/>
    </row>
    <row r="914" spans="1:25">
      <c r="A914" s="1544"/>
      <c r="B914" s="1544"/>
      <c r="C914" s="1544"/>
      <c r="D914" s="1544"/>
      <c r="E914" s="1544"/>
      <c r="R914" s="1545"/>
      <c r="S914" s="1545"/>
      <c r="T914" s="1545"/>
      <c r="U914" s="1545"/>
      <c r="V914" s="1545"/>
      <c r="W914" s="1545"/>
      <c r="X914" s="1545"/>
      <c r="Y914" s="1545"/>
    </row>
    <row r="915" spans="1:25">
      <c r="A915" s="1544"/>
      <c r="B915" s="1544"/>
      <c r="C915" s="1544"/>
      <c r="D915" s="1544"/>
      <c r="E915" s="1544"/>
      <c r="R915" s="1545"/>
      <c r="S915" s="1545"/>
      <c r="T915" s="1545"/>
      <c r="U915" s="1545"/>
      <c r="V915" s="1545"/>
      <c r="W915" s="1545"/>
      <c r="X915" s="1545"/>
      <c r="Y915" s="1545"/>
    </row>
    <row r="916" spans="1:25">
      <c r="A916" s="1544"/>
      <c r="B916" s="1544"/>
      <c r="C916" s="1544"/>
      <c r="D916" s="1544"/>
      <c r="E916" s="1544"/>
      <c r="R916" s="1545"/>
      <c r="S916" s="1545"/>
      <c r="T916" s="1545"/>
      <c r="U916" s="1545"/>
      <c r="V916" s="1545"/>
      <c r="W916" s="1545"/>
      <c r="X916" s="1545"/>
      <c r="Y916" s="1545"/>
    </row>
    <row r="917" spans="1:25">
      <c r="A917" s="1544"/>
      <c r="B917" s="1544"/>
      <c r="C917" s="1544"/>
      <c r="D917" s="1544"/>
      <c r="E917" s="1544"/>
      <c r="R917" s="1545"/>
      <c r="S917" s="1545"/>
      <c r="T917" s="1545"/>
      <c r="U917" s="1545"/>
      <c r="V917" s="1545"/>
      <c r="W917" s="1545"/>
      <c r="X917" s="1545"/>
      <c r="Y917" s="1545"/>
    </row>
    <row r="918" spans="1:25">
      <c r="A918" s="1544"/>
      <c r="B918" s="1544"/>
      <c r="C918" s="1544"/>
      <c r="D918" s="1544"/>
      <c r="E918" s="1544"/>
      <c r="R918" s="1545"/>
      <c r="S918" s="1545"/>
      <c r="T918" s="1545"/>
      <c r="U918" s="1545"/>
      <c r="V918" s="1545"/>
      <c r="W918" s="1545"/>
      <c r="X918" s="1545"/>
      <c r="Y918" s="1545"/>
    </row>
    <row r="919" spans="1:25">
      <c r="A919" s="1544"/>
      <c r="B919" s="1544"/>
      <c r="C919" s="1544"/>
      <c r="D919" s="1544"/>
      <c r="E919" s="1544"/>
      <c r="R919" s="1545"/>
      <c r="S919" s="1545"/>
      <c r="T919" s="1545"/>
      <c r="U919" s="1545"/>
      <c r="V919" s="1545"/>
      <c r="W919" s="1545"/>
      <c r="X919" s="1545"/>
      <c r="Y919" s="1545"/>
    </row>
    <row r="920" spans="1:25">
      <c r="A920" s="1544"/>
      <c r="B920" s="1544"/>
      <c r="C920" s="1544"/>
      <c r="D920" s="1544"/>
      <c r="E920" s="1544"/>
      <c r="R920" s="1545"/>
      <c r="S920" s="1545"/>
      <c r="T920" s="1545"/>
      <c r="U920" s="1545"/>
      <c r="V920" s="1545"/>
      <c r="W920" s="1545"/>
      <c r="X920" s="1545"/>
      <c r="Y920" s="1545"/>
    </row>
    <row r="921" spans="1:25">
      <c r="A921" s="1544"/>
      <c r="B921" s="1544"/>
      <c r="C921" s="1544"/>
      <c r="D921" s="1544"/>
      <c r="E921" s="1544"/>
      <c r="R921" s="1545"/>
      <c r="S921" s="1545"/>
      <c r="T921" s="1545"/>
      <c r="U921" s="1545"/>
      <c r="V921" s="1545"/>
      <c r="W921" s="1545"/>
      <c r="X921" s="1545"/>
      <c r="Y921" s="1545"/>
    </row>
    <row r="922" spans="1:25">
      <c r="A922" s="1544"/>
      <c r="B922" s="1544"/>
      <c r="C922" s="1544"/>
      <c r="D922" s="1544"/>
      <c r="E922" s="1544"/>
      <c r="R922" s="1545"/>
      <c r="S922" s="1545"/>
      <c r="T922" s="1545"/>
      <c r="U922" s="1545"/>
      <c r="V922" s="1545"/>
      <c r="W922" s="1545"/>
      <c r="X922" s="1545"/>
      <c r="Y922" s="1545"/>
    </row>
    <row r="923" spans="1:25">
      <c r="A923" s="1544"/>
      <c r="B923" s="1544"/>
      <c r="C923" s="1544"/>
      <c r="D923" s="1544"/>
      <c r="E923" s="1544"/>
      <c r="R923" s="1545"/>
      <c r="S923" s="1545"/>
      <c r="T923" s="1545"/>
      <c r="U923" s="1545"/>
      <c r="V923" s="1545"/>
      <c r="W923" s="1545"/>
      <c r="X923" s="1545"/>
      <c r="Y923" s="1545"/>
    </row>
    <row r="924" spans="1:25">
      <c r="A924" s="1544"/>
      <c r="B924" s="1544"/>
      <c r="C924" s="1544"/>
      <c r="D924" s="1544"/>
      <c r="E924" s="1544"/>
      <c r="R924" s="1545"/>
      <c r="S924" s="1545"/>
      <c r="T924" s="1545"/>
      <c r="U924" s="1545"/>
      <c r="V924" s="1545"/>
      <c r="W924" s="1545"/>
      <c r="X924" s="1545"/>
      <c r="Y924" s="1545"/>
    </row>
    <row r="925" spans="1:25">
      <c r="A925" s="1544"/>
      <c r="B925" s="1544"/>
      <c r="C925" s="1544"/>
      <c r="D925" s="1544"/>
      <c r="E925" s="1544"/>
      <c r="R925" s="1545"/>
      <c r="S925" s="1545"/>
      <c r="T925" s="1545"/>
      <c r="U925" s="1545"/>
      <c r="V925" s="1545"/>
      <c r="W925" s="1545"/>
      <c r="X925" s="1545"/>
      <c r="Y925" s="1545"/>
    </row>
    <row r="926" spans="1:25">
      <c r="A926" s="1544"/>
      <c r="B926" s="1544"/>
      <c r="C926" s="1544"/>
      <c r="D926" s="1544"/>
      <c r="E926" s="1544"/>
      <c r="R926" s="1545"/>
      <c r="S926" s="1545"/>
      <c r="T926" s="1545"/>
      <c r="U926" s="1545"/>
      <c r="V926" s="1545"/>
      <c r="W926" s="1545"/>
      <c r="X926" s="1545"/>
      <c r="Y926" s="1545"/>
    </row>
    <row r="927" spans="1:25">
      <c r="A927" s="1544"/>
      <c r="B927" s="1544"/>
      <c r="C927" s="1544"/>
      <c r="D927" s="1544"/>
      <c r="E927" s="1544"/>
      <c r="R927" s="1545"/>
      <c r="S927" s="1545"/>
      <c r="T927" s="1545"/>
      <c r="U927" s="1545"/>
      <c r="V927" s="1545"/>
      <c r="W927" s="1545"/>
      <c r="X927" s="1545"/>
      <c r="Y927" s="1545"/>
    </row>
    <row r="928" spans="1:25">
      <c r="A928" s="1544"/>
      <c r="B928" s="1544"/>
      <c r="C928" s="1544"/>
      <c r="D928" s="1544"/>
      <c r="E928" s="1544"/>
      <c r="R928" s="1545"/>
      <c r="S928" s="1545"/>
      <c r="T928" s="1545"/>
      <c r="U928" s="1545"/>
      <c r="V928" s="1545"/>
      <c r="W928" s="1545"/>
      <c r="X928" s="1545"/>
      <c r="Y928" s="1545"/>
    </row>
    <row r="929" spans="1:25">
      <c r="A929" s="1544"/>
      <c r="B929" s="1544"/>
      <c r="C929" s="1544"/>
      <c r="D929" s="1544"/>
      <c r="E929" s="1544"/>
      <c r="R929" s="1545"/>
      <c r="S929" s="1545"/>
      <c r="T929" s="1545"/>
      <c r="U929" s="1545"/>
      <c r="V929" s="1545"/>
      <c r="W929" s="1545"/>
      <c r="X929" s="1545"/>
      <c r="Y929" s="1545"/>
    </row>
    <row r="930" spans="1:25">
      <c r="A930" s="1544"/>
      <c r="B930" s="1544"/>
      <c r="C930" s="1544"/>
      <c r="D930" s="1544"/>
      <c r="E930" s="1544"/>
      <c r="R930" s="1545"/>
      <c r="S930" s="1545"/>
      <c r="T930" s="1545"/>
      <c r="U930" s="1545"/>
      <c r="V930" s="1545"/>
      <c r="W930" s="1545"/>
      <c r="X930" s="1545"/>
      <c r="Y930" s="1545"/>
    </row>
    <row r="931" spans="1:25">
      <c r="A931" s="1544"/>
      <c r="B931" s="1544"/>
      <c r="C931" s="1544"/>
      <c r="D931" s="1544"/>
      <c r="E931" s="1544"/>
      <c r="R931" s="1545"/>
      <c r="S931" s="1545"/>
      <c r="T931" s="1545"/>
      <c r="U931" s="1545"/>
      <c r="V931" s="1545"/>
      <c r="W931" s="1545"/>
      <c r="X931" s="1545"/>
      <c r="Y931" s="1545"/>
    </row>
    <row r="932" spans="1:25">
      <c r="A932" s="1544"/>
      <c r="B932" s="1544"/>
      <c r="C932" s="1544"/>
      <c r="D932" s="1544"/>
      <c r="E932" s="1544"/>
      <c r="R932" s="1545"/>
      <c r="S932" s="1545"/>
      <c r="T932" s="1545"/>
      <c r="U932" s="1545"/>
      <c r="V932" s="1545"/>
      <c r="W932" s="1545"/>
      <c r="X932" s="1545"/>
      <c r="Y932" s="1545"/>
    </row>
    <row r="933" spans="1:25">
      <c r="A933" s="1544"/>
      <c r="B933" s="1544"/>
      <c r="C933" s="1544"/>
      <c r="D933" s="1544"/>
      <c r="E933" s="1544"/>
      <c r="R933" s="1545"/>
      <c r="S933" s="1545"/>
      <c r="T933" s="1545"/>
      <c r="U933" s="1545"/>
      <c r="V933" s="1545"/>
      <c r="W933" s="1545"/>
      <c r="X933" s="1545"/>
      <c r="Y933" s="1545"/>
    </row>
    <row r="934" spans="1:25">
      <c r="A934" s="1544"/>
      <c r="B934" s="1544"/>
      <c r="C934" s="1544"/>
      <c r="D934" s="1544"/>
      <c r="E934" s="1544"/>
      <c r="R934" s="1545"/>
      <c r="S934" s="1545"/>
      <c r="T934" s="1545"/>
      <c r="U934" s="1545"/>
      <c r="V934" s="1545"/>
      <c r="W934" s="1545"/>
      <c r="X934" s="1545"/>
      <c r="Y934" s="1545"/>
    </row>
    <row r="935" spans="1:25">
      <c r="A935" s="1544"/>
      <c r="B935" s="1544"/>
      <c r="C935" s="1544"/>
      <c r="D935" s="1544"/>
      <c r="E935" s="1544"/>
      <c r="R935" s="1545"/>
      <c r="S935" s="1545"/>
      <c r="T935" s="1545"/>
      <c r="U935" s="1545"/>
      <c r="V935" s="1545"/>
      <c r="W935" s="1545"/>
      <c r="X935" s="1545"/>
      <c r="Y935" s="1545"/>
    </row>
    <row r="936" spans="1:25">
      <c r="A936" s="1544"/>
      <c r="B936" s="1544"/>
      <c r="C936" s="1544"/>
      <c r="D936" s="1544"/>
      <c r="E936" s="1544"/>
      <c r="R936" s="1545"/>
      <c r="S936" s="1545"/>
      <c r="T936" s="1545"/>
      <c r="U936" s="1545"/>
      <c r="V936" s="1545"/>
      <c r="W936" s="1545"/>
      <c r="X936" s="1545"/>
      <c r="Y936" s="1545"/>
    </row>
    <row r="937" spans="1:25">
      <c r="A937" s="1544"/>
      <c r="B937" s="1544"/>
      <c r="C937" s="1544"/>
      <c r="D937" s="1544"/>
      <c r="E937" s="1544"/>
      <c r="R937" s="1545"/>
      <c r="S937" s="1545"/>
      <c r="T937" s="1545"/>
      <c r="U937" s="1545"/>
      <c r="V937" s="1545"/>
      <c r="W937" s="1545"/>
      <c r="X937" s="1545"/>
      <c r="Y937" s="1545"/>
    </row>
    <row r="938" spans="1:25">
      <c r="A938" s="1544"/>
      <c r="B938" s="1544"/>
      <c r="C938" s="1544"/>
      <c r="D938" s="1544"/>
      <c r="E938" s="1544"/>
      <c r="R938" s="1545"/>
      <c r="S938" s="1545"/>
      <c r="T938" s="1545"/>
      <c r="U938" s="1545"/>
      <c r="V938" s="1545"/>
      <c r="W938" s="1545"/>
      <c r="X938" s="1545"/>
      <c r="Y938" s="1545"/>
    </row>
    <row r="939" spans="1:25">
      <c r="A939" s="1544"/>
      <c r="B939" s="1544"/>
      <c r="C939" s="1544"/>
      <c r="D939" s="1544"/>
      <c r="E939" s="1544"/>
      <c r="R939" s="1545"/>
      <c r="S939" s="1545"/>
      <c r="T939" s="1545"/>
      <c r="U939" s="1545"/>
      <c r="V939" s="1545"/>
      <c r="W939" s="1545"/>
      <c r="X939" s="1545"/>
      <c r="Y939" s="1545"/>
    </row>
    <row r="940" spans="1:25">
      <c r="A940" s="1544"/>
      <c r="B940" s="1544"/>
      <c r="C940" s="1544"/>
      <c r="D940" s="1544"/>
      <c r="E940" s="1544"/>
      <c r="R940" s="1545"/>
      <c r="S940" s="1545"/>
      <c r="T940" s="1545"/>
      <c r="U940" s="1545"/>
      <c r="V940" s="1545"/>
      <c r="W940" s="1545"/>
      <c r="X940" s="1545"/>
      <c r="Y940" s="1545"/>
    </row>
    <row r="941" spans="1:25">
      <c r="A941" s="1544"/>
      <c r="B941" s="1544"/>
      <c r="C941" s="1544"/>
      <c r="D941" s="1544"/>
      <c r="E941" s="1544"/>
      <c r="R941" s="1545"/>
      <c r="S941" s="1545"/>
      <c r="T941" s="1545"/>
      <c r="U941" s="1545"/>
      <c r="V941" s="1545"/>
      <c r="W941" s="1545"/>
      <c r="X941" s="1545"/>
      <c r="Y941" s="1545"/>
    </row>
    <row r="942" spans="1:25">
      <c r="A942" s="1544"/>
      <c r="B942" s="1544"/>
      <c r="C942" s="1544"/>
      <c r="D942" s="1544"/>
      <c r="E942" s="1544"/>
      <c r="R942" s="1545"/>
      <c r="S942" s="1545"/>
      <c r="T942" s="1545"/>
      <c r="U942" s="1545"/>
      <c r="V942" s="1545"/>
      <c r="W942" s="1545"/>
      <c r="X942" s="1545"/>
      <c r="Y942" s="1545"/>
    </row>
    <row r="943" spans="1:25">
      <c r="A943" s="1544"/>
      <c r="B943" s="1544"/>
      <c r="C943" s="1544"/>
      <c r="D943" s="1544"/>
      <c r="E943" s="1544"/>
      <c r="R943" s="1545"/>
      <c r="S943" s="1545"/>
      <c r="T943" s="1545"/>
      <c r="U943" s="1545"/>
      <c r="V943" s="1545"/>
      <c r="W943" s="1545"/>
      <c r="X943" s="1545"/>
      <c r="Y943" s="1545"/>
    </row>
    <row r="944" spans="1:25">
      <c r="A944" s="1544"/>
      <c r="B944" s="1544"/>
      <c r="C944" s="1544"/>
      <c r="D944" s="1544"/>
      <c r="E944" s="1544"/>
      <c r="R944" s="1545"/>
      <c r="S944" s="1545"/>
      <c r="T944" s="1545"/>
      <c r="U944" s="1545"/>
      <c r="V944" s="1545"/>
      <c r="W944" s="1545"/>
      <c r="X944" s="1545"/>
      <c r="Y944" s="1545"/>
    </row>
    <row r="945" spans="1:25">
      <c r="A945" s="1544"/>
      <c r="B945" s="1544"/>
      <c r="C945" s="1544"/>
      <c r="D945" s="1544"/>
      <c r="E945" s="1544"/>
      <c r="R945" s="1545"/>
      <c r="S945" s="1545"/>
      <c r="T945" s="1545"/>
      <c r="U945" s="1545"/>
      <c r="V945" s="1545"/>
      <c r="W945" s="1545"/>
      <c r="X945" s="1545"/>
      <c r="Y945" s="1545"/>
    </row>
    <row r="946" spans="1:25">
      <c r="A946" s="1544"/>
      <c r="B946" s="1544"/>
      <c r="C946" s="1544"/>
      <c r="D946" s="1544"/>
      <c r="E946" s="1544"/>
      <c r="R946" s="1545"/>
      <c r="S946" s="1545"/>
      <c r="T946" s="1545"/>
      <c r="U946" s="1545"/>
      <c r="V946" s="1545"/>
      <c r="W946" s="1545"/>
      <c r="X946" s="1545"/>
      <c r="Y946" s="1545"/>
    </row>
    <row r="947" spans="1:25">
      <c r="A947" s="1544"/>
      <c r="B947" s="1544"/>
      <c r="C947" s="1544"/>
      <c r="D947" s="1544"/>
      <c r="E947" s="1544"/>
      <c r="R947" s="1545"/>
      <c r="S947" s="1545"/>
      <c r="T947" s="1545"/>
      <c r="U947" s="1545"/>
      <c r="V947" s="1545"/>
      <c r="W947" s="1545"/>
      <c r="X947" s="1545"/>
      <c r="Y947" s="1545"/>
    </row>
    <row r="948" spans="1:25">
      <c r="A948" s="1544"/>
      <c r="B948" s="1544"/>
      <c r="C948" s="1544"/>
      <c r="D948" s="1544"/>
      <c r="E948" s="1544"/>
      <c r="R948" s="1545"/>
      <c r="S948" s="1545"/>
      <c r="T948" s="1545"/>
      <c r="U948" s="1545"/>
      <c r="V948" s="1545"/>
      <c r="W948" s="1545"/>
      <c r="X948" s="1545"/>
      <c r="Y948" s="1545"/>
    </row>
    <row r="949" spans="1:25">
      <c r="A949" s="1544"/>
      <c r="B949" s="1544"/>
      <c r="C949" s="1544"/>
      <c r="D949" s="1544"/>
      <c r="E949" s="1544"/>
      <c r="R949" s="1545"/>
      <c r="S949" s="1545"/>
      <c r="T949" s="1545"/>
      <c r="U949" s="1545"/>
      <c r="V949" s="1545"/>
      <c r="W949" s="1545"/>
      <c r="X949" s="1545"/>
      <c r="Y949" s="1545"/>
    </row>
    <row r="950" spans="1:25">
      <c r="A950" s="1544"/>
      <c r="B950" s="1544"/>
      <c r="C950" s="1544"/>
      <c r="D950" s="1544"/>
      <c r="E950" s="1544"/>
      <c r="R950" s="1545"/>
      <c r="S950" s="1545"/>
      <c r="T950" s="1545"/>
      <c r="U950" s="1545"/>
      <c r="V950" s="1545"/>
      <c r="W950" s="1545"/>
      <c r="X950" s="1545"/>
      <c r="Y950" s="1545"/>
    </row>
    <row r="951" spans="1:25">
      <c r="A951" s="1544"/>
      <c r="B951" s="1544"/>
      <c r="C951" s="1544"/>
      <c r="D951" s="1544"/>
      <c r="E951" s="1544"/>
      <c r="R951" s="1545"/>
      <c r="S951" s="1545"/>
      <c r="T951" s="1545"/>
      <c r="U951" s="1545"/>
      <c r="V951" s="1545"/>
      <c r="W951" s="1545"/>
      <c r="X951" s="1545"/>
      <c r="Y951" s="1545"/>
    </row>
    <row r="952" spans="1:25">
      <c r="A952" s="1544"/>
      <c r="B952" s="1544"/>
      <c r="C952" s="1544"/>
      <c r="D952" s="1544"/>
      <c r="E952" s="1544"/>
      <c r="R952" s="1545"/>
      <c r="S952" s="1545"/>
      <c r="T952" s="1545"/>
      <c r="U952" s="1545"/>
      <c r="V952" s="1545"/>
      <c r="W952" s="1545"/>
      <c r="X952" s="1545"/>
      <c r="Y952" s="1545"/>
    </row>
    <row r="953" spans="1:25">
      <c r="A953" s="1544"/>
      <c r="B953" s="1544"/>
      <c r="C953" s="1544"/>
      <c r="D953" s="1544"/>
      <c r="E953" s="1544"/>
      <c r="R953" s="1545"/>
      <c r="S953" s="1545"/>
      <c r="T953" s="1545"/>
      <c r="U953" s="1545"/>
      <c r="V953" s="1545"/>
      <c r="W953" s="1545"/>
      <c r="X953" s="1545"/>
      <c r="Y953" s="1545"/>
    </row>
    <row r="954" spans="1:25">
      <c r="A954" s="1544"/>
      <c r="B954" s="1544"/>
      <c r="C954" s="1544"/>
      <c r="D954" s="1544"/>
      <c r="E954" s="1544"/>
      <c r="R954" s="1545"/>
      <c r="S954" s="1545"/>
      <c r="T954" s="1545"/>
      <c r="U954" s="1545"/>
      <c r="V954" s="1545"/>
      <c r="W954" s="1545"/>
      <c r="X954" s="1545"/>
      <c r="Y954" s="1545"/>
    </row>
    <row r="955" spans="1:25">
      <c r="A955" s="1544"/>
      <c r="B955" s="1544"/>
      <c r="C955" s="1544"/>
      <c r="D955" s="1544"/>
      <c r="E955" s="1544"/>
      <c r="R955" s="1545"/>
      <c r="S955" s="1545"/>
      <c r="T955" s="1545"/>
      <c r="U955" s="1545"/>
      <c r="V955" s="1545"/>
      <c r="W955" s="1545"/>
      <c r="X955" s="1545"/>
      <c r="Y955" s="1545"/>
    </row>
    <row r="956" spans="1:25">
      <c r="A956" s="1544"/>
      <c r="B956" s="1544"/>
      <c r="C956" s="1544"/>
      <c r="D956" s="1544"/>
      <c r="E956" s="1544"/>
      <c r="R956" s="1545"/>
      <c r="S956" s="1545"/>
      <c r="T956" s="1545"/>
      <c r="U956" s="1545"/>
      <c r="V956" s="1545"/>
      <c r="W956" s="1545"/>
      <c r="X956" s="1545"/>
      <c r="Y956" s="1545"/>
    </row>
    <row r="957" spans="1:25">
      <c r="A957" s="1544"/>
      <c r="B957" s="1544"/>
      <c r="C957" s="1544"/>
      <c r="D957" s="1544"/>
      <c r="E957" s="1544"/>
      <c r="R957" s="1545"/>
      <c r="S957" s="1545"/>
      <c r="T957" s="1545"/>
      <c r="U957" s="1545"/>
      <c r="V957" s="1545"/>
      <c r="W957" s="1545"/>
      <c r="X957" s="1545"/>
      <c r="Y957" s="1545"/>
    </row>
    <row r="958" spans="1:25">
      <c r="A958" s="1544"/>
      <c r="B958" s="1544"/>
      <c r="C958" s="1544"/>
      <c r="D958" s="1544"/>
      <c r="E958" s="1544"/>
      <c r="R958" s="1545"/>
      <c r="S958" s="1545"/>
      <c r="T958" s="1545"/>
      <c r="U958" s="1545"/>
      <c r="V958" s="1545"/>
      <c r="W958" s="1545"/>
      <c r="X958" s="1545"/>
      <c r="Y958" s="1545"/>
    </row>
    <row r="959" spans="1:25">
      <c r="A959" s="1544"/>
      <c r="B959" s="1544"/>
      <c r="C959" s="1544"/>
      <c r="D959" s="1544"/>
      <c r="E959" s="1544"/>
      <c r="R959" s="1545"/>
      <c r="S959" s="1545"/>
      <c r="T959" s="1545"/>
      <c r="U959" s="1545"/>
      <c r="V959" s="1545"/>
      <c r="W959" s="1545"/>
      <c r="X959" s="1545"/>
      <c r="Y959" s="1545"/>
    </row>
    <row r="960" spans="1:25">
      <c r="A960" s="1544"/>
      <c r="B960" s="1544"/>
      <c r="C960" s="1544"/>
      <c r="D960" s="1544"/>
      <c r="E960" s="1544"/>
      <c r="R960" s="1545"/>
      <c r="S960" s="1545"/>
      <c r="T960" s="1545"/>
      <c r="U960" s="1545"/>
      <c r="V960" s="1545"/>
      <c r="W960" s="1545"/>
      <c r="X960" s="1545"/>
      <c r="Y960" s="1545"/>
    </row>
    <row r="961" spans="1:25">
      <c r="A961" s="1544"/>
      <c r="B961" s="1544"/>
      <c r="C961" s="1544"/>
      <c r="D961" s="1544"/>
      <c r="E961" s="1544"/>
      <c r="R961" s="1545"/>
      <c r="S961" s="1545"/>
      <c r="T961" s="1545"/>
      <c r="U961" s="1545"/>
      <c r="V961" s="1545"/>
      <c r="W961" s="1545"/>
      <c r="X961" s="1545"/>
      <c r="Y961" s="1545"/>
    </row>
    <row r="962" spans="1:25">
      <c r="A962" s="1544"/>
      <c r="B962" s="1544"/>
      <c r="C962" s="1544"/>
      <c r="D962" s="1544"/>
      <c r="E962" s="1544"/>
      <c r="R962" s="1545"/>
      <c r="S962" s="1545"/>
      <c r="T962" s="1545"/>
      <c r="U962" s="1545"/>
      <c r="V962" s="1545"/>
      <c r="W962" s="1545"/>
      <c r="X962" s="1545"/>
      <c r="Y962" s="1545"/>
    </row>
    <row r="963" spans="1:25">
      <c r="A963" s="1544"/>
      <c r="B963" s="1544"/>
      <c r="C963" s="1544"/>
      <c r="D963" s="1544"/>
      <c r="E963" s="1544"/>
      <c r="R963" s="1545"/>
      <c r="S963" s="1545"/>
      <c r="T963" s="1545"/>
      <c r="U963" s="1545"/>
      <c r="V963" s="1545"/>
      <c r="W963" s="1545"/>
      <c r="X963" s="1545"/>
      <c r="Y963" s="1545"/>
    </row>
    <row r="964" spans="1:25">
      <c r="A964" s="1544"/>
      <c r="B964" s="1544"/>
      <c r="C964" s="1544"/>
      <c r="D964" s="1544"/>
      <c r="E964" s="1544"/>
      <c r="R964" s="1545"/>
      <c r="S964" s="1545"/>
      <c r="T964" s="1545"/>
      <c r="U964" s="1545"/>
      <c r="V964" s="1545"/>
      <c r="W964" s="1545"/>
      <c r="X964" s="1545"/>
      <c r="Y964" s="1545"/>
    </row>
    <row r="965" spans="1:25">
      <c r="A965" s="1544"/>
      <c r="B965" s="1544"/>
      <c r="C965" s="1544"/>
      <c r="D965" s="1544"/>
      <c r="E965" s="1544"/>
      <c r="R965" s="1545"/>
      <c r="S965" s="1545"/>
      <c r="T965" s="1545"/>
      <c r="U965" s="1545"/>
      <c r="V965" s="1545"/>
      <c r="W965" s="1545"/>
      <c r="X965" s="1545"/>
      <c r="Y965" s="1545"/>
    </row>
    <row r="966" spans="1:25">
      <c r="A966" s="1544"/>
      <c r="B966" s="1544"/>
      <c r="C966" s="1544"/>
      <c r="D966" s="1544"/>
      <c r="E966" s="1544"/>
      <c r="R966" s="1545"/>
      <c r="S966" s="1545"/>
      <c r="T966" s="1545"/>
      <c r="U966" s="1545"/>
      <c r="V966" s="1545"/>
      <c r="W966" s="1545"/>
      <c r="X966" s="1545"/>
      <c r="Y966" s="1545"/>
    </row>
    <row r="967" spans="1:25">
      <c r="A967" s="1544"/>
      <c r="B967" s="1544"/>
      <c r="C967" s="1544"/>
      <c r="D967" s="1544"/>
      <c r="E967" s="1544"/>
      <c r="R967" s="1545"/>
      <c r="S967" s="1545"/>
      <c r="T967" s="1545"/>
      <c r="U967" s="1545"/>
      <c r="V967" s="1545"/>
      <c r="W967" s="1545"/>
      <c r="X967" s="1545"/>
      <c r="Y967" s="1545"/>
    </row>
    <row r="968" spans="1:25">
      <c r="A968" s="1544"/>
      <c r="B968" s="1544"/>
      <c r="C968" s="1544"/>
      <c r="D968" s="1544"/>
      <c r="E968" s="1544"/>
      <c r="R968" s="1545"/>
      <c r="S968" s="1545"/>
      <c r="T968" s="1545"/>
      <c r="U968" s="1545"/>
      <c r="V968" s="1545"/>
      <c r="W968" s="1545"/>
      <c r="X968" s="1545"/>
      <c r="Y968" s="1545"/>
    </row>
    <row r="969" spans="1:25">
      <c r="A969" s="1544"/>
      <c r="B969" s="1544"/>
      <c r="C969" s="1544"/>
      <c r="D969" s="1544"/>
      <c r="E969" s="1544"/>
      <c r="R969" s="1545"/>
      <c r="S969" s="1545"/>
      <c r="T969" s="1545"/>
      <c r="U969" s="1545"/>
      <c r="V969" s="1545"/>
      <c r="W969" s="1545"/>
      <c r="X969" s="1545"/>
      <c r="Y969" s="1545"/>
    </row>
    <row r="970" spans="1:25">
      <c r="A970" s="1544"/>
      <c r="B970" s="1544"/>
      <c r="C970" s="1544"/>
      <c r="D970" s="1544"/>
      <c r="E970" s="1544"/>
      <c r="R970" s="1545"/>
      <c r="S970" s="1545"/>
      <c r="T970" s="1545"/>
      <c r="U970" s="1545"/>
      <c r="V970" s="1545"/>
      <c r="W970" s="1545"/>
      <c r="X970" s="1545"/>
      <c r="Y970" s="1545"/>
    </row>
    <row r="971" spans="1:25">
      <c r="A971" s="1544"/>
      <c r="B971" s="1544"/>
      <c r="C971" s="1544"/>
      <c r="D971" s="1544"/>
      <c r="E971" s="1544"/>
      <c r="R971" s="1545"/>
      <c r="S971" s="1545"/>
      <c r="T971" s="1545"/>
      <c r="U971" s="1545"/>
      <c r="V971" s="1545"/>
      <c r="W971" s="1545"/>
      <c r="X971" s="1545"/>
      <c r="Y971" s="1545"/>
    </row>
    <row r="972" spans="1:25">
      <c r="A972" s="1544"/>
      <c r="B972" s="1544"/>
      <c r="C972" s="1544"/>
      <c r="D972" s="1544"/>
      <c r="E972" s="1544"/>
      <c r="R972" s="1545"/>
      <c r="S972" s="1545"/>
      <c r="T972" s="1545"/>
      <c r="U972" s="1545"/>
      <c r="V972" s="1545"/>
      <c r="W972" s="1545"/>
      <c r="X972" s="1545"/>
      <c r="Y972" s="1545"/>
    </row>
    <row r="973" spans="1:25">
      <c r="A973" s="1544"/>
      <c r="B973" s="1544"/>
      <c r="C973" s="1544"/>
      <c r="D973" s="1544"/>
      <c r="E973" s="1544"/>
      <c r="R973" s="1545"/>
      <c r="S973" s="1545"/>
      <c r="T973" s="1545"/>
      <c r="U973" s="1545"/>
      <c r="V973" s="1545"/>
      <c r="W973" s="1545"/>
      <c r="X973" s="1545"/>
      <c r="Y973" s="1545"/>
    </row>
    <row r="974" spans="1:25">
      <c r="A974" s="1544"/>
      <c r="B974" s="1544"/>
      <c r="C974" s="1544"/>
      <c r="D974" s="1544"/>
      <c r="E974" s="1544"/>
      <c r="R974" s="1545"/>
      <c r="S974" s="1545"/>
      <c r="T974" s="1545"/>
      <c r="U974" s="1545"/>
      <c r="V974" s="1545"/>
      <c r="W974" s="1545"/>
      <c r="X974" s="1545"/>
      <c r="Y974" s="1545"/>
    </row>
    <row r="975" spans="1:25">
      <c r="A975" s="1544"/>
      <c r="B975" s="1544"/>
      <c r="C975" s="1544"/>
      <c r="D975" s="1544"/>
      <c r="E975" s="1544"/>
      <c r="R975" s="1545"/>
      <c r="S975" s="1545"/>
      <c r="T975" s="1545"/>
      <c r="U975" s="1545"/>
      <c r="V975" s="1545"/>
      <c r="W975" s="1545"/>
      <c r="X975" s="1545"/>
      <c r="Y975" s="1545"/>
    </row>
    <row r="976" spans="1:25">
      <c r="A976" s="1544"/>
      <c r="B976" s="1544"/>
      <c r="C976" s="1544"/>
      <c r="D976" s="1544"/>
      <c r="E976" s="1544"/>
      <c r="R976" s="1545"/>
      <c r="S976" s="1545"/>
      <c r="T976" s="1545"/>
      <c r="U976" s="1545"/>
      <c r="V976" s="1545"/>
      <c r="W976" s="1545"/>
      <c r="X976" s="1545"/>
      <c r="Y976" s="1545"/>
    </row>
    <row r="977" spans="1:25">
      <c r="A977" s="1544"/>
      <c r="B977" s="1544"/>
      <c r="C977" s="1544"/>
      <c r="D977" s="1544"/>
      <c r="E977" s="1544"/>
      <c r="R977" s="1545"/>
      <c r="S977" s="1545"/>
      <c r="T977" s="1545"/>
      <c r="U977" s="1545"/>
      <c r="V977" s="1545"/>
      <c r="W977" s="1545"/>
      <c r="X977" s="1545"/>
      <c r="Y977" s="1545"/>
    </row>
    <row r="978" spans="1:25">
      <c r="A978" s="1544"/>
      <c r="B978" s="1544"/>
      <c r="C978" s="1544"/>
      <c r="D978" s="1544"/>
      <c r="E978" s="1544"/>
      <c r="R978" s="1545"/>
      <c r="S978" s="1545"/>
      <c r="T978" s="1545"/>
      <c r="U978" s="1545"/>
      <c r="V978" s="1545"/>
      <c r="W978" s="1545"/>
      <c r="X978" s="1545"/>
      <c r="Y978" s="1545"/>
    </row>
    <row r="979" spans="1:25">
      <c r="A979" s="1544"/>
      <c r="B979" s="1544"/>
      <c r="C979" s="1544"/>
      <c r="D979" s="1544"/>
      <c r="E979" s="1544"/>
      <c r="R979" s="1545"/>
      <c r="S979" s="1545"/>
      <c r="T979" s="1545"/>
      <c r="U979" s="1545"/>
      <c r="V979" s="1545"/>
      <c r="W979" s="1545"/>
      <c r="X979" s="1545"/>
      <c r="Y979" s="1545"/>
    </row>
    <row r="980" spans="1:25">
      <c r="A980" s="1544"/>
      <c r="B980" s="1544"/>
      <c r="C980" s="1544"/>
      <c r="D980" s="1544"/>
      <c r="E980" s="1544"/>
      <c r="R980" s="1545"/>
      <c r="S980" s="1545"/>
      <c r="T980" s="1545"/>
      <c r="U980" s="1545"/>
      <c r="V980" s="1545"/>
      <c r="W980" s="1545"/>
      <c r="X980" s="1545"/>
      <c r="Y980" s="1545"/>
    </row>
    <row r="981" spans="1:25">
      <c r="A981" s="1544"/>
      <c r="B981" s="1544"/>
      <c r="C981" s="1544"/>
      <c r="D981" s="1544"/>
      <c r="E981" s="1544"/>
      <c r="R981" s="1545"/>
      <c r="S981" s="1545"/>
      <c r="T981" s="1545"/>
      <c r="U981" s="1545"/>
      <c r="V981" s="1545"/>
      <c r="W981" s="1545"/>
      <c r="X981" s="1545"/>
      <c r="Y981" s="1545"/>
    </row>
    <row r="982" spans="1:25">
      <c r="A982" s="1544"/>
      <c r="B982" s="1544"/>
      <c r="C982" s="1544"/>
      <c r="D982" s="1544"/>
      <c r="E982" s="1544"/>
      <c r="R982" s="1545"/>
      <c r="S982" s="1545"/>
      <c r="T982" s="1545"/>
      <c r="U982" s="1545"/>
      <c r="V982" s="1545"/>
      <c r="W982" s="1545"/>
      <c r="X982" s="1545"/>
      <c r="Y982" s="1545"/>
    </row>
    <row r="983" spans="1:25">
      <c r="A983" s="1544"/>
      <c r="B983" s="1544"/>
      <c r="C983" s="1544"/>
      <c r="D983" s="1544"/>
      <c r="E983" s="1544"/>
      <c r="R983" s="1545"/>
      <c r="S983" s="1545"/>
      <c r="T983" s="1545"/>
      <c r="U983" s="1545"/>
      <c r="V983" s="1545"/>
      <c r="W983" s="1545"/>
      <c r="X983" s="1545"/>
      <c r="Y983" s="1545"/>
    </row>
    <row r="984" spans="1:25">
      <c r="A984" s="1544"/>
      <c r="B984" s="1544"/>
      <c r="C984" s="1544"/>
      <c r="D984" s="1544"/>
      <c r="E984" s="1544"/>
      <c r="R984" s="1545"/>
      <c r="S984" s="1545"/>
      <c r="T984" s="1545"/>
      <c r="U984" s="1545"/>
      <c r="V984" s="1545"/>
      <c r="W984" s="1545"/>
      <c r="X984" s="1545"/>
      <c r="Y984" s="1545"/>
    </row>
    <row r="985" spans="1:25">
      <c r="A985" s="1544"/>
      <c r="B985" s="1544"/>
      <c r="C985" s="1544"/>
      <c r="D985" s="1544"/>
      <c r="E985" s="1544"/>
      <c r="R985" s="1545"/>
      <c r="S985" s="1545"/>
      <c r="T985" s="1545"/>
      <c r="U985" s="1545"/>
      <c r="V985" s="1545"/>
      <c r="W985" s="1545"/>
      <c r="X985" s="1545"/>
      <c r="Y985" s="1545"/>
    </row>
    <row r="986" spans="1:25">
      <c r="A986" s="1544"/>
      <c r="B986" s="1544"/>
      <c r="C986" s="1544"/>
      <c r="D986" s="1544"/>
      <c r="E986" s="1544"/>
      <c r="R986" s="1545"/>
      <c r="S986" s="1545"/>
      <c r="T986" s="1545"/>
      <c r="U986" s="1545"/>
      <c r="V986" s="1545"/>
      <c r="W986" s="1545"/>
      <c r="X986" s="1545"/>
      <c r="Y986" s="1545"/>
    </row>
    <row r="987" spans="1:25">
      <c r="A987" s="1544"/>
      <c r="B987" s="1544"/>
      <c r="C987" s="1544"/>
      <c r="D987" s="1544"/>
      <c r="E987" s="1544"/>
      <c r="R987" s="1545"/>
      <c r="S987" s="1545"/>
      <c r="T987" s="1545"/>
      <c r="U987" s="1545"/>
      <c r="V987" s="1545"/>
      <c r="W987" s="1545"/>
      <c r="X987" s="1545"/>
      <c r="Y987" s="1545"/>
    </row>
    <row r="988" spans="1:25">
      <c r="A988" s="1544"/>
      <c r="B988" s="1544"/>
      <c r="C988" s="1544"/>
      <c r="D988" s="1544"/>
      <c r="E988" s="1544"/>
      <c r="R988" s="1545"/>
      <c r="S988" s="1545"/>
      <c r="T988" s="1545"/>
      <c r="U988" s="1545"/>
      <c r="V988" s="1545"/>
      <c r="W988" s="1545"/>
      <c r="X988" s="1545"/>
      <c r="Y988" s="1545"/>
    </row>
    <row r="989" spans="1:25">
      <c r="A989" s="1544"/>
      <c r="B989" s="1544"/>
      <c r="C989" s="1544"/>
      <c r="D989" s="1544"/>
      <c r="E989" s="1544"/>
      <c r="R989" s="1545"/>
      <c r="S989" s="1545"/>
      <c r="T989" s="1545"/>
      <c r="U989" s="1545"/>
      <c r="V989" s="1545"/>
      <c r="W989" s="1545"/>
      <c r="X989" s="1545"/>
      <c r="Y989" s="1545"/>
    </row>
    <row r="990" spans="1:25">
      <c r="A990" s="1544"/>
      <c r="B990" s="1544"/>
      <c r="C990" s="1544"/>
      <c r="D990" s="1544"/>
      <c r="E990" s="1544"/>
      <c r="R990" s="1545"/>
      <c r="S990" s="1545"/>
      <c r="T990" s="1545"/>
      <c r="U990" s="1545"/>
      <c r="V990" s="1545"/>
      <c r="W990" s="1545"/>
      <c r="X990" s="1545"/>
      <c r="Y990" s="1545"/>
    </row>
    <row r="991" spans="1:25">
      <c r="A991" s="1544"/>
      <c r="B991" s="1544"/>
      <c r="C991" s="1544"/>
      <c r="D991" s="1544"/>
      <c r="E991" s="1544"/>
      <c r="R991" s="1545"/>
      <c r="S991" s="1545"/>
      <c r="T991" s="1545"/>
      <c r="U991" s="1545"/>
      <c r="V991" s="1545"/>
      <c r="W991" s="1545"/>
      <c r="X991" s="1545"/>
      <c r="Y991" s="1545"/>
    </row>
    <row r="992" spans="1:25">
      <c r="A992" s="1544"/>
      <c r="B992" s="1544"/>
      <c r="C992" s="1544"/>
      <c r="D992" s="1544"/>
      <c r="E992" s="1544"/>
      <c r="R992" s="1545"/>
      <c r="S992" s="1545"/>
      <c r="T992" s="1545"/>
      <c r="U992" s="1545"/>
      <c r="V992" s="1545"/>
      <c r="W992" s="1545"/>
      <c r="X992" s="1545"/>
      <c r="Y992" s="1545"/>
    </row>
    <row r="993" spans="1:25">
      <c r="A993" s="1544"/>
      <c r="B993" s="1544"/>
      <c r="C993" s="1544"/>
      <c r="D993" s="1544"/>
      <c r="E993" s="1544"/>
      <c r="R993" s="1545"/>
      <c r="S993" s="1545"/>
      <c r="T993" s="1545"/>
      <c r="U993" s="1545"/>
      <c r="V993" s="1545"/>
      <c r="W993" s="1545"/>
      <c r="X993" s="1545"/>
      <c r="Y993" s="1545"/>
    </row>
    <row r="994" spans="1:25">
      <c r="A994" s="1544"/>
      <c r="B994" s="1544"/>
      <c r="C994" s="1544"/>
      <c r="D994" s="1544"/>
      <c r="E994" s="1544"/>
      <c r="R994" s="1545"/>
      <c r="S994" s="1545"/>
      <c r="T994" s="1545"/>
      <c r="U994" s="1545"/>
      <c r="V994" s="1545"/>
      <c r="W994" s="1545"/>
      <c r="X994" s="1545"/>
      <c r="Y994" s="1545"/>
    </row>
    <row r="995" spans="1:25">
      <c r="A995" s="1544"/>
      <c r="B995" s="1544"/>
      <c r="C995" s="1544"/>
      <c r="D995" s="1544"/>
      <c r="E995" s="1544"/>
      <c r="R995" s="1545"/>
      <c r="S995" s="1545"/>
      <c r="T995" s="1545"/>
      <c r="U995" s="1545"/>
      <c r="V995" s="1545"/>
      <c r="W995" s="1545"/>
      <c r="X995" s="1545"/>
      <c r="Y995" s="1545"/>
    </row>
    <row r="996" spans="1:25">
      <c r="A996" s="1544"/>
      <c r="B996" s="1544"/>
      <c r="C996" s="1544"/>
      <c r="D996" s="1544"/>
      <c r="E996" s="1544"/>
      <c r="R996" s="1545"/>
      <c r="S996" s="1545"/>
      <c r="T996" s="1545"/>
      <c r="U996" s="1545"/>
      <c r="V996" s="1545"/>
      <c r="W996" s="1545"/>
      <c r="X996" s="1545"/>
      <c r="Y996" s="1545"/>
    </row>
    <row r="997" spans="1:25">
      <c r="A997" s="1544"/>
      <c r="B997" s="1544"/>
      <c r="C997" s="1544"/>
      <c r="D997" s="1544"/>
      <c r="E997" s="1544"/>
      <c r="R997" s="1545"/>
      <c r="S997" s="1545"/>
      <c r="T997" s="1545"/>
      <c r="U997" s="1545"/>
      <c r="V997" s="1545"/>
      <c r="W997" s="1545"/>
      <c r="X997" s="1545"/>
      <c r="Y997" s="1545"/>
    </row>
    <row r="998" spans="1:25">
      <c r="A998" s="1544"/>
      <c r="B998" s="1544"/>
      <c r="C998" s="1544"/>
      <c r="D998" s="1544"/>
      <c r="E998" s="1544"/>
      <c r="R998" s="1545"/>
      <c r="S998" s="1545"/>
      <c r="T998" s="1545"/>
      <c r="U998" s="1545"/>
      <c r="V998" s="1545"/>
      <c r="W998" s="1545"/>
      <c r="X998" s="1545"/>
      <c r="Y998" s="1545"/>
    </row>
    <row r="999" spans="1:25">
      <c r="A999" s="1544"/>
      <c r="B999" s="1544"/>
      <c r="C999" s="1544"/>
      <c r="D999" s="1544"/>
      <c r="E999" s="1544"/>
      <c r="R999" s="1545"/>
      <c r="S999" s="1545"/>
      <c r="T999" s="1545"/>
      <c r="U999" s="1545"/>
      <c r="V999" s="1545"/>
      <c r="W999" s="1545"/>
      <c r="X999" s="1545"/>
      <c r="Y999" s="1545"/>
    </row>
    <row r="1000" spans="1:25">
      <c r="A1000" s="1544"/>
      <c r="B1000" s="1544"/>
      <c r="C1000" s="1544"/>
      <c r="D1000" s="1544"/>
      <c r="E1000" s="1544"/>
      <c r="R1000" s="1545"/>
      <c r="S1000" s="1545"/>
      <c r="T1000" s="1545"/>
      <c r="U1000" s="1545"/>
      <c r="V1000" s="1545"/>
      <c r="W1000" s="1545"/>
      <c r="X1000" s="1545"/>
      <c r="Y1000" s="1545"/>
    </row>
    <row r="1001" spans="1:25">
      <c r="A1001" s="1544"/>
      <c r="B1001" s="1544"/>
      <c r="C1001" s="1544"/>
      <c r="D1001" s="1544"/>
      <c r="E1001" s="1544"/>
      <c r="R1001" s="1545"/>
      <c r="S1001" s="1545"/>
      <c r="T1001" s="1545"/>
      <c r="U1001" s="1545"/>
      <c r="V1001" s="1545"/>
      <c r="W1001" s="1545"/>
      <c r="X1001" s="1545"/>
      <c r="Y1001" s="1545"/>
    </row>
    <row r="1002" spans="1:25">
      <c r="A1002" s="1544"/>
      <c r="B1002" s="1544"/>
      <c r="C1002" s="1544"/>
      <c r="D1002" s="1544"/>
      <c r="E1002" s="1544"/>
      <c r="R1002" s="1545"/>
      <c r="S1002" s="1545"/>
      <c r="T1002" s="1545"/>
      <c r="U1002" s="1545"/>
      <c r="V1002" s="1545"/>
      <c r="W1002" s="1545"/>
      <c r="X1002" s="1545"/>
      <c r="Y1002" s="1545"/>
    </row>
    <row r="1003" spans="1:25">
      <c r="A1003" s="1544"/>
      <c r="B1003" s="1544"/>
      <c r="C1003" s="1544"/>
      <c r="D1003" s="1544"/>
      <c r="E1003" s="1544"/>
      <c r="R1003" s="1545"/>
      <c r="S1003" s="1545"/>
      <c r="T1003" s="1545"/>
      <c r="U1003" s="1545"/>
      <c r="V1003" s="1545"/>
      <c r="W1003" s="1545"/>
      <c r="X1003" s="1545"/>
      <c r="Y1003" s="1545"/>
    </row>
    <row r="1004" spans="1:25">
      <c r="A1004" s="1544"/>
      <c r="B1004" s="1544"/>
      <c r="C1004" s="1544"/>
      <c r="D1004" s="1544"/>
      <c r="E1004" s="1544"/>
      <c r="R1004" s="1545"/>
      <c r="S1004" s="1545"/>
      <c r="T1004" s="1545"/>
      <c r="U1004" s="1545"/>
      <c r="V1004" s="1545"/>
      <c r="W1004" s="1545"/>
      <c r="X1004" s="1545"/>
      <c r="Y1004" s="1545"/>
    </row>
    <row r="1005" spans="1:25">
      <c r="A1005" s="1544"/>
      <c r="B1005" s="1544"/>
      <c r="C1005" s="1544"/>
      <c r="D1005" s="1544"/>
      <c r="E1005" s="1544"/>
      <c r="R1005" s="1545"/>
      <c r="S1005" s="1545"/>
      <c r="T1005" s="1545"/>
      <c r="U1005" s="1545"/>
      <c r="V1005" s="1545"/>
      <c r="W1005" s="1545"/>
      <c r="X1005" s="1545"/>
      <c r="Y1005" s="1545"/>
    </row>
    <row r="1006" spans="1:25">
      <c r="A1006" s="1544"/>
      <c r="B1006" s="1544"/>
      <c r="C1006" s="1544"/>
      <c r="D1006" s="1544"/>
      <c r="E1006" s="1544"/>
      <c r="R1006" s="1545"/>
      <c r="S1006" s="1545"/>
      <c r="T1006" s="1545"/>
      <c r="U1006" s="1545"/>
      <c r="V1006" s="1545"/>
      <c r="W1006" s="1545"/>
      <c r="X1006" s="1545"/>
      <c r="Y1006" s="1545"/>
    </row>
    <row r="1007" spans="1:25">
      <c r="A1007" s="1544"/>
      <c r="B1007" s="1544"/>
      <c r="C1007" s="1544"/>
      <c r="D1007" s="1544"/>
      <c r="E1007" s="1544"/>
      <c r="R1007" s="1545"/>
      <c r="S1007" s="1545"/>
      <c r="T1007" s="1545"/>
      <c r="U1007" s="1545"/>
      <c r="V1007" s="1545"/>
      <c r="W1007" s="1545"/>
      <c r="X1007" s="1545"/>
      <c r="Y1007" s="1545"/>
    </row>
    <row r="1008" spans="1:25">
      <c r="A1008" s="1544"/>
      <c r="B1008" s="1544"/>
      <c r="C1008" s="1544"/>
      <c r="D1008" s="1544"/>
      <c r="E1008" s="1544"/>
      <c r="R1008" s="1545"/>
      <c r="S1008" s="1545"/>
      <c r="T1008" s="1545"/>
      <c r="U1008" s="1545"/>
      <c r="V1008" s="1545"/>
      <c r="W1008" s="1545"/>
      <c r="X1008" s="1545"/>
      <c r="Y1008" s="1545"/>
    </row>
    <row r="1009" spans="1:25">
      <c r="A1009" s="1544"/>
      <c r="B1009" s="1544"/>
      <c r="C1009" s="1544"/>
      <c r="D1009" s="1544"/>
      <c r="E1009" s="1544"/>
      <c r="R1009" s="1545"/>
      <c r="S1009" s="1545"/>
      <c r="T1009" s="1545"/>
      <c r="U1009" s="1545"/>
      <c r="V1009" s="1545"/>
      <c r="W1009" s="1545"/>
      <c r="X1009" s="1545"/>
      <c r="Y1009" s="1545"/>
    </row>
    <row r="1010" spans="1:25">
      <c r="A1010" s="1544"/>
      <c r="B1010" s="1544"/>
      <c r="C1010" s="1544"/>
      <c r="D1010" s="1544"/>
      <c r="E1010" s="1544"/>
      <c r="R1010" s="1545"/>
      <c r="S1010" s="1545"/>
      <c r="T1010" s="1545"/>
      <c r="U1010" s="1545"/>
      <c r="V1010" s="1545"/>
      <c r="W1010" s="1545"/>
      <c r="X1010" s="1545"/>
      <c r="Y1010" s="1545"/>
    </row>
    <row r="1011" spans="1:25">
      <c r="A1011" s="1544"/>
      <c r="B1011" s="1544"/>
      <c r="C1011" s="1544"/>
      <c r="D1011" s="1544"/>
      <c r="E1011" s="1544"/>
      <c r="R1011" s="1545"/>
      <c r="S1011" s="1545"/>
      <c r="T1011" s="1545"/>
      <c r="U1011" s="1545"/>
      <c r="V1011" s="1545"/>
      <c r="W1011" s="1545"/>
      <c r="X1011" s="1545"/>
      <c r="Y1011" s="1545"/>
    </row>
    <row r="1012" spans="1:25">
      <c r="A1012" s="1544"/>
      <c r="B1012" s="1544"/>
      <c r="C1012" s="1544"/>
      <c r="D1012" s="1544"/>
      <c r="E1012" s="1544"/>
      <c r="R1012" s="1545"/>
      <c r="S1012" s="1545"/>
      <c r="T1012" s="1545"/>
      <c r="U1012" s="1545"/>
      <c r="V1012" s="1545"/>
      <c r="W1012" s="1545"/>
      <c r="X1012" s="1545"/>
      <c r="Y1012" s="1545"/>
    </row>
    <row r="1013" spans="1:25">
      <c r="A1013" s="1544"/>
      <c r="B1013" s="1544"/>
      <c r="C1013" s="1544"/>
      <c r="D1013" s="1544"/>
      <c r="E1013" s="1544"/>
      <c r="R1013" s="1545"/>
      <c r="S1013" s="1545"/>
      <c r="T1013" s="1545"/>
      <c r="U1013" s="1545"/>
      <c r="V1013" s="1545"/>
      <c r="W1013" s="1545"/>
      <c r="X1013" s="1545"/>
      <c r="Y1013" s="1545"/>
    </row>
    <row r="1014" spans="1:25">
      <c r="A1014" s="1544"/>
      <c r="B1014" s="1544"/>
      <c r="C1014" s="1544"/>
      <c r="D1014" s="1544"/>
      <c r="E1014" s="1544"/>
      <c r="R1014" s="1545"/>
      <c r="S1014" s="1545"/>
      <c r="T1014" s="1545"/>
      <c r="U1014" s="1545"/>
      <c r="V1014" s="1545"/>
      <c r="W1014" s="1545"/>
      <c r="X1014" s="1545"/>
      <c r="Y1014" s="1545"/>
    </row>
    <row r="1015" spans="1:25">
      <c r="A1015" s="1544"/>
      <c r="B1015" s="1544"/>
      <c r="C1015" s="1544"/>
      <c r="D1015" s="1544"/>
      <c r="E1015" s="1544"/>
      <c r="R1015" s="1545"/>
      <c r="S1015" s="1545"/>
      <c r="T1015" s="1545"/>
      <c r="U1015" s="1545"/>
      <c r="V1015" s="1545"/>
      <c r="W1015" s="1545"/>
      <c r="X1015" s="1545"/>
      <c r="Y1015" s="1545"/>
    </row>
    <row r="1016" spans="1:25">
      <c r="A1016" s="1544"/>
      <c r="B1016" s="1544"/>
      <c r="C1016" s="1544"/>
      <c r="D1016" s="1544"/>
      <c r="E1016" s="1544"/>
      <c r="R1016" s="1545"/>
      <c r="S1016" s="1545"/>
      <c r="T1016" s="1545"/>
      <c r="U1016" s="1545"/>
      <c r="V1016" s="1545"/>
      <c r="W1016" s="1545"/>
      <c r="X1016" s="1545"/>
      <c r="Y1016" s="1545"/>
    </row>
    <row r="1017" spans="1:25">
      <c r="A1017" s="1544"/>
      <c r="B1017" s="1544"/>
      <c r="C1017" s="1544"/>
      <c r="D1017" s="1544"/>
      <c r="E1017" s="1544"/>
      <c r="R1017" s="1545"/>
      <c r="S1017" s="1545"/>
      <c r="T1017" s="1545"/>
      <c r="U1017" s="1545"/>
      <c r="V1017" s="1545"/>
      <c r="W1017" s="1545"/>
      <c r="X1017" s="1545"/>
      <c r="Y1017" s="1545"/>
    </row>
    <row r="1018" spans="1:25">
      <c r="A1018" s="1544"/>
      <c r="B1018" s="1544"/>
      <c r="C1018" s="1544"/>
      <c r="D1018" s="1544"/>
      <c r="E1018" s="1544"/>
      <c r="R1018" s="1545"/>
      <c r="S1018" s="1545"/>
      <c r="T1018" s="1545"/>
      <c r="U1018" s="1545"/>
      <c r="V1018" s="1545"/>
      <c r="W1018" s="1545"/>
      <c r="X1018" s="1545"/>
      <c r="Y1018" s="1545"/>
    </row>
    <row r="1019" spans="1:25">
      <c r="A1019" s="1544"/>
      <c r="B1019" s="1544"/>
      <c r="C1019" s="1544"/>
      <c r="D1019" s="1544"/>
      <c r="E1019" s="1544"/>
      <c r="R1019" s="1545"/>
      <c r="S1019" s="1545"/>
      <c r="T1019" s="1545"/>
      <c r="U1019" s="1545"/>
      <c r="V1019" s="1545"/>
      <c r="W1019" s="1545"/>
      <c r="X1019" s="1545"/>
      <c r="Y1019" s="1545"/>
    </row>
    <row r="1020" spans="1:25">
      <c r="A1020" s="1544"/>
      <c r="B1020" s="1544"/>
      <c r="C1020" s="1544"/>
      <c r="D1020" s="1544"/>
      <c r="E1020" s="1544"/>
      <c r="R1020" s="1545"/>
      <c r="S1020" s="1545"/>
      <c r="T1020" s="1545"/>
      <c r="U1020" s="1545"/>
      <c r="V1020" s="1545"/>
      <c r="W1020" s="1545"/>
      <c r="X1020" s="1545"/>
      <c r="Y1020" s="1545"/>
    </row>
    <row r="1021" spans="1:25">
      <c r="A1021" s="1544"/>
      <c r="B1021" s="1544"/>
      <c r="C1021" s="1544"/>
      <c r="D1021" s="1544"/>
      <c r="E1021" s="1544"/>
      <c r="R1021" s="1545"/>
      <c r="S1021" s="1545"/>
      <c r="T1021" s="1545"/>
      <c r="U1021" s="1545"/>
      <c r="V1021" s="1545"/>
      <c r="W1021" s="1545"/>
      <c r="X1021" s="1545"/>
      <c r="Y1021" s="1545"/>
    </row>
    <row r="1022" spans="1:25">
      <c r="A1022" s="1544"/>
      <c r="B1022" s="1544"/>
      <c r="C1022" s="1544"/>
      <c r="D1022" s="1544"/>
      <c r="E1022" s="1544"/>
      <c r="R1022" s="1545"/>
      <c r="S1022" s="1545"/>
      <c r="T1022" s="1545"/>
      <c r="U1022" s="1545"/>
      <c r="V1022" s="1545"/>
      <c r="W1022" s="1545"/>
      <c r="X1022" s="1545"/>
      <c r="Y1022" s="1545"/>
    </row>
    <row r="1023" spans="1:25">
      <c r="A1023" s="1544"/>
      <c r="B1023" s="1544"/>
      <c r="C1023" s="1544"/>
      <c r="D1023" s="1544"/>
      <c r="E1023" s="1544"/>
      <c r="R1023" s="1545"/>
      <c r="S1023" s="1545"/>
      <c r="T1023" s="1545"/>
      <c r="U1023" s="1545"/>
      <c r="V1023" s="1545"/>
      <c r="W1023" s="1545"/>
      <c r="X1023" s="1545"/>
      <c r="Y1023" s="1545"/>
    </row>
    <row r="1024" spans="1:25">
      <c r="A1024" s="1544"/>
      <c r="B1024" s="1544"/>
      <c r="C1024" s="1544"/>
      <c r="D1024" s="1544"/>
      <c r="E1024" s="1544"/>
      <c r="R1024" s="1545"/>
      <c r="S1024" s="1545"/>
      <c r="T1024" s="1545"/>
      <c r="U1024" s="1545"/>
      <c r="V1024" s="1545"/>
      <c r="W1024" s="1545"/>
      <c r="X1024" s="1545"/>
      <c r="Y1024" s="1545"/>
    </row>
    <row r="1025" spans="1:25">
      <c r="A1025" s="1544"/>
      <c r="B1025" s="1544"/>
      <c r="C1025" s="1544"/>
      <c r="D1025" s="1544"/>
      <c r="E1025" s="1544"/>
      <c r="R1025" s="1545"/>
      <c r="S1025" s="1545"/>
      <c r="T1025" s="1545"/>
      <c r="U1025" s="1545"/>
      <c r="V1025" s="1545"/>
      <c r="W1025" s="1545"/>
      <c r="X1025" s="1545"/>
      <c r="Y1025" s="1545"/>
    </row>
    <row r="1026" spans="1:25">
      <c r="A1026" s="1544"/>
      <c r="B1026" s="1544"/>
      <c r="C1026" s="1544"/>
      <c r="D1026" s="1544"/>
      <c r="E1026" s="1544"/>
      <c r="R1026" s="1545"/>
      <c r="S1026" s="1545"/>
      <c r="T1026" s="1545"/>
      <c r="U1026" s="1545"/>
      <c r="V1026" s="1545"/>
      <c r="W1026" s="1545"/>
      <c r="X1026" s="1545"/>
      <c r="Y1026" s="1545"/>
    </row>
    <row r="1027" spans="1:25">
      <c r="A1027" s="1544"/>
      <c r="B1027" s="1544"/>
      <c r="C1027" s="1544"/>
      <c r="D1027" s="1544"/>
      <c r="E1027" s="1544"/>
      <c r="R1027" s="1545"/>
      <c r="S1027" s="1545"/>
      <c r="T1027" s="1545"/>
      <c r="U1027" s="1545"/>
      <c r="V1027" s="1545"/>
      <c r="W1027" s="1545"/>
      <c r="X1027" s="1545"/>
      <c r="Y1027" s="1545"/>
    </row>
    <row r="1028" spans="1:25">
      <c r="A1028" s="1544"/>
      <c r="B1028" s="1544"/>
      <c r="C1028" s="1544"/>
      <c r="D1028" s="1544"/>
      <c r="E1028" s="1544"/>
      <c r="R1028" s="1545"/>
      <c r="S1028" s="1545"/>
      <c r="T1028" s="1545"/>
      <c r="U1028" s="1545"/>
      <c r="V1028" s="1545"/>
      <c r="W1028" s="1545"/>
      <c r="X1028" s="1545"/>
      <c r="Y1028" s="1545"/>
    </row>
    <row r="1029" spans="1:25">
      <c r="A1029" s="1544"/>
      <c r="B1029" s="1544"/>
      <c r="C1029" s="1544"/>
      <c r="D1029" s="1544"/>
      <c r="E1029" s="1544"/>
      <c r="R1029" s="1545"/>
      <c r="S1029" s="1545"/>
      <c r="T1029" s="1545"/>
      <c r="U1029" s="1545"/>
      <c r="V1029" s="1545"/>
      <c r="W1029" s="1545"/>
      <c r="X1029" s="1545"/>
      <c r="Y1029" s="1545"/>
    </row>
    <row r="1030" spans="1:25">
      <c r="A1030" s="1544"/>
      <c r="B1030" s="1544"/>
      <c r="C1030" s="1544"/>
      <c r="D1030" s="1544"/>
      <c r="E1030" s="1544"/>
      <c r="R1030" s="1545"/>
      <c r="S1030" s="1545"/>
      <c r="T1030" s="1545"/>
      <c r="U1030" s="1545"/>
      <c r="V1030" s="1545"/>
      <c r="W1030" s="1545"/>
      <c r="X1030" s="1545"/>
      <c r="Y1030" s="1545"/>
    </row>
    <row r="1031" spans="1:25">
      <c r="A1031" s="1544"/>
      <c r="B1031" s="1544"/>
      <c r="C1031" s="1544"/>
      <c r="D1031" s="1544"/>
      <c r="E1031" s="1544"/>
      <c r="R1031" s="1545"/>
      <c r="S1031" s="1545"/>
      <c r="T1031" s="1545"/>
      <c r="U1031" s="1545"/>
      <c r="V1031" s="1545"/>
      <c r="W1031" s="1545"/>
      <c r="X1031" s="1545"/>
      <c r="Y1031" s="1545"/>
    </row>
    <row r="1032" spans="1:25">
      <c r="A1032" s="1544"/>
      <c r="B1032" s="1544"/>
      <c r="C1032" s="1544"/>
      <c r="D1032" s="1544"/>
      <c r="E1032" s="1544"/>
      <c r="R1032" s="1545"/>
      <c r="S1032" s="1545"/>
      <c r="T1032" s="1545"/>
      <c r="U1032" s="1545"/>
      <c r="V1032" s="1545"/>
      <c r="W1032" s="1545"/>
      <c r="X1032" s="1545"/>
      <c r="Y1032" s="1545"/>
    </row>
    <row r="1033" spans="1:25">
      <c r="A1033" s="1544"/>
      <c r="B1033" s="1544"/>
      <c r="C1033" s="1544"/>
      <c r="D1033" s="1544"/>
      <c r="E1033" s="1544"/>
      <c r="R1033" s="1545"/>
      <c r="S1033" s="1545"/>
      <c r="T1033" s="1545"/>
      <c r="U1033" s="1545"/>
      <c r="V1033" s="1545"/>
      <c r="W1033" s="1545"/>
      <c r="X1033" s="1545"/>
      <c r="Y1033" s="1545"/>
    </row>
    <row r="1034" spans="1:25">
      <c r="A1034" s="1544"/>
      <c r="B1034" s="1544"/>
      <c r="C1034" s="1544"/>
      <c r="D1034" s="1544"/>
      <c r="E1034" s="1544"/>
      <c r="R1034" s="1545"/>
      <c r="S1034" s="1545"/>
      <c r="T1034" s="1545"/>
      <c r="U1034" s="1545"/>
      <c r="V1034" s="1545"/>
      <c r="W1034" s="1545"/>
      <c r="X1034" s="1545"/>
      <c r="Y1034" s="1545"/>
    </row>
    <row r="1035" spans="1:25">
      <c r="A1035" s="1544"/>
      <c r="B1035" s="1544"/>
      <c r="C1035" s="1544"/>
      <c r="D1035" s="1544"/>
      <c r="E1035" s="1544"/>
      <c r="R1035" s="1545"/>
      <c r="S1035" s="1545"/>
      <c r="T1035" s="1545"/>
      <c r="U1035" s="1545"/>
      <c r="V1035" s="1545"/>
      <c r="W1035" s="1545"/>
      <c r="X1035" s="1545"/>
      <c r="Y1035" s="1545"/>
    </row>
    <row r="1036" spans="1:25">
      <c r="A1036" s="1544"/>
      <c r="B1036" s="1544"/>
      <c r="C1036" s="1544"/>
      <c r="D1036" s="1544"/>
      <c r="E1036" s="1544"/>
      <c r="R1036" s="1545"/>
      <c r="S1036" s="1545"/>
      <c r="T1036" s="1545"/>
      <c r="U1036" s="1545"/>
      <c r="V1036" s="1545"/>
      <c r="W1036" s="1545"/>
      <c r="X1036" s="1545"/>
      <c r="Y1036" s="1545"/>
    </row>
    <row r="1037" spans="1:25">
      <c r="A1037" s="1544"/>
      <c r="B1037" s="1544"/>
      <c r="C1037" s="1544"/>
      <c r="D1037" s="1544"/>
      <c r="E1037" s="1544"/>
      <c r="R1037" s="1545"/>
      <c r="S1037" s="1545"/>
      <c r="T1037" s="1545"/>
      <c r="U1037" s="1545"/>
      <c r="V1037" s="1545"/>
      <c r="W1037" s="1545"/>
      <c r="X1037" s="1545"/>
      <c r="Y1037" s="1545"/>
    </row>
    <row r="1038" spans="1:25">
      <c r="A1038" s="1544"/>
      <c r="B1038" s="1544"/>
      <c r="C1038" s="1544"/>
      <c r="D1038" s="1544"/>
      <c r="E1038" s="1544"/>
      <c r="R1038" s="1545"/>
      <c r="S1038" s="1545"/>
      <c r="T1038" s="1545"/>
      <c r="U1038" s="1545"/>
      <c r="V1038" s="1545"/>
      <c r="W1038" s="1545"/>
      <c r="X1038" s="1545"/>
      <c r="Y1038" s="1545"/>
    </row>
    <row r="1039" spans="1:25">
      <c r="A1039" s="1544"/>
      <c r="B1039" s="1544"/>
      <c r="C1039" s="1544"/>
      <c r="D1039" s="1544"/>
      <c r="E1039" s="1544"/>
      <c r="R1039" s="1545"/>
      <c r="S1039" s="1545"/>
      <c r="T1039" s="1545"/>
      <c r="U1039" s="1545"/>
      <c r="V1039" s="1545"/>
      <c r="W1039" s="1545"/>
      <c r="X1039" s="1545"/>
      <c r="Y1039" s="1545"/>
    </row>
    <row r="1040" spans="1:25">
      <c r="A1040" s="1544"/>
      <c r="B1040" s="1544"/>
      <c r="C1040" s="1544"/>
      <c r="D1040" s="1544"/>
      <c r="E1040" s="1544"/>
      <c r="R1040" s="1545"/>
      <c r="S1040" s="1545"/>
      <c r="T1040" s="1545"/>
      <c r="U1040" s="1545"/>
      <c r="V1040" s="1545"/>
      <c r="W1040" s="1545"/>
      <c r="X1040" s="1545"/>
      <c r="Y1040" s="1545"/>
    </row>
    <row r="1041" spans="1:25">
      <c r="A1041" s="1544"/>
      <c r="B1041" s="1544"/>
      <c r="C1041" s="1544"/>
      <c r="D1041" s="1544"/>
      <c r="E1041" s="1544"/>
      <c r="R1041" s="1545"/>
      <c r="S1041" s="1545"/>
      <c r="T1041" s="1545"/>
      <c r="U1041" s="1545"/>
      <c r="V1041" s="1545"/>
      <c r="W1041" s="1545"/>
      <c r="X1041" s="1545"/>
      <c r="Y1041" s="1545"/>
    </row>
    <row r="1042" spans="1:25">
      <c r="A1042" s="1544"/>
      <c r="B1042" s="1544"/>
      <c r="C1042" s="1544"/>
      <c r="D1042" s="1544"/>
      <c r="E1042" s="1544"/>
      <c r="R1042" s="1545"/>
      <c r="S1042" s="1545"/>
      <c r="T1042" s="1545"/>
      <c r="U1042" s="1545"/>
      <c r="V1042" s="1545"/>
      <c r="W1042" s="1545"/>
      <c r="X1042" s="1545"/>
      <c r="Y1042" s="1545"/>
    </row>
    <row r="1043" spans="1:25">
      <c r="A1043" s="1544"/>
      <c r="B1043" s="1544"/>
      <c r="C1043" s="1544"/>
      <c r="D1043" s="1544"/>
      <c r="E1043" s="1544"/>
      <c r="R1043" s="1545"/>
      <c r="S1043" s="1545"/>
      <c r="T1043" s="1545"/>
      <c r="U1043" s="1545"/>
      <c r="V1043" s="1545"/>
      <c r="W1043" s="1545"/>
      <c r="X1043" s="1545"/>
      <c r="Y1043" s="1545"/>
    </row>
    <row r="1044" spans="1:25">
      <c r="A1044" s="1544"/>
      <c r="B1044" s="1544"/>
      <c r="C1044" s="1544"/>
      <c r="D1044" s="1544"/>
      <c r="E1044" s="1544"/>
      <c r="R1044" s="1545"/>
      <c r="S1044" s="1545"/>
      <c r="T1044" s="1545"/>
      <c r="U1044" s="1545"/>
      <c r="V1044" s="1545"/>
      <c r="W1044" s="1545"/>
      <c r="X1044" s="1545"/>
      <c r="Y1044" s="1545"/>
    </row>
    <row r="1045" spans="1:25">
      <c r="A1045" s="1544"/>
      <c r="B1045" s="1544"/>
      <c r="C1045" s="1544"/>
      <c r="D1045" s="1544"/>
      <c r="E1045" s="1544"/>
      <c r="R1045" s="1545"/>
      <c r="S1045" s="1545"/>
      <c r="T1045" s="1545"/>
      <c r="U1045" s="1545"/>
      <c r="V1045" s="1545"/>
      <c r="W1045" s="1545"/>
      <c r="X1045" s="1545"/>
      <c r="Y1045" s="1545"/>
    </row>
    <row r="1046" spans="1:25">
      <c r="A1046" s="1544"/>
      <c r="B1046" s="1544"/>
      <c r="C1046" s="1544"/>
      <c r="D1046" s="1544"/>
      <c r="E1046" s="1544"/>
      <c r="R1046" s="1545"/>
      <c r="S1046" s="1545"/>
      <c r="T1046" s="1545"/>
      <c r="U1046" s="1545"/>
      <c r="V1046" s="1545"/>
      <c r="W1046" s="1545"/>
      <c r="X1046" s="1545"/>
      <c r="Y1046" s="1545"/>
    </row>
    <row r="1047" spans="1:25">
      <c r="A1047" s="1544"/>
      <c r="B1047" s="1544"/>
      <c r="C1047" s="1544"/>
      <c r="D1047" s="1544"/>
      <c r="E1047" s="1544"/>
      <c r="R1047" s="1545"/>
      <c r="S1047" s="1545"/>
      <c r="T1047" s="1545"/>
      <c r="U1047" s="1545"/>
      <c r="V1047" s="1545"/>
      <c r="W1047" s="1545"/>
      <c r="X1047" s="1545"/>
      <c r="Y1047" s="1545"/>
    </row>
    <row r="1048" spans="1:25">
      <c r="A1048" s="1544"/>
      <c r="B1048" s="1544"/>
      <c r="C1048" s="1544"/>
      <c r="D1048" s="1544"/>
      <c r="E1048" s="1544"/>
      <c r="R1048" s="1545"/>
      <c r="S1048" s="1545"/>
      <c r="T1048" s="1545"/>
      <c r="U1048" s="1545"/>
      <c r="V1048" s="1545"/>
      <c r="W1048" s="1545"/>
      <c r="X1048" s="1545"/>
      <c r="Y1048" s="1545"/>
    </row>
    <row r="1049" spans="1:25">
      <c r="A1049" s="1544"/>
      <c r="B1049" s="1544"/>
      <c r="C1049" s="1544"/>
      <c r="D1049" s="1544"/>
      <c r="E1049" s="1544"/>
      <c r="R1049" s="1545"/>
      <c r="S1049" s="1545"/>
      <c r="T1049" s="1545"/>
      <c r="U1049" s="1545"/>
      <c r="V1049" s="1545"/>
      <c r="W1049" s="1545"/>
      <c r="X1049" s="1545"/>
      <c r="Y1049" s="1545"/>
    </row>
    <row r="1050" spans="1:25">
      <c r="A1050" s="1544"/>
      <c r="B1050" s="1544"/>
      <c r="C1050" s="1544"/>
      <c r="D1050" s="1544"/>
      <c r="E1050" s="1544"/>
      <c r="R1050" s="1545"/>
      <c r="S1050" s="1545"/>
      <c r="T1050" s="1545"/>
      <c r="U1050" s="1545"/>
      <c r="V1050" s="1545"/>
      <c r="W1050" s="1545"/>
      <c r="X1050" s="1545"/>
      <c r="Y1050" s="1545"/>
    </row>
    <row r="1051" spans="1:25">
      <c r="A1051" s="1544"/>
      <c r="B1051" s="1544"/>
      <c r="C1051" s="1544"/>
      <c r="D1051" s="1544"/>
      <c r="E1051" s="1544"/>
      <c r="R1051" s="1545"/>
      <c r="S1051" s="1545"/>
      <c r="T1051" s="1545"/>
      <c r="U1051" s="1545"/>
      <c r="V1051" s="1545"/>
      <c r="W1051" s="1545"/>
      <c r="X1051" s="1545"/>
      <c r="Y1051" s="1545"/>
    </row>
    <row r="1052" spans="1:25">
      <c r="A1052" s="1544"/>
      <c r="B1052" s="1544"/>
      <c r="C1052" s="1544"/>
      <c r="D1052" s="1544"/>
      <c r="E1052" s="1544"/>
      <c r="R1052" s="1545"/>
      <c r="S1052" s="1545"/>
      <c r="T1052" s="1545"/>
      <c r="U1052" s="1545"/>
      <c r="V1052" s="1545"/>
      <c r="W1052" s="1545"/>
      <c r="X1052" s="1545"/>
      <c r="Y1052" s="1545"/>
    </row>
    <row r="1053" spans="1:25">
      <c r="A1053" s="1544"/>
      <c r="B1053" s="1544"/>
      <c r="C1053" s="1544"/>
      <c r="D1053" s="1544"/>
      <c r="E1053" s="1544"/>
      <c r="R1053" s="1545"/>
      <c r="S1053" s="1545"/>
      <c r="T1053" s="1545"/>
      <c r="U1053" s="1545"/>
      <c r="V1053" s="1545"/>
      <c r="W1053" s="1545"/>
      <c r="X1053" s="1545"/>
      <c r="Y1053" s="1545"/>
    </row>
    <row r="1054" spans="1:25">
      <c r="A1054" s="1544"/>
      <c r="B1054" s="1544"/>
      <c r="C1054" s="1544"/>
      <c r="D1054" s="1544"/>
      <c r="E1054" s="1544"/>
      <c r="R1054" s="1545"/>
      <c r="S1054" s="1545"/>
      <c r="T1054" s="1545"/>
      <c r="U1054" s="1545"/>
      <c r="V1054" s="1545"/>
      <c r="W1054" s="1545"/>
      <c r="X1054" s="1545"/>
      <c r="Y1054" s="1545"/>
    </row>
    <row r="1055" spans="1:25">
      <c r="A1055" s="1544"/>
      <c r="B1055" s="1544"/>
      <c r="C1055" s="1544"/>
      <c r="D1055" s="1544"/>
      <c r="E1055" s="1544"/>
      <c r="R1055" s="1545"/>
      <c r="S1055" s="1545"/>
      <c r="T1055" s="1545"/>
      <c r="U1055" s="1545"/>
      <c r="V1055" s="1545"/>
      <c r="W1055" s="1545"/>
      <c r="X1055" s="1545"/>
      <c r="Y1055" s="1545"/>
    </row>
    <row r="1056" spans="1:25">
      <c r="A1056" s="1544"/>
      <c r="B1056" s="1544"/>
      <c r="C1056" s="1544"/>
      <c r="D1056" s="1544"/>
      <c r="E1056" s="1544"/>
      <c r="R1056" s="1545"/>
      <c r="S1056" s="1545"/>
      <c r="T1056" s="1545"/>
      <c r="U1056" s="1545"/>
      <c r="V1056" s="1545"/>
      <c r="W1056" s="1545"/>
      <c r="X1056" s="1545"/>
      <c r="Y1056" s="1545"/>
    </row>
    <row r="1057" spans="1:25">
      <c r="A1057" s="1544"/>
      <c r="B1057" s="1544"/>
      <c r="C1057" s="1544"/>
      <c r="D1057" s="1544"/>
      <c r="E1057" s="1544"/>
      <c r="R1057" s="1545"/>
      <c r="S1057" s="1545"/>
      <c r="T1057" s="1545"/>
      <c r="U1057" s="1545"/>
      <c r="V1057" s="1545"/>
      <c r="W1057" s="1545"/>
      <c r="X1057" s="1545"/>
      <c r="Y1057" s="1545"/>
    </row>
    <row r="1058" spans="1:25">
      <c r="A1058" s="1544"/>
      <c r="B1058" s="1544"/>
      <c r="C1058" s="1544"/>
      <c r="D1058" s="1544"/>
      <c r="E1058" s="1544"/>
      <c r="R1058" s="1545"/>
      <c r="S1058" s="1545"/>
      <c r="T1058" s="1545"/>
      <c r="U1058" s="1545"/>
      <c r="V1058" s="1545"/>
      <c r="W1058" s="1545"/>
      <c r="X1058" s="1545"/>
      <c r="Y1058" s="1545"/>
    </row>
    <row r="1059" spans="1:25">
      <c r="A1059" s="1544"/>
      <c r="B1059" s="1544"/>
      <c r="C1059" s="1544"/>
      <c r="D1059" s="1544"/>
      <c r="E1059" s="1544"/>
      <c r="R1059" s="1545"/>
      <c r="S1059" s="1545"/>
      <c r="T1059" s="1545"/>
      <c r="U1059" s="1545"/>
      <c r="V1059" s="1545"/>
      <c r="W1059" s="1545"/>
      <c r="X1059" s="1545"/>
      <c r="Y1059" s="1545"/>
    </row>
    <row r="1060" spans="1:25">
      <c r="A1060" s="1544"/>
      <c r="B1060" s="1544"/>
      <c r="C1060" s="1544"/>
      <c r="D1060" s="1544"/>
      <c r="E1060" s="1544"/>
      <c r="R1060" s="1545"/>
      <c r="S1060" s="1545"/>
      <c r="T1060" s="1545"/>
      <c r="U1060" s="1545"/>
      <c r="V1060" s="1545"/>
      <c r="W1060" s="1545"/>
      <c r="X1060" s="1545"/>
      <c r="Y1060" s="1545"/>
    </row>
    <row r="1061" spans="1:25">
      <c r="A1061" s="1544"/>
      <c r="B1061" s="1544"/>
      <c r="C1061" s="1544"/>
      <c r="D1061" s="1544"/>
      <c r="E1061" s="1544"/>
      <c r="R1061" s="1545"/>
      <c r="S1061" s="1545"/>
      <c r="T1061" s="1545"/>
      <c r="U1061" s="1545"/>
      <c r="V1061" s="1545"/>
      <c r="W1061" s="1545"/>
      <c r="X1061" s="1545"/>
      <c r="Y1061" s="1545"/>
    </row>
    <row r="1062" spans="1:25">
      <c r="A1062" s="1544"/>
      <c r="B1062" s="1544"/>
      <c r="C1062" s="1544"/>
      <c r="D1062" s="1544"/>
      <c r="E1062" s="1544"/>
      <c r="R1062" s="1545"/>
      <c r="S1062" s="1545"/>
      <c r="T1062" s="1545"/>
      <c r="U1062" s="1545"/>
      <c r="V1062" s="1545"/>
      <c r="W1062" s="1545"/>
      <c r="X1062" s="1545"/>
      <c r="Y1062" s="1545"/>
    </row>
    <row r="1063" spans="1:25">
      <c r="A1063" s="1544"/>
      <c r="B1063" s="1544"/>
      <c r="C1063" s="1544"/>
      <c r="D1063" s="1544"/>
      <c r="E1063" s="1544"/>
      <c r="R1063" s="1545"/>
      <c r="S1063" s="1545"/>
      <c r="T1063" s="1545"/>
      <c r="U1063" s="1545"/>
      <c r="V1063" s="1545"/>
      <c r="W1063" s="1545"/>
      <c r="X1063" s="1545"/>
      <c r="Y1063" s="1545"/>
    </row>
    <row r="1064" spans="1:25">
      <c r="A1064" s="1544"/>
      <c r="B1064" s="1544"/>
      <c r="C1064" s="1544"/>
      <c r="D1064" s="1544"/>
      <c r="E1064" s="1544"/>
      <c r="R1064" s="1545"/>
      <c r="S1064" s="1545"/>
      <c r="T1064" s="1545"/>
      <c r="U1064" s="1545"/>
      <c r="V1064" s="1545"/>
      <c r="W1064" s="1545"/>
      <c r="X1064" s="1545"/>
      <c r="Y1064" s="1545"/>
    </row>
    <row r="1065" spans="1:25">
      <c r="A1065" s="1544"/>
      <c r="B1065" s="1544"/>
      <c r="C1065" s="1544"/>
      <c r="D1065" s="1544"/>
      <c r="E1065" s="1544"/>
      <c r="R1065" s="1545"/>
      <c r="S1065" s="1545"/>
      <c r="T1065" s="1545"/>
      <c r="U1065" s="1545"/>
      <c r="V1065" s="1545"/>
      <c r="W1065" s="1545"/>
      <c r="X1065" s="1545"/>
      <c r="Y1065" s="1545"/>
    </row>
    <row r="1066" spans="1:25">
      <c r="A1066" s="1544"/>
      <c r="B1066" s="1544"/>
      <c r="C1066" s="1544"/>
      <c r="D1066" s="1544"/>
      <c r="E1066" s="1544"/>
      <c r="R1066" s="1545"/>
      <c r="S1066" s="1545"/>
      <c r="T1066" s="1545"/>
      <c r="U1066" s="1545"/>
      <c r="V1066" s="1545"/>
      <c r="W1066" s="1545"/>
      <c r="X1066" s="1545"/>
      <c r="Y1066" s="1545"/>
    </row>
    <row r="1067" spans="1:25">
      <c r="A1067" s="1544"/>
      <c r="B1067" s="1544"/>
      <c r="C1067" s="1544"/>
      <c r="D1067" s="1544"/>
      <c r="E1067" s="1544"/>
      <c r="R1067" s="1545"/>
      <c r="S1067" s="1545"/>
      <c r="T1067" s="1545"/>
      <c r="U1067" s="1545"/>
      <c r="V1067" s="1545"/>
      <c r="W1067" s="1545"/>
      <c r="X1067" s="1545"/>
      <c r="Y1067" s="1545"/>
    </row>
    <row r="1068" spans="1:25">
      <c r="A1068" s="1544"/>
      <c r="B1068" s="1544"/>
      <c r="C1068" s="1544"/>
      <c r="D1068" s="1544"/>
      <c r="E1068" s="1544"/>
      <c r="R1068" s="1545"/>
      <c r="S1068" s="1545"/>
      <c r="T1068" s="1545"/>
      <c r="U1068" s="1545"/>
      <c r="V1068" s="1545"/>
      <c r="W1068" s="1545"/>
      <c r="X1068" s="1545"/>
      <c r="Y1068" s="1545"/>
    </row>
    <row r="1069" spans="1:25">
      <c r="A1069" s="1544"/>
      <c r="B1069" s="1544"/>
      <c r="C1069" s="1544"/>
      <c r="D1069" s="1544"/>
      <c r="E1069" s="1544"/>
      <c r="R1069" s="1545"/>
      <c r="S1069" s="1545"/>
      <c r="T1069" s="1545"/>
      <c r="U1069" s="1545"/>
      <c r="V1069" s="1545"/>
      <c r="W1069" s="1545"/>
      <c r="X1069" s="1545"/>
      <c r="Y1069" s="1545"/>
    </row>
    <row r="1070" spans="1:25">
      <c r="A1070" s="1544"/>
      <c r="B1070" s="1544"/>
      <c r="C1070" s="1544"/>
      <c r="D1070" s="1544"/>
      <c r="E1070" s="1544"/>
      <c r="R1070" s="1545"/>
      <c r="S1070" s="1545"/>
      <c r="T1070" s="1545"/>
      <c r="U1070" s="1545"/>
      <c r="V1070" s="1545"/>
      <c r="W1070" s="1545"/>
      <c r="X1070" s="1545"/>
      <c r="Y1070" s="1545"/>
    </row>
    <row r="1071" spans="1:25">
      <c r="A1071" s="1544"/>
      <c r="B1071" s="1544"/>
      <c r="C1071" s="1544"/>
      <c r="D1071" s="1544"/>
      <c r="E1071" s="1544"/>
      <c r="R1071" s="1545"/>
      <c r="S1071" s="1545"/>
      <c r="T1071" s="1545"/>
      <c r="U1071" s="1545"/>
      <c r="V1071" s="1545"/>
      <c r="W1071" s="1545"/>
      <c r="X1071" s="1545"/>
      <c r="Y1071" s="1545"/>
    </row>
    <row r="1072" spans="1:25">
      <c r="A1072" s="1544"/>
      <c r="B1072" s="1544"/>
      <c r="C1072" s="1544"/>
      <c r="D1072" s="1544"/>
      <c r="E1072" s="1544"/>
      <c r="R1072" s="1545"/>
      <c r="S1072" s="1545"/>
      <c r="T1072" s="1545"/>
      <c r="U1072" s="1545"/>
      <c r="V1072" s="1545"/>
      <c r="W1072" s="1545"/>
      <c r="X1072" s="1545"/>
      <c r="Y1072" s="1545"/>
    </row>
    <row r="1073" spans="1:25">
      <c r="A1073" s="1544"/>
      <c r="B1073" s="1544"/>
      <c r="C1073" s="1544"/>
      <c r="D1073" s="1544"/>
      <c r="E1073" s="1544"/>
      <c r="R1073" s="1545"/>
      <c r="S1073" s="1545"/>
      <c r="T1073" s="1545"/>
      <c r="U1073" s="1545"/>
      <c r="V1073" s="1545"/>
      <c r="W1073" s="1545"/>
      <c r="X1073" s="1545"/>
      <c r="Y1073" s="1545"/>
    </row>
    <row r="1074" spans="1:25">
      <c r="A1074" s="1544"/>
      <c r="B1074" s="1544"/>
      <c r="C1074" s="1544"/>
      <c r="D1074" s="1544"/>
      <c r="E1074" s="1544"/>
      <c r="R1074" s="1545"/>
      <c r="S1074" s="1545"/>
      <c r="T1074" s="1545"/>
      <c r="U1074" s="1545"/>
      <c r="V1074" s="1545"/>
      <c r="W1074" s="1545"/>
      <c r="X1074" s="1545"/>
      <c r="Y1074" s="1545"/>
    </row>
    <row r="1075" spans="1:25">
      <c r="A1075" s="1544"/>
      <c r="B1075" s="1544"/>
      <c r="C1075" s="1544"/>
      <c r="D1075" s="1544"/>
      <c r="E1075" s="1544"/>
      <c r="R1075" s="1545"/>
      <c r="S1075" s="1545"/>
      <c r="T1075" s="1545"/>
      <c r="U1075" s="1545"/>
      <c r="V1075" s="1545"/>
      <c r="W1075" s="1545"/>
      <c r="X1075" s="1545"/>
      <c r="Y1075" s="1545"/>
    </row>
    <row r="1076" spans="1:25">
      <c r="A1076" s="1544"/>
      <c r="B1076" s="1544"/>
      <c r="C1076" s="1544"/>
      <c r="D1076" s="1544"/>
      <c r="E1076" s="1544"/>
      <c r="R1076" s="1545"/>
      <c r="S1076" s="1545"/>
      <c r="T1076" s="1545"/>
      <c r="U1076" s="1545"/>
      <c r="V1076" s="1545"/>
      <c r="W1076" s="1545"/>
      <c r="X1076" s="1545"/>
      <c r="Y1076" s="1545"/>
    </row>
    <row r="1077" spans="1:25">
      <c r="A1077" s="1544"/>
      <c r="B1077" s="1544"/>
      <c r="C1077" s="1544"/>
      <c r="D1077" s="1544"/>
      <c r="E1077" s="1544"/>
      <c r="R1077" s="1545"/>
      <c r="S1077" s="1545"/>
      <c r="T1077" s="1545"/>
      <c r="U1077" s="1545"/>
      <c r="V1077" s="1545"/>
      <c r="W1077" s="1545"/>
      <c r="X1077" s="1545"/>
      <c r="Y1077" s="1545"/>
    </row>
    <row r="1078" spans="1:25">
      <c r="A1078" s="1544"/>
      <c r="B1078" s="1544"/>
      <c r="C1078" s="1544"/>
      <c r="D1078" s="1544"/>
      <c r="E1078" s="1544"/>
      <c r="R1078" s="1545"/>
      <c r="S1078" s="1545"/>
      <c r="T1078" s="1545"/>
      <c r="U1078" s="1545"/>
      <c r="V1078" s="1545"/>
      <c r="W1078" s="1545"/>
      <c r="X1078" s="1545"/>
      <c r="Y1078" s="1545"/>
    </row>
    <row r="1079" spans="1:25">
      <c r="A1079" s="1544"/>
      <c r="B1079" s="1544"/>
      <c r="C1079" s="1544"/>
      <c r="D1079" s="1544"/>
      <c r="E1079" s="1544"/>
      <c r="R1079" s="1545"/>
      <c r="S1079" s="1545"/>
      <c r="T1079" s="1545"/>
      <c r="U1079" s="1545"/>
      <c r="V1079" s="1545"/>
      <c r="W1079" s="1545"/>
      <c r="X1079" s="1545"/>
      <c r="Y1079" s="1545"/>
    </row>
    <row r="1080" spans="1:25">
      <c r="A1080" s="1544"/>
      <c r="B1080" s="1544"/>
      <c r="C1080" s="1544"/>
      <c r="D1080" s="1544"/>
      <c r="E1080" s="1544"/>
      <c r="R1080" s="1545"/>
      <c r="S1080" s="1545"/>
      <c r="T1080" s="1545"/>
      <c r="U1080" s="1545"/>
      <c r="V1080" s="1545"/>
      <c r="W1080" s="1545"/>
      <c r="X1080" s="1545"/>
      <c r="Y1080" s="1545"/>
    </row>
    <row r="1081" spans="1:25">
      <c r="A1081" s="1544"/>
      <c r="B1081" s="1544"/>
      <c r="C1081" s="1544"/>
      <c r="D1081" s="1544"/>
      <c r="E1081" s="1544"/>
      <c r="R1081" s="1545"/>
      <c r="S1081" s="1545"/>
      <c r="T1081" s="1545"/>
      <c r="U1081" s="1545"/>
      <c r="V1081" s="1545"/>
      <c r="W1081" s="1545"/>
      <c r="X1081" s="1545"/>
      <c r="Y1081" s="1545"/>
    </row>
    <row r="1082" spans="1:25">
      <c r="A1082" s="1544"/>
      <c r="B1082" s="1544"/>
      <c r="C1082" s="1544"/>
      <c r="D1082" s="1544"/>
      <c r="E1082" s="1544"/>
      <c r="R1082" s="1545"/>
      <c r="S1082" s="1545"/>
      <c r="T1082" s="1545"/>
      <c r="U1082" s="1545"/>
      <c r="V1082" s="1545"/>
      <c r="W1082" s="1545"/>
      <c r="X1082" s="1545"/>
      <c r="Y1082" s="1545"/>
    </row>
    <row r="1083" spans="1:25">
      <c r="A1083" s="1544"/>
      <c r="B1083" s="1544"/>
      <c r="C1083" s="1544"/>
      <c r="D1083" s="1544"/>
      <c r="E1083" s="1544"/>
      <c r="R1083" s="1545"/>
      <c r="S1083" s="1545"/>
      <c r="T1083" s="1545"/>
      <c r="U1083" s="1545"/>
      <c r="V1083" s="1545"/>
      <c r="W1083" s="1545"/>
      <c r="X1083" s="1545"/>
      <c r="Y1083" s="1545"/>
    </row>
    <row r="1084" spans="1:25">
      <c r="A1084" s="1544"/>
      <c r="B1084" s="1544"/>
      <c r="C1084" s="1544"/>
      <c r="D1084" s="1544"/>
      <c r="E1084" s="1544"/>
      <c r="R1084" s="1545"/>
      <c r="S1084" s="1545"/>
      <c r="T1084" s="1545"/>
      <c r="U1084" s="1545"/>
      <c r="V1084" s="1545"/>
      <c r="W1084" s="1545"/>
      <c r="X1084" s="1545"/>
      <c r="Y1084" s="1545"/>
    </row>
    <row r="1085" spans="1:25">
      <c r="A1085" s="1544"/>
      <c r="B1085" s="1544"/>
      <c r="C1085" s="1544"/>
      <c r="D1085" s="1544"/>
      <c r="E1085" s="1544"/>
      <c r="R1085" s="1545"/>
      <c r="S1085" s="1545"/>
      <c r="T1085" s="1545"/>
      <c r="U1085" s="1545"/>
      <c r="V1085" s="1545"/>
      <c r="W1085" s="1545"/>
      <c r="X1085" s="1545"/>
      <c r="Y1085" s="1545"/>
    </row>
    <row r="1086" spans="1:25">
      <c r="A1086" s="1544"/>
      <c r="B1086" s="1544"/>
      <c r="C1086" s="1544"/>
      <c r="D1086" s="1544"/>
      <c r="E1086" s="1544"/>
      <c r="R1086" s="1545"/>
      <c r="S1086" s="1545"/>
      <c r="T1086" s="1545"/>
      <c r="U1086" s="1545"/>
      <c r="V1086" s="1545"/>
      <c r="W1086" s="1545"/>
      <c r="X1086" s="1545"/>
      <c r="Y1086" s="1545"/>
    </row>
    <row r="1087" spans="1:25">
      <c r="A1087" s="1544"/>
      <c r="B1087" s="1544"/>
      <c r="C1087" s="1544"/>
      <c r="D1087" s="1544"/>
      <c r="E1087" s="1544"/>
      <c r="R1087" s="1545"/>
      <c r="S1087" s="1545"/>
      <c r="T1087" s="1545"/>
      <c r="U1087" s="1545"/>
      <c r="V1087" s="1545"/>
      <c r="W1087" s="1545"/>
      <c r="X1087" s="1545"/>
      <c r="Y1087" s="1545"/>
    </row>
    <row r="1088" spans="1:25">
      <c r="A1088" s="1544"/>
      <c r="B1088" s="1544"/>
      <c r="C1088" s="1544"/>
      <c r="D1088" s="1544"/>
      <c r="E1088" s="1544"/>
      <c r="R1088" s="1545"/>
      <c r="S1088" s="1545"/>
      <c r="T1088" s="1545"/>
      <c r="U1088" s="1545"/>
      <c r="V1088" s="1545"/>
      <c r="W1088" s="1545"/>
      <c r="X1088" s="1545"/>
      <c r="Y1088" s="1545"/>
    </row>
    <row r="1089" spans="1:25">
      <c r="A1089" s="1544"/>
      <c r="B1089" s="1544"/>
      <c r="C1089" s="1544"/>
      <c r="D1089" s="1544"/>
      <c r="E1089" s="1544"/>
      <c r="R1089" s="1545"/>
      <c r="S1089" s="1545"/>
      <c r="T1089" s="1545"/>
      <c r="U1089" s="1545"/>
      <c r="V1089" s="1545"/>
      <c r="W1089" s="1545"/>
      <c r="X1089" s="1545"/>
      <c r="Y1089" s="1545"/>
    </row>
    <row r="1090" spans="1:25">
      <c r="A1090" s="1544"/>
      <c r="B1090" s="1544"/>
      <c r="C1090" s="1544"/>
      <c r="D1090" s="1544"/>
      <c r="E1090" s="1544"/>
      <c r="R1090" s="1545"/>
      <c r="S1090" s="1545"/>
      <c r="T1090" s="1545"/>
      <c r="U1090" s="1545"/>
      <c r="V1090" s="1545"/>
      <c r="W1090" s="1545"/>
      <c r="X1090" s="1545"/>
      <c r="Y1090" s="1545"/>
    </row>
    <row r="1091" spans="1:25">
      <c r="A1091" s="1544"/>
      <c r="B1091" s="1544"/>
      <c r="C1091" s="1544"/>
      <c r="D1091" s="1544"/>
      <c r="E1091" s="1544"/>
      <c r="R1091" s="1545"/>
      <c r="S1091" s="1545"/>
      <c r="T1091" s="1545"/>
      <c r="U1091" s="1545"/>
      <c r="V1091" s="1545"/>
      <c r="W1091" s="1545"/>
      <c r="X1091" s="1545"/>
      <c r="Y1091" s="1545"/>
    </row>
    <row r="1092" spans="1:25">
      <c r="A1092" s="1544"/>
      <c r="B1092" s="1544"/>
      <c r="C1092" s="1544"/>
      <c r="D1092" s="1544"/>
      <c r="E1092" s="1544"/>
      <c r="R1092" s="1545"/>
      <c r="S1092" s="1545"/>
      <c r="T1092" s="1545"/>
      <c r="U1092" s="1545"/>
      <c r="V1092" s="1545"/>
      <c r="W1092" s="1545"/>
      <c r="X1092" s="1545"/>
      <c r="Y1092" s="1545"/>
    </row>
    <row r="1093" spans="1:25">
      <c r="A1093" s="1544"/>
      <c r="B1093" s="1544"/>
      <c r="C1093" s="1544"/>
      <c r="D1093" s="1544"/>
      <c r="E1093" s="1544"/>
      <c r="R1093" s="1545"/>
      <c r="S1093" s="1545"/>
      <c r="T1093" s="1545"/>
      <c r="U1093" s="1545"/>
      <c r="V1093" s="1545"/>
      <c r="W1093" s="1545"/>
      <c r="X1093" s="1545"/>
      <c r="Y1093" s="1545"/>
    </row>
    <row r="1094" spans="1:25">
      <c r="A1094" s="1544"/>
      <c r="B1094" s="1544"/>
      <c r="C1094" s="1544"/>
      <c r="D1094" s="1544"/>
      <c r="E1094" s="1544"/>
      <c r="R1094" s="1545"/>
      <c r="S1094" s="1545"/>
      <c r="T1094" s="1545"/>
      <c r="U1094" s="1545"/>
      <c r="V1094" s="1545"/>
      <c r="W1094" s="1545"/>
      <c r="X1094" s="1545"/>
      <c r="Y1094" s="1545"/>
    </row>
    <row r="1095" spans="1:25">
      <c r="A1095" s="1544"/>
      <c r="B1095" s="1544"/>
      <c r="C1095" s="1544"/>
      <c r="D1095" s="1544"/>
      <c r="E1095" s="1544"/>
      <c r="R1095" s="1545"/>
      <c r="S1095" s="1545"/>
      <c r="T1095" s="1545"/>
      <c r="U1095" s="1545"/>
      <c r="V1095" s="1545"/>
      <c r="W1095" s="1545"/>
      <c r="X1095" s="1545"/>
      <c r="Y1095" s="1545"/>
    </row>
    <row r="1096" spans="1:25">
      <c r="A1096" s="1544"/>
      <c r="B1096" s="1544"/>
      <c r="C1096" s="1544"/>
      <c r="D1096" s="1544"/>
      <c r="E1096" s="1544"/>
      <c r="R1096" s="1545"/>
      <c r="S1096" s="1545"/>
      <c r="T1096" s="1545"/>
      <c r="U1096" s="1545"/>
      <c r="V1096" s="1545"/>
      <c r="W1096" s="1545"/>
      <c r="X1096" s="1545"/>
      <c r="Y1096" s="1545"/>
    </row>
    <row r="1097" spans="1:25">
      <c r="A1097" s="1544"/>
      <c r="B1097" s="1544"/>
      <c r="C1097" s="1544"/>
      <c r="D1097" s="1544"/>
      <c r="E1097" s="1544"/>
      <c r="R1097" s="1545"/>
      <c r="S1097" s="1545"/>
      <c r="T1097" s="1545"/>
      <c r="U1097" s="1545"/>
      <c r="V1097" s="1545"/>
      <c r="W1097" s="1545"/>
      <c r="X1097" s="1545"/>
      <c r="Y1097" s="1545"/>
    </row>
    <row r="1098" spans="1:25">
      <c r="A1098" s="1544"/>
      <c r="B1098" s="1544"/>
      <c r="C1098" s="1544"/>
      <c r="D1098" s="1544"/>
      <c r="E1098" s="1544"/>
      <c r="R1098" s="1545"/>
      <c r="S1098" s="1545"/>
      <c r="T1098" s="1545"/>
      <c r="U1098" s="1545"/>
      <c r="V1098" s="1545"/>
      <c r="W1098" s="1545"/>
      <c r="X1098" s="1545"/>
      <c r="Y1098" s="1545"/>
    </row>
    <row r="1099" spans="1:25">
      <c r="A1099" s="1544"/>
      <c r="B1099" s="1544"/>
      <c r="C1099" s="1544"/>
      <c r="D1099" s="1544"/>
      <c r="E1099" s="1544"/>
      <c r="R1099" s="1545"/>
      <c r="S1099" s="1545"/>
      <c r="T1099" s="1545"/>
      <c r="U1099" s="1545"/>
      <c r="V1099" s="1545"/>
      <c r="W1099" s="1545"/>
      <c r="X1099" s="1545"/>
      <c r="Y1099" s="1545"/>
    </row>
    <row r="1100" spans="1:25">
      <c r="A1100" s="1544"/>
      <c r="B1100" s="1544"/>
      <c r="C1100" s="1544"/>
      <c r="D1100" s="1544"/>
      <c r="E1100" s="1544"/>
      <c r="R1100" s="1545"/>
      <c r="S1100" s="1545"/>
      <c r="T1100" s="1545"/>
      <c r="U1100" s="1545"/>
      <c r="V1100" s="1545"/>
      <c r="W1100" s="1545"/>
      <c r="X1100" s="1545"/>
      <c r="Y1100" s="1545"/>
    </row>
    <row r="1101" spans="1:25">
      <c r="A1101" s="1544"/>
      <c r="B1101" s="1544"/>
      <c r="C1101" s="1544"/>
      <c r="D1101" s="1544"/>
      <c r="E1101" s="1544"/>
      <c r="R1101" s="1545"/>
      <c r="S1101" s="1545"/>
      <c r="T1101" s="1545"/>
      <c r="U1101" s="1545"/>
      <c r="V1101" s="1545"/>
      <c r="W1101" s="1545"/>
      <c r="X1101" s="1545"/>
      <c r="Y1101" s="1545"/>
    </row>
    <row r="1102" spans="1:25">
      <c r="A1102" s="1544"/>
      <c r="B1102" s="1544"/>
      <c r="C1102" s="1544"/>
      <c r="D1102" s="1544"/>
      <c r="E1102" s="1544"/>
      <c r="R1102" s="1545"/>
      <c r="S1102" s="1545"/>
      <c r="T1102" s="1545"/>
      <c r="U1102" s="1545"/>
      <c r="V1102" s="1545"/>
      <c r="W1102" s="1545"/>
      <c r="X1102" s="1545"/>
      <c r="Y1102" s="1545"/>
    </row>
    <row r="1103" spans="1:25">
      <c r="A1103" s="1544"/>
      <c r="B1103" s="1544"/>
      <c r="C1103" s="1544"/>
      <c r="D1103" s="1544"/>
      <c r="E1103" s="1544"/>
      <c r="R1103" s="1545"/>
      <c r="S1103" s="1545"/>
      <c r="T1103" s="1545"/>
      <c r="U1103" s="1545"/>
      <c r="V1103" s="1545"/>
      <c r="W1103" s="1545"/>
      <c r="X1103" s="1545"/>
      <c r="Y1103" s="1545"/>
    </row>
    <row r="1104" spans="1:25">
      <c r="A1104" s="1544"/>
      <c r="B1104" s="1544"/>
      <c r="C1104" s="1544"/>
      <c r="D1104" s="1544"/>
      <c r="E1104" s="1544"/>
      <c r="R1104" s="1545"/>
      <c r="S1104" s="1545"/>
      <c r="T1104" s="1545"/>
      <c r="U1104" s="1545"/>
      <c r="V1104" s="1545"/>
      <c r="W1104" s="1545"/>
      <c r="X1104" s="1545"/>
      <c r="Y1104" s="1545"/>
    </row>
    <row r="1105" spans="1:25">
      <c r="A1105" s="1544"/>
      <c r="B1105" s="1544"/>
      <c r="C1105" s="1544"/>
      <c r="D1105" s="1544"/>
      <c r="E1105" s="1544"/>
      <c r="R1105" s="1545"/>
      <c r="S1105" s="1545"/>
      <c r="T1105" s="1545"/>
      <c r="U1105" s="1545"/>
      <c r="V1105" s="1545"/>
      <c r="W1105" s="1545"/>
      <c r="X1105" s="1545"/>
      <c r="Y1105" s="1545"/>
    </row>
    <row r="1106" spans="1:25">
      <c r="A1106" s="1544"/>
      <c r="B1106" s="1544"/>
      <c r="C1106" s="1544"/>
      <c r="D1106" s="1544"/>
      <c r="E1106" s="1544"/>
      <c r="R1106" s="1545"/>
      <c r="S1106" s="1545"/>
      <c r="T1106" s="1545"/>
      <c r="U1106" s="1545"/>
      <c r="V1106" s="1545"/>
      <c r="W1106" s="1545"/>
      <c r="X1106" s="1545"/>
      <c r="Y1106" s="1545"/>
    </row>
    <row r="1107" spans="1:25">
      <c r="A1107" s="1544"/>
      <c r="B1107" s="1544"/>
      <c r="C1107" s="1544"/>
      <c r="D1107" s="1544"/>
      <c r="E1107" s="1544"/>
      <c r="R1107" s="1545"/>
      <c r="S1107" s="1545"/>
      <c r="T1107" s="1545"/>
      <c r="U1107" s="1545"/>
      <c r="V1107" s="1545"/>
      <c r="W1107" s="1545"/>
      <c r="X1107" s="1545"/>
      <c r="Y1107" s="1545"/>
    </row>
    <row r="1108" spans="1:25">
      <c r="A1108" s="1544"/>
      <c r="B1108" s="1544"/>
      <c r="C1108" s="1544"/>
      <c r="D1108" s="1544"/>
      <c r="E1108" s="1544"/>
      <c r="R1108" s="1545"/>
      <c r="S1108" s="1545"/>
      <c r="T1108" s="1545"/>
      <c r="U1108" s="1545"/>
      <c r="V1108" s="1545"/>
      <c r="W1108" s="1545"/>
      <c r="X1108" s="1545"/>
      <c r="Y1108" s="1545"/>
    </row>
    <row r="1109" spans="1:25">
      <c r="A1109" s="1544"/>
      <c r="B1109" s="1544"/>
      <c r="C1109" s="1544"/>
      <c r="D1109" s="1544"/>
      <c r="E1109" s="1544"/>
      <c r="R1109" s="1545"/>
      <c r="S1109" s="1545"/>
      <c r="T1109" s="1545"/>
      <c r="U1109" s="1545"/>
      <c r="V1109" s="1545"/>
      <c r="W1109" s="1545"/>
      <c r="X1109" s="1545"/>
      <c r="Y1109" s="1545"/>
    </row>
    <row r="1110" spans="1:25">
      <c r="A1110" s="1544"/>
      <c r="B1110" s="1544"/>
      <c r="C1110" s="1544"/>
      <c r="D1110" s="1544"/>
      <c r="E1110" s="1544"/>
      <c r="R1110" s="1545"/>
      <c r="S1110" s="1545"/>
      <c r="T1110" s="1545"/>
      <c r="U1110" s="1545"/>
      <c r="V1110" s="1545"/>
      <c r="W1110" s="1545"/>
      <c r="X1110" s="1545"/>
      <c r="Y1110" s="1545"/>
    </row>
    <row r="1111" spans="1:25">
      <c r="A1111" s="1544"/>
      <c r="B1111" s="1544"/>
      <c r="C1111" s="1544"/>
      <c r="D1111" s="1544"/>
      <c r="E1111" s="1544"/>
      <c r="R1111" s="1545"/>
      <c r="S1111" s="1545"/>
      <c r="T1111" s="1545"/>
      <c r="U1111" s="1545"/>
      <c r="V1111" s="1545"/>
      <c r="W1111" s="1545"/>
      <c r="X1111" s="1545"/>
      <c r="Y1111" s="1545"/>
    </row>
    <row r="1112" spans="1:25">
      <c r="A1112" s="1544"/>
      <c r="B1112" s="1544"/>
      <c r="C1112" s="1544"/>
      <c r="D1112" s="1544"/>
      <c r="E1112" s="1544"/>
      <c r="R1112" s="1545"/>
      <c r="S1112" s="1545"/>
      <c r="T1112" s="1545"/>
      <c r="U1112" s="1545"/>
      <c r="V1112" s="1545"/>
      <c r="W1112" s="1545"/>
      <c r="X1112" s="1545"/>
      <c r="Y1112" s="1545"/>
    </row>
    <row r="1113" spans="1:25">
      <c r="A1113" s="1544"/>
      <c r="B1113" s="1544"/>
      <c r="C1113" s="1544"/>
      <c r="D1113" s="1544"/>
      <c r="E1113" s="1544"/>
      <c r="R1113" s="1545"/>
      <c r="S1113" s="1545"/>
      <c r="T1113" s="1545"/>
      <c r="U1113" s="1545"/>
      <c r="V1113" s="1545"/>
      <c r="W1113" s="1545"/>
      <c r="X1113" s="1545"/>
      <c r="Y1113" s="1545"/>
    </row>
    <row r="1114" spans="1:25">
      <c r="A1114" s="1544"/>
      <c r="B1114" s="1544"/>
      <c r="C1114" s="1544"/>
      <c r="D1114" s="1544"/>
      <c r="E1114" s="1544"/>
      <c r="R1114" s="1545"/>
      <c r="S1114" s="1545"/>
      <c r="T1114" s="1545"/>
      <c r="U1114" s="1545"/>
      <c r="V1114" s="1545"/>
      <c r="W1114" s="1545"/>
      <c r="X1114" s="1545"/>
      <c r="Y1114" s="1545"/>
    </row>
    <row r="1115" spans="1:25">
      <c r="A1115" s="1544"/>
      <c r="B1115" s="1544"/>
      <c r="C1115" s="1544"/>
      <c r="D1115" s="1544"/>
      <c r="E1115" s="1544"/>
      <c r="R1115" s="1545"/>
      <c r="S1115" s="1545"/>
      <c r="T1115" s="1545"/>
      <c r="U1115" s="1545"/>
      <c r="V1115" s="1545"/>
      <c r="W1115" s="1545"/>
      <c r="X1115" s="1545"/>
      <c r="Y1115" s="1545"/>
    </row>
    <row r="1116" spans="1:25">
      <c r="A1116" s="1544"/>
      <c r="B1116" s="1544"/>
      <c r="C1116" s="1544"/>
      <c r="D1116" s="1544"/>
      <c r="E1116" s="1544"/>
      <c r="R1116" s="1545"/>
      <c r="S1116" s="1545"/>
      <c r="T1116" s="1545"/>
      <c r="U1116" s="1545"/>
      <c r="V1116" s="1545"/>
      <c r="W1116" s="1545"/>
      <c r="X1116" s="1545"/>
      <c r="Y1116" s="1545"/>
    </row>
    <row r="1117" spans="1:25">
      <c r="A1117" s="1544"/>
      <c r="B1117" s="1544"/>
      <c r="C1117" s="1544"/>
      <c r="D1117" s="1544"/>
      <c r="E1117" s="1544"/>
      <c r="R1117" s="1545"/>
      <c r="S1117" s="1545"/>
      <c r="T1117" s="1545"/>
      <c r="U1117" s="1545"/>
      <c r="V1117" s="1545"/>
      <c r="W1117" s="1545"/>
      <c r="X1117" s="1545"/>
      <c r="Y1117" s="1545"/>
    </row>
    <row r="1118" spans="1:25">
      <c r="A1118" s="1544"/>
      <c r="B1118" s="1544"/>
      <c r="C1118" s="1544"/>
      <c r="D1118" s="1544"/>
      <c r="E1118" s="1544"/>
      <c r="R1118" s="1545"/>
      <c r="S1118" s="1545"/>
      <c r="T1118" s="1545"/>
      <c r="U1118" s="1545"/>
      <c r="V1118" s="1545"/>
      <c r="W1118" s="1545"/>
      <c r="X1118" s="1545"/>
      <c r="Y1118" s="1545"/>
    </row>
    <row r="1119" spans="1:25">
      <c r="A1119" s="1544"/>
      <c r="B1119" s="1544"/>
      <c r="C1119" s="1544"/>
      <c r="D1119" s="1544"/>
      <c r="E1119" s="1544"/>
      <c r="R1119" s="1545"/>
      <c r="S1119" s="1545"/>
      <c r="T1119" s="1545"/>
      <c r="U1119" s="1545"/>
      <c r="V1119" s="1545"/>
      <c r="W1119" s="1545"/>
      <c r="X1119" s="1545"/>
      <c r="Y1119" s="1545"/>
    </row>
    <row r="1120" spans="1:25">
      <c r="A1120" s="1544"/>
      <c r="B1120" s="1544"/>
      <c r="C1120" s="1544"/>
      <c r="D1120" s="1544"/>
      <c r="E1120" s="1544"/>
      <c r="R1120" s="1545"/>
      <c r="S1120" s="1545"/>
      <c r="T1120" s="1545"/>
      <c r="U1120" s="1545"/>
      <c r="V1120" s="1545"/>
      <c r="W1120" s="1545"/>
      <c r="X1120" s="1545"/>
      <c r="Y1120" s="1545"/>
    </row>
    <row r="1121" spans="1:25">
      <c r="A1121" s="1544"/>
      <c r="B1121" s="1544"/>
      <c r="C1121" s="1544"/>
      <c r="D1121" s="1544"/>
      <c r="E1121" s="1544"/>
      <c r="R1121" s="1545"/>
      <c r="S1121" s="1545"/>
      <c r="T1121" s="1545"/>
      <c r="U1121" s="1545"/>
      <c r="V1121" s="1545"/>
      <c r="W1121" s="1545"/>
      <c r="X1121" s="1545"/>
      <c r="Y1121" s="1545"/>
    </row>
    <row r="1122" spans="1:25">
      <c r="A1122" s="1544"/>
      <c r="B1122" s="1544"/>
      <c r="C1122" s="1544"/>
      <c r="D1122" s="1544"/>
      <c r="E1122" s="1544"/>
      <c r="R1122" s="1545"/>
      <c r="S1122" s="1545"/>
      <c r="T1122" s="1545"/>
      <c r="U1122" s="1545"/>
      <c r="V1122" s="1545"/>
      <c r="W1122" s="1545"/>
      <c r="X1122" s="1545"/>
      <c r="Y1122" s="1545"/>
    </row>
    <row r="1123" spans="1:25">
      <c r="A1123" s="1544"/>
      <c r="B1123" s="1544"/>
      <c r="C1123" s="1544"/>
      <c r="D1123" s="1544"/>
      <c r="E1123" s="1544"/>
      <c r="R1123" s="1545"/>
      <c r="S1123" s="1545"/>
      <c r="T1123" s="1545"/>
      <c r="U1123" s="1545"/>
      <c r="V1123" s="1545"/>
      <c r="W1123" s="1545"/>
      <c r="X1123" s="1545"/>
      <c r="Y1123" s="1545"/>
    </row>
    <row r="1124" spans="1:25">
      <c r="A1124" s="1544"/>
      <c r="B1124" s="1544"/>
      <c r="C1124" s="1544"/>
      <c r="D1124" s="1544"/>
      <c r="E1124" s="1544"/>
      <c r="R1124" s="1545"/>
      <c r="S1124" s="1545"/>
      <c r="T1124" s="1545"/>
      <c r="U1124" s="1545"/>
      <c r="V1124" s="1545"/>
      <c r="W1124" s="1545"/>
      <c r="X1124" s="1545"/>
      <c r="Y1124" s="1545"/>
    </row>
    <row r="1125" spans="1:25">
      <c r="A1125" s="1544"/>
      <c r="B1125" s="1544"/>
      <c r="C1125" s="1544"/>
      <c r="D1125" s="1544"/>
      <c r="E1125" s="1544"/>
      <c r="R1125" s="1545"/>
      <c r="S1125" s="1545"/>
      <c r="T1125" s="1545"/>
      <c r="U1125" s="1545"/>
      <c r="V1125" s="1545"/>
      <c r="W1125" s="1545"/>
      <c r="X1125" s="1545"/>
      <c r="Y1125" s="1545"/>
    </row>
    <row r="1126" spans="1:25">
      <c r="A1126" s="1544"/>
      <c r="B1126" s="1544"/>
      <c r="C1126" s="1544"/>
      <c r="D1126" s="1544"/>
      <c r="E1126" s="1544"/>
      <c r="R1126" s="1545"/>
      <c r="S1126" s="1545"/>
      <c r="T1126" s="1545"/>
      <c r="U1126" s="1545"/>
      <c r="V1126" s="1545"/>
      <c r="W1126" s="1545"/>
      <c r="X1126" s="1545"/>
      <c r="Y1126" s="1545"/>
    </row>
    <row r="1127" spans="1:25">
      <c r="A1127" s="1544"/>
      <c r="B1127" s="1544"/>
      <c r="C1127" s="1544"/>
      <c r="D1127" s="1544"/>
      <c r="E1127" s="1544"/>
      <c r="R1127" s="1545"/>
      <c r="S1127" s="1545"/>
      <c r="T1127" s="1545"/>
      <c r="U1127" s="1545"/>
      <c r="V1127" s="1545"/>
      <c r="W1127" s="1545"/>
      <c r="X1127" s="1545"/>
      <c r="Y1127" s="1545"/>
    </row>
    <row r="1128" spans="1:25">
      <c r="A1128" s="1544"/>
      <c r="B1128" s="1544"/>
      <c r="C1128" s="1544"/>
      <c r="D1128" s="1544"/>
      <c r="E1128" s="1544"/>
      <c r="R1128" s="1545"/>
      <c r="S1128" s="1545"/>
      <c r="T1128" s="1545"/>
      <c r="U1128" s="1545"/>
      <c r="V1128" s="1545"/>
      <c r="W1128" s="1545"/>
      <c r="X1128" s="1545"/>
      <c r="Y1128" s="1545"/>
    </row>
    <row r="1129" spans="1:25">
      <c r="A1129" s="1544"/>
      <c r="B1129" s="1544"/>
      <c r="C1129" s="1544"/>
      <c r="D1129" s="1544"/>
      <c r="E1129" s="1544"/>
      <c r="R1129" s="1545"/>
      <c r="S1129" s="1545"/>
      <c r="T1129" s="1545"/>
      <c r="U1129" s="1545"/>
      <c r="V1129" s="1545"/>
      <c r="W1129" s="1545"/>
      <c r="X1129" s="1545"/>
      <c r="Y1129" s="1545"/>
    </row>
    <row r="1130" spans="1:25">
      <c r="A1130" s="1544"/>
      <c r="B1130" s="1544"/>
      <c r="C1130" s="1544"/>
      <c r="D1130" s="1544"/>
      <c r="E1130" s="1544"/>
      <c r="R1130" s="1545"/>
      <c r="S1130" s="1545"/>
      <c r="T1130" s="1545"/>
      <c r="U1130" s="1545"/>
      <c r="V1130" s="1545"/>
      <c r="W1130" s="1545"/>
      <c r="X1130" s="1545"/>
      <c r="Y1130" s="1545"/>
    </row>
    <row r="1131" spans="1:25">
      <c r="A1131" s="1544"/>
      <c r="B1131" s="1544"/>
      <c r="C1131" s="1544"/>
      <c r="D1131" s="1544"/>
      <c r="E1131" s="1544"/>
      <c r="R1131" s="1545"/>
      <c r="S1131" s="1545"/>
      <c r="T1131" s="1545"/>
      <c r="U1131" s="1545"/>
      <c r="V1131" s="1545"/>
      <c r="W1131" s="1545"/>
      <c r="X1131" s="1545"/>
      <c r="Y1131" s="1545"/>
    </row>
    <row r="1132" spans="1:25">
      <c r="A1132" s="1544"/>
      <c r="B1132" s="1544"/>
      <c r="C1132" s="1544"/>
      <c r="D1132" s="1544"/>
      <c r="E1132" s="1544"/>
      <c r="R1132" s="1545"/>
      <c r="S1132" s="1545"/>
      <c r="T1132" s="1545"/>
      <c r="U1132" s="1545"/>
      <c r="V1132" s="1545"/>
      <c r="W1132" s="1545"/>
      <c r="X1132" s="1545"/>
      <c r="Y1132" s="1545"/>
    </row>
    <row r="1133" spans="1:25">
      <c r="A1133" s="1544"/>
      <c r="B1133" s="1544"/>
      <c r="C1133" s="1544"/>
      <c r="D1133" s="1544"/>
      <c r="E1133" s="1544"/>
      <c r="R1133" s="1545"/>
      <c r="S1133" s="1545"/>
      <c r="T1133" s="1545"/>
      <c r="U1133" s="1545"/>
      <c r="V1133" s="1545"/>
      <c r="W1133" s="1545"/>
      <c r="X1133" s="1545"/>
      <c r="Y1133" s="1545"/>
    </row>
    <row r="1134" spans="1:25">
      <c r="A1134" s="1544"/>
      <c r="B1134" s="1544"/>
      <c r="C1134" s="1544"/>
      <c r="D1134" s="1544"/>
      <c r="E1134" s="1544"/>
      <c r="R1134" s="1545"/>
      <c r="S1134" s="1545"/>
      <c r="T1134" s="1545"/>
      <c r="U1134" s="1545"/>
      <c r="V1134" s="1545"/>
      <c r="W1134" s="1545"/>
      <c r="X1134" s="1545"/>
      <c r="Y1134" s="1545"/>
    </row>
    <row r="1135" spans="1:25">
      <c r="A1135" s="1544"/>
      <c r="B1135" s="1544"/>
      <c r="C1135" s="1544"/>
      <c r="D1135" s="1544"/>
      <c r="E1135" s="1544"/>
      <c r="R1135" s="1545"/>
      <c r="S1135" s="1545"/>
      <c r="T1135" s="1545"/>
      <c r="U1135" s="1545"/>
      <c r="V1135" s="1545"/>
      <c r="W1135" s="1545"/>
      <c r="X1135" s="1545"/>
      <c r="Y1135" s="1545"/>
    </row>
    <row r="1136" spans="1:25">
      <c r="A1136" s="1544"/>
      <c r="B1136" s="1544"/>
      <c r="C1136" s="1544"/>
      <c r="D1136" s="1544"/>
      <c r="E1136" s="1544"/>
      <c r="R1136" s="1545"/>
      <c r="S1136" s="1545"/>
      <c r="T1136" s="1545"/>
      <c r="U1136" s="1545"/>
      <c r="V1136" s="1545"/>
      <c r="W1136" s="1545"/>
      <c r="X1136" s="1545"/>
      <c r="Y1136" s="1545"/>
    </row>
    <row r="1137" spans="1:25">
      <c r="A1137" s="1544"/>
      <c r="B1137" s="1544"/>
      <c r="C1137" s="1544"/>
      <c r="D1137" s="1544"/>
      <c r="E1137" s="1544"/>
      <c r="R1137" s="1545"/>
      <c r="S1137" s="1545"/>
      <c r="T1137" s="1545"/>
      <c r="U1137" s="1545"/>
      <c r="V1137" s="1545"/>
      <c r="W1137" s="1545"/>
      <c r="X1137" s="1545"/>
      <c r="Y1137" s="1545"/>
    </row>
    <row r="1138" spans="1:25">
      <c r="A1138" s="1544"/>
      <c r="B1138" s="1544"/>
      <c r="C1138" s="1544"/>
      <c r="D1138" s="1544"/>
      <c r="E1138" s="1544"/>
      <c r="R1138" s="1545"/>
      <c r="S1138" s="1545"/>
      <c r="T1138" s="1545"/>
      <c r="U1138" s="1545"/>
      <c r="V1138" s="1545"/>
      <c r="W1138" s="1545"/>
      <c r="X1138" s="1545"/>
      <c r="Y1138" s="1545"/>
    </row>
    <row r="1139" spans="1:25">
      <c r="A1139" s="1544"/>
      <c r="B1139" s="1544"/>
      <c r="C1139" s="1544"/>
      <c r="D1139" s="1544"/>
      <c r="E1139" s="1544"/>
      <c r="R1139" s="1545"/>
      <c r="S1139" s="1545"/>
      <c r="T1139" s="1545"/>
      <c r="U1139" s="1545"/>
      <c r="V1139" s="1545"/>
      <c r="W1139" s="1545"/>
      <c r="X1139" s="1545"/>
      <c r="Y1139" s="1545"/>
    </row>
    <row r="1140" spans="1:25">
      <c r="A1140" s="1544"/>
      <c r="B1140" s="1544"/>
      <c r="C1140" s="1544"/>
      <c r="D1140" s="1544"/>
      <c r="E1140" s="1544"/>
      <c r="R1140" s="1545"/>
      <c r="S1140" s="1545"/>
      <c r="T1140" s="1545"/>
      <c r="U1140" s="1545"/>
      <c r="V1140" s="1545"/>
      <c r="W1140" s="1545"/>
      <c r="X1140" s="1545"/>
      <c r="Y1140" s="1545"/>
    </row>
    <row r="1141" spans="1:25">
      <c r="A1141" s="1544"/>
      <c r="B1141" s="1544"/>
      <c r="C1141" s="1544"/>
      <c r="D1141" s="1544"/>
      <c r="E1141" s="1544"/>
      <c r="R1141" s="1545"/>
      <c r="S1141" s="1545"/>
      <c r="T1141" s="1545"/>
      <c r="U1141" s="1545"/>
      <c r="V1141" s="1545"/>
      <c r="W1141" s="1545"/>
      <c r="X1141" s="1545"/>
      <c r="Y1141" s="1545"/>
    </row>
    <row r="1142" spans="1:25">
      <c r="A1142" s="1544"/>
      <c r="B1142" s="1544"/>
      <c r="C1142" s="1544"/>
      <c r="D1142" s="1544"/>
      <c r="E1142" s="1544"/>
      <c r="R1142" s="1545"/>
      <c r="S1142" s="1545"/>
      <c r="T1142" s="1545"/>
      <c r="U1142" s="1545"/>
      <c r="V1142" s="1545"/>
      <c r="W1142" s="1545"/>
      <c r="X1142" s="1545"/>
      <c r="Y1142" s="1545"/>
    </row>
    <row r="1143" spans="1:25">
      <c r="A1143" s="1544"/>
      <c r="B1143" s="1544"/>
      <c r="C1143" s="1544"/>
      <c r="D1143" s="1544"/>
      <c r="E1143" s="1544"/>
      <c r="R1143" s="1545"/>
      <c r="S1143" s="1545"/>
      <c r="T1143" s="1545"/>
      <c r="U1143" s="1545"/>
      <c r="V1143" s="1545"/>
      <c r="W1143" s="1545"/>
      <c r="X1143" s="1545"/>
      <c r="Y1143" s="1545"/>
    </row>
    <row r="1144" spans="1:25">
      <c r="A1144" s="1544"/>
      <c r="B1144" s="1544"/>
      <c r="C1144" s="1544"/>
      <c r="D1144" s="1544"/>
      <c r="E1144" s="1544"/>
      <c r="R1144" s="1545"/>
      <c r="S1144" s="1545"/>
      <c r="T1144" s="1545"/>
      <c r="U1144" s="1545"/>
      <c r="V1144" s="1545"/>
      <c r="W1144" s="1545"/>
      <c r="X1144" s="1545"/>
      <c r="Y1144" s="1545"/>
    </row>
    <row r="1145" spans="1:25">
      <c r="A1145" s="1544"/>
      <c r="B1145" s="1544"/>
      <c r="C1145" s="1544"/>
      <c r="D1145" s="1544"/>
      <c r="E1145" s="1544"/>
      <c r="R1145" s="1545"/>
      <c r="S1145" s="1545"/>
      <c r="T1145" s="1545"/>
      <c r="U1145" s="1545"/>
      <c r="V1145" s="1545"/>
      <c r="W1145" s="1545"/>
      <c r="X1145" s="1545"/>
      <c r="Y1145" s="1545"/>
    </row>
    <row r="1146" spans="1:25">
      <c r="A1146" s="1544"/>
      <c r="B1146" s="1544"/>
      <c r="C1146" s="1544"/>
      <c r="D1146" s="1544"/>
      <c r="E1146" s="1544"/>
      <c r="R1146" s="1545"/>
      <c r="S1146" s="1545"/>
      <c r="T1146" s="1545"/>
      <c r="U1146" s="1545"/>
      <c r="V1146" s="1545"/>
      <c r="W1146" s="1545"/>
      <c r="X1146" s="1545"/>
      <c r="Y1146" s="1545"/>
    </row>
    <row r="1147" spans="1:25">
      <c r="A1147" s="1544"/>
      <c r="B1147" s="1544"/>
      <c r="C1147" s="1544"/>
      <c r="D1147" s="1544"/>
      <c r="E1147" s="1544"/>
      <c r="R1147" s="1545"/>
      <c r="S1147" s="1545"/>
      <c r="T1147" s="1545"/>
      <c r="U1147" s="1545"/>
      <c r="V1147" s="1545"/>
      <c r="W1147" s="1545"/>
      <c r="X1147" s="1545"/>
      <c r="Y1147" s="1545"/>
    </row>
    <row r="1148" spans="1:25">
      <c r="A1148" s="1544"/>
      <c r="B1148" s="1544"/>
      <c r="C1148" s="1544"/>
      <c r="D1148" s="1544"/>
      <c r="E1148" s="1544"/>
      <c r="R1148" s="1545"/>
      <c r="S1148" s="1545"/>
      <c r="T1148" s="1545"/>
      <c r="U1148" s="1545"/>
      <c r="V1148" s="1545"/>
      <c r="W1148" s="1545"/>
      <c r="X1148" s="1545"/>
      <c r="Y1148" s="1545"/>
    </row>
    <row r="1149" spans="1:25">
      <c r="A1149" s="1544"/>
      <c r="B1149" s="1544"/>
      <c r="C1149" s="1544"/>
      <c r="D1149" s="1544"/>
      <c r="E1149" s="1544"/>
      <c r="R1149" s="1545"/>
      <c r="S1149" s="1545"/>
      <c r="T1149" s="1545"/>
      <c r="U1149" s="1545"/>
      <c r="V1149" s="1545"/>
      <c r="W1149" s="1545"/>
      <c r="X1149" s="1545"/>
      <c r="Y1149" s="1545"/>
    </row>
    <row r="1150" spans="1:25">
      <c r="A1150" s="1544"/>
      <c r="B1150" s="1544"/>
      <c r="C1150" s="1544"/>
      <c r="D1150" s="1544"/>
      <c r="E1150" s="1544"/>
      <c r="R1150" s="1545"/>
      <c r="S1150" s="1545"/>
      <c r="T1150" s="1545"/>
      <c r="U1150" s="1545"/>
      <c r="V1150" s="1545"/>
      <c r="W1150" s="1545"/>
      <c r="X1150" s="1545"/>
      <c r="Y1150" s="1545"/>
    </row>
    <row r="1151" spans="1:25">
      <c r="A1151" s="1544"/>
      <c r="B1151" s="1544"/>
      <c r="C1151" s="1544"/>
      <c r="D1151" s="1544"/>
      <c r="E1151" s="1544"/>
      <c r="R1151" s="1545"/>
      <c r="S1151" s="1545"/>
      <c r="T1151" s="1545"/>
      <c r="U1151" s="1545"/>
      <c r="V1151" s="1545"/>
      <c r="W1151" s="1545"/>
      <c r="X1151" s="1545"/>
      <c r="Y1151" s="1545"/>
    </row>
    <row r="1152" spans="1:25">
      <c r="A1152" s="1544"/>
      <c r="B1152" s="1544"/>
      <c r="C1152" s="1544"/>
      <c r="D1152" s="1544"/>
      <c r="E1152" s="1544"/>
      <c r="R1152" s="1545"/>
      <c r="S1152" s="1545"/>
      <c r="T1152" s="1545"/>
      <c r="U1152" s="1545"/>
      <c r="V1152" s="1545"/>
      <c r="W1152" s="1545"/>
      <c r="X1152" s="1545"/>
      <c r="Y1152" s="1545"/>
    </row>
    <row r="1153" spans="1:25">
      <c r="A1153" s="1544"/>
      <c r="B1153" s="1544"/>
      <c r="C1153" s="1544"/>
      <c r="D1153" s="1544"/>
      <c r="E1153" s="1544"/>
      <c r="R1153" s="1545"/>
      <c r="S1153" s="1545"/>
      <c r="T1153" s="1545"/>
      <c r="U1153" s="1545"/>
      <c r="V1153" s="1545"/>
      <c r="W1153" s="1545"/>
      <c r="X1153" s="1545"/>
      <c r="Y1153" s="1545"/>
    </row>
    <row r="1154" spans="1:25">
      <c r="A1154" s="1544"/>
      <c r="B1154" s="1544"/>
      <c r="C1154" s="1544"/>
      <c r="D1154" s="1544"/>
      <c r="E1154" s="1544"/>
      <c r="R1154" s="1545"/>
      <c r="S1154" s="1545"/>
      <c r="T1154" s="1545"/>
      <c r="U1154" s="1545"/>
      <c r="V1154" s="1545"/>
      <c r="W1154" s="1545"/>
      <c r="X1154" s="1545"/>
      <c r="Y1154" s="1545"/>
    </row>
    <row r="1155" spans="1:25">
      <c r="A1155" s="1544"/>
      <c r="B1155" s="1544"/>
      <c r="C1155" s="1544"/>
      <c r="D1155" s="1544"/>
      <c r="E1155" s="1544"/>
      <c r="R1155" s="1545"/>
      <c r="S1155" s="1545"/>
      <c r="T1155" s="1545"/>
      <c r="U1155" s="1545"/>
      <c r="V1155" s="1545"/>
      <c r="W1155" s="1545"/>
      <c r="X1155" s="1545"/>
      <c r="Y1155" s="1545"/>
    </row>
    <row r="1156" spans="1:25">
      <c r="A1156" s="1544"/>
      <c r="B1156" s="1544"/>
      <c r="C1156" s="1544"/>
      <c r="D1156" s="1544"/>
      <c r="E1156" s="1544"/>
      <c r="R1156" s="1545"/>
      <c r="S1156" s="1545"/>
      <c r="T1156" s="1545"/>
      <c r="U1156" s="1545"/>
      <c r="V1156" s="1545"/>
      <c r="W1156" s="1545"/>
      <c r="X1156" s="1545"/>
      <c r="Y1156" s="1545"/>
    </row>
    <row r="1157" spans="1:25">
      <c r="A1157" s="1544"/>
      <c r="B1157" s="1544"/>
      <c r="C1157" s="1544"/>
      <c r="D1157" s="1544"/>
      <c r="E1157" s="1544"/>
      <c r="R1157" s="1545"/>
      <c r="S1157" s="1545"/>
      <c r="T1157" s="1545"/>
      <c r="U1157" s="1545"/>
      <c r="V1157" s="1545"/>
      <c r="W1157" s="1545"/>
      <c r="X1157" s="1545"/>
      <c r="Y1157" s="1545"/>
    </row>
    <row r="1158" spans="1:25">
      <c r="A1158" s="1544"/>
      <c r="B1158" s="1544"/>
      <c r="C1158" s="1544"/>
      <c r="D1158" s="1544"/>
      <c r="E1158" s="1544"/>
      <c r="R1158" s="1545"/>
      <c r="S1158" s="1545"/>
      <c r="T1158" s="1545"/>
      <c r="U1158" s="1545"/>
      <c r="V1158" s="1545"/>
      <c r="W1158" s="1545"/>
      <c r="X1158" s="1545"/>
      <c r="Y1158" s="1545"/>
    </row>
    <row r="1159" spans="1:25">
      <c r="A1159" s="1544"/>
      <c r="B1159" s="1544"/>
      <c r="C1159" s="1544"/>
      <c r="D1159" s="1544"/>
      <c r="E1159" s="1544"/>
      <c r="R1159" s="1545"/>
      <c r="S1159" s="1545"/>
      <c r="T1159" s="1545"/>
      <c r="U1159" s="1545"/>
      <c r="V1159" s="1545"/>
      <c r="W1159" s="1545"/>
      <c r="X1159" s="1545"/>
      <c r="Y1159" s="1545"/>
    </row>
    <row r="1160" spans="1:25">
      <c r="A1160" s="1544"/>
      <c r="B1160" s="1544"/>
      <c r="C1160" s="1544"/>
      <c r="D1160" s="1544"/>
      <c r="E1160" s="1544"/>
      <c r="R1160" s="1545"/>
      <c r="S1160" s="1545"/>
      <c r="T1160" s="1545"/>
      <c r="U1160" s="1545"/>
      <c r="V1160" s="1545"/>
      <c r="W1160" s="1545"/>
      <c r="X1160" s="1545"/>
      <c r="Y1160" s="1545"/>
    </row>
    <row r="1161" spans="1:25">
      <c r="A1161" s="1544"/>
      <c r="B1161" s="1544"/>
      <c r="C1161" s="1544"/>
      <c r="D1161" s="1544"/>
      <c r="E1161" s="1544"/>
      <c r="R1161" s="1545"/>
      <c r="S1161" s="1545"/>
      <c r="T1161" s="1545"/>
      <c r="U1161" s="1545"/>
      <c r="V1161" s="1545"/>
      <c r="W1161" s="1545"/>
      <c r="X1161" s="1545"/>
      <c r="Y1161" s="1545"/>
    </row>
    <row r="1162" spans="1:25">
      <c r="A1162" s="1544"/>
      <c r="B1162" s="1544"/>
      <c r="C1162" s="1544"/>
      <c r="D1162" s="1544"/>
      <c r="E1162" s="1544"/>
      <c r="R1162" s="1545"/>
      <c r="S1162" s="1545"/>
      <c r="T1162" s="1545"/>
      <c r="U1162" s="1545"/>
      <c r="V1162" s="1545"/>
      <c r="W1162" s="1545"/>
      <c r="X1162" s="1545"/>
      <c r="Y1162" s="1545"/>
    </row>
    <row r="1163" spans="1:25">
      <c r="A1163" s="1544"/>
      <c r="B1163" s="1544"/>
      <c r="C1163" s="1544"/>
      <c r="D1163" s="1544"/>
      <c r="E1163" s="1544"/>
      <c r="R1163" s="1545"/>
      <c r="S1163" s="1545"/>
      <c r="T1163" s="1545"/>
      <c r="U1163" s="1545"/>
      <c r="V1163" s="1545"/>
      <c r="W1163" s="1545"/>
      <c r="X1163" s="1545"/>
      <c r="Y1163" s="1545"/>
    </row>
    <row r="1164" spans="1:25">
      <c r="A1164" s="1544"/>
      <c r="B1164" s="1544"/>
      <c r="C1164" s="1544"/>
      <c r="D1164" s="1544"/>
      <c r="E1164" s="1544"/>
      <c r="R1164" s="1545"/>
      <c r="S1164" s="1545"/>
      <c r="T1164" s="1545"/>
      <c r="U1164" s="1545"/>
      <c r="V1164" s="1545"/>
      <c r="W1164" s="1545"/>
      <c r="X1164" s="1545"/>
      <c r="Y1164" s="1545"/>
    </row>
    <row r="1165" spans="1:25">
      <c r="A1165" s="1544"/>
      <c r="B1165" s="1544"/>
      <c r="C1165" s="1544"/>
      <c r="D1165" s="1544"/>
      <c r="E1165" s="1544"/>
      <c r="R1165" s="1545"/>
      <c r="S1165" s="1545"/>
      <c r="T1165" s="1545"/>
      <c r="U1165" s="1545"/>
      <c r="V1165" s="1545"/>
      <c r="W1165" s="1545"/>
      <c r="X1165" s="1545"/>
      <c r="Y1165" s="1545"/>
    </row>
    <row r="1166" spans="1:25">
      <c r="A1166" s="1544"/>
      <c r="B1166" s="1544"/>
      <c r="C1166" s="1544"/>
      <c r="D1166" s="1544"/>
      <c r="E1166" s="1544"/>
      <c r="R1166" s="1545"/>
      <c r="S1166" s="1545"/>
      <c r="T1166" s="1545"/>
      <c r="U1166" s="1545"/>
      <c r="V1166" s="1545"/>
      <c r="W1166" s="1545"/>
      <c r="X1166" s="1545"/>
      <c r="Y1166" s="1545"/>
    </row>
    <row r="1167" spans="1:25">
      <c r="A1167" s="1544"/>
      <c r="B1167" s="1544"/>
      <c r="C1167" s="1544"/>
      <c r="D1167" s="1544"/>
      <c r="E1167" s="1544"/>
      <c r="R1167" s="1545"/>
      <c r="S1167" s="1545"/>
      <c r="T1167" s="1545"/>
      <c r="U1167" s="1545"/>
      <c r="V1167" s="1545"/>
      <c r="W1167" s="1545"/>
      <c r="X1167" s="1545"/>
      <c r="Y1167" s="1545"/>
    </row>
    <row r="1168" spans="1:25">
      <c r="A1168" s="1544"/>
      <c r="B1168" s="1544"/>
      <c r="C1168" s="1544"/>
      <c r="D1168" s="1544"/>
      <c r="E1168" s="1544"/>
      <c r="R1168" s="1545"/>
      <c r="S1168" s="1545"/>
      <c r="T1168" s="1545"/>
      <c r="U1168" s="1545"/>
      <c r="V1168" s="1545"/>
      <c r="W1168" s="1545"/>
      <c r="X1168" s="1545"/>
      <c r="Y1168" s="1545"/>
    </row>
    <row r="1169" spans="1:25">
      <c r="A1169" s="1544"/>
      <c r="B1169" s="1544"/>
      <c r="C1169" s="1544"/>
      <c r="D1169" s="1544"/>
      <c r="E1169" s="1544"/>
      <c r="R1169" s="1545"/>
      <c r="S1169" s="1545"/>
      <c r="T1169" s="1545"/>
      <c r="U1169" s="1545"/>
      <c r="V1169" s="1545"/>
      <c r="W1169" s="1545"/>
      <c r="X1169" s="1545"/>
      <c r="Y1169" s="1545"/>
    </row>
    <row r="1170" spans="1:25">
      <c r="A1170" s="1544"/>
      <c r="B1170" s="1544"/>
      <c r="C1170" s="1544"/>
      <c r="D1170" s="1544"/>
      <c r="E1170" s="1544"/>
      <c r="R1170" s="1545"/>
      <c r="S1170" s="1545"/>
      <c r="T1170" s="1545"/>
      <c r="U1170" s="1545"/>
      <c r="V1170" s="1545"/>
      <c r="W1170" s="1545"/>
      <c r="X1170" s="1545"/>
      <c r="Y1170" s="1545"/>
    </row>
    <row r="1171" spans="1:25">
      <c r="A1171" s="1544"/>
      <c r="B1171" s="1544"/>
      <c r="C1171" s="1544"/>
      <c r="D1171" s="1544"/>
      <c r="E1171" s="1544"/>
      <c r="R1171" s="1545"/>
      <c r="S1171" s="1545"/>
      <c r="T1171" s="1545"/>
      <c r="U1171" s="1545"/>
      <c r="V1171" s="1545"/>
      <c r="W1171" s="1545"/>
      <c r="X1171" s="1545"/>
      <c r="Y1171" s="1545"/>
    </row>
    <row r="1172" spans="1:25">
      <c r="A1172" s="1544"/>
      <c r="B1172" s="1544"/>
      <c r="C1172" s="1544"/>
      <c r="D1172" s="1544"/>
      <c r="E1172" s="1544"/>
      <c r="R1172" s="1545"/>
      <c r="S1172" s="1545"/>
      <c r="T1172" s="1545"/>
      <c r="U1172" s="1545"/>
      <c r="V1172" s="1545"/>
      <c r="W1172" s="1545"/>
      <c r="X1172" s="1545"/>
      <c r="Y1172" s="1545"/>
    </row>
    <row r="1173" spans="1:25">
      <c r="A1173" s="1544"/>
      <c r="B1173" s="1544"/>
      <c r="C1173" s="1544"/>
      <c r="D1173" s="1544"/>
      <c r="E1173" s="1544"/>
      <c r="R1173" s="1545"/>
      <c r="S1173" s="1545"/>
      <c r="T1173" s="1545"/>
      <c r="U1173" s="1545"/>
      <c r="V1173" s="1545"/>
      <c r="W1173" s="1545"/>
      <c r="X1173" s="1545"/>
      <c r="Y1173" s="1545"/>
    </row>
    <row r="1174" spans="1:25">
      <c r="A1174" s="1544"/>
      <c r="B1174" s="1544"/>
      <c r="C1174" s="1544"/>
      <c r="D1174" s="1544"/>
      <c r="E1174" s="1544"/>
      <c r="R1174" s="1545"/>
      <c r="S1174" s="1545"/>
      <c r="T1174" s="1545"/>
      <c r="U1174" s="1545"/>
      <c r="V1174" s="1545"/>
      <c r="W1174" s="1545"/>
      <c r="X1174" s="1545"/>
      <c r="Y1174" s="1545"/>
    </row>
    <row r="1175" spans="1:25">
      <c r="A1175" s="1544"/>
      <c r="B1175" s="1544"/>
      <c r="C1175" s="1544"/>
      <c r="D1175" s="1544"/>
      <c r="E1175" s="1544"/>
      <c r="R1175" s="1545"/>
      <c r="S1175" s="1545"/>
      <c r="T1175" s="1545"/>
      <c r="U1175" s="1545"/>
      <c r="V1175" s="1545"/>
      <c r="W1175" s="1545"/>
      <c r="X1175" s="1545"/>
      <c r="Y1175" s="1545"/>
    </row>
    <row r="1176" spans="1:25">
      <c r="A1176" s="1544"/>
      <c r="B1176" s="1544"/>
      <c r="C1176" s="1544"/>
      <c r="D1176" s="1544"/>
      <c r="E1176" s="1544"/>
      <c r="R1176" s="1545"/>
      <c r="S1176" s="1545"/>
      <c r="T1176" s="1545"/>
      <c r="U1176" s="1545"/>
      <c r="V1176" s="1545"/>
      <c r="W1176" s="1545"/>
      <c r="X1176" s="1545"/>
      <c r="Y1176" s="1545"/>
    </row>
    <row r="1177" spans="1:25">
      <c r="A1177" s="1544"/>
      <c r="B1177" s="1544"/>
      <c r="C1177" s="1544"/>
      <c r="D1177" s="1544"/>
      <c r="E1177" s="1544"/>
      <c r="R1177" s="1545"/>
      <c r="S1177" s="1545"/>
      <c r="T1177" s="1545"/>
      <c r="U1177" s="1545"/>
      <c r="V1177" s="1545"/>
      <c r="W1177" s="1545"/>
      <c r="X1177" s="1545"/>
      <c r="Y1177" s="1545"/>
    </row>
    <row r="1178" spans="1:25">
      <c r="A1178" s="1544"/>
      <c r="B1178" s="1544"/>
      <c r="C1178" s="1544"/>
      <c r="D1178" s="1544"/>
      <c r="E1178" s="1544"/>
      <c r="R1178" s="1545"/>
      <c r="S1178" s="1545"/>
      <c r="T1178" s="1545"/>
      <c r="U1178" s="1545"/>
      <c r="V1178" s="1545"/>
      <c r="W1178" s="1545"/>
      <c r="X1178" s="1545"/>
      <c r="Y1178" s="1545"/>
    </row>
    <row r="1179" spans="1:25">
      <c r="A1179" s="1544"/>
      <c r="B1179" s="1544"/>
      <c r="C1179" s="1544"/>
      <c r="D1179" s="1544"/>
      <c r="E1179" s="1544"/>
      <c r="R1179" s="1545"/>
      <c r="S1179" s="1545"/>
      <c r="T1179" s="1545"/>
      <c r="U1179" s="1545"/>
      <c r="V1179" s="1545"/>
      <c r="W1179" s="1545"/>
      <c r="X1179" s="1545"/>
      <c r="Y1179" s="1545"/>
    </row>
    <row r="1180" spans="1:25">
      <c r="A1180" s="1544"/>
      <c r="B1180" s="1544"/>
      <c r="C1180" s="1544"/>
      <c r="D1180" s="1544"/>
      <c r="E1180" s="1544"/>
      <c r="R1180" s="1545"/>
      <c r="S1180" s="1545"/>
      <c r="T1180" s="1545"/>
      <c r="U1180" s="1545"/>
      <c r="V1180" s="1545"/>
      <c r="W1180" s="1545"/>
      <c r="X1180" s="1545"/>
      <c r="Y1180" s="1545"/>
    </row>
    <row r="1181" spans="1:25">
      <c r="A1181" s="1544"/>
      <c r="B1181" s="1544"/>
      <c r="C1181" s="1544"/>
      <c r="D1181" s="1544"/>
      <c r="E1181" s="1544"/>
      <c r="R1181" s="1545"/>
      <c r="S1181" s="1545"/>
      <c r="T1181" s="1545"/>
      <c r="U1181" s="1545"/>
      <c r="V1181" s="1545"/>
      <c r="W1181" s="1545"/>
      <c r="X1181" s="1545"/>
      <c r="Y1181" s="1545"/>
    </row>
    <row r="1182" spans="1:25">
      <c r="A1182" s="1544"/>
      <c r="B1182" s="1544"/>
      <c r="C1182" s="1544"/>
      <c r="D1182" s="1544"/>
      <c r="E1182" s="1544"/>
      <c r="R1182" s="1545"/>
      <c r="S1182" s="1545"/>
      <c r="T1182" s="1545"/>
      <c r="U1182" s="1545"/>
      <c r="V1182" s="1545"/>
      <c r="W1182" s="1545"/>
      <c r="X1182" s="1545"/>
      <c r="Y1182" s="1545"/>
    </row>
    <row r="1183" spans="1:25">
      <c r="A1183" s="1544"/>
      <c r="B1183" s="1544"/>
      <c r="C1183" s="1544"/>
      <c r="D1183" s="1544"/>
      <c r="E1183" s="1544"/>
      <c r="R1183" s="1545"/>
      <c r="S1183" s="1545"/>
      <c r="T1183" s="1545"/>
      <c r="U1183" s="1545"/>
      <c r="V1183" s="1545"/>
      <c r="W1183" s="1545"/>
      <c r="X1183" s="1545"/>
      <c r="Y1183" s="1545"/>
    </row>
    <row r="1184" spans="1:25">
      <c r="A1184" s="1544"/>
      <c r="B1184" s="1544"/>
      <c r="C1184" s="1544"/>
      <c r="D1184" s="1544"/>
      <c r="E1184" s="1544"/>
      <c r="R1184" s="1545"/>
      <c r="S1184" s="1545"/>
      <c r="T1184" s="1545"/>
      <c r="U1184" s="1545"/>
      <c r="V1184" s="1545"/>
      <c r="W1184" s="1545"/>
      <c r="X1184" s="1545"/>
      <c r="Y1184" s="1545"/>
    </row>
    <row r="1185" spans="1:25">
      <c r="A1185" s="1544"/>
      <c r="B1185" s="1544"/>
      <c r="C1185" s="1544"/>
      <c r="D1185" s="1544"/>
      <c r="E1185" s="1544"/>
      <c r="R1185" s="1545"/>
      <c r="S1185" s="1545"/>
      <c r="T1185" s="1545"/>
      <c r="U1185" s="1545"/>
      <c r="V1185" s="1545"/>
      <c r="W1185" s="1545"/>
      <c r="X1185" s="1545"/>
      <c r="Y1185" s="1545"/>
    </row>
    <row r="1186" spans="1:25">
      <c r="A1186" s="1544"/>
      <c r="B1186" s="1544"/>
      <c r="C1186" s="1544"/>
      <c r="D1186" s="1544"/>
      <c r="E1186" s="1544"/>
      <c r="R1186" s="1545"/>
      <c r="S1186" s="1545"/>
      <c r="T1186" s="1545"/>
      <c r="U1186" s="1545"/>
      <c r="V1186" s="1545"/>
      <c r="W1186" s="1545"/>
      <c r="X1186" s="1545"/>
      <c r="Y1186" s="1545"/>
    </row>
    <row r="1187" spans="1:25">
      <c r="A1187" s="1544"/>
      <c r="B1187" s="1544"/>
      <c r="C1187" s="1544"/>
      <c r="D1187" s="1544"/>
      <c r="E1187" s="1544"/>
      <c r="R1187" s="1545"/>
      <c r="S1187" s="1545"/>
      <c r="T1187" s="1545"/>
      <c r="U1187" s="1545"/>
      <c r="V1187" s="1545"/>
      <c r="W1187" s="1545"/>
      <c r="X1187" s="1545"/>
      <c r="Y1187" s="1545"/>
    </row>
    <row r="1188" spans="1:25">
      <c r="A1188" s="1544"/>
      <c r="B1188" s="1544"/>
      <c r="C1188" s="1544"/>
      <c r="D1188" s="1544"/>
      <c r="E1188" s="1544"/>
      <c r="R1188" s="1545"/>
      <c r="S1188" s="1545"/>
      <c r="T1188" s="1545"/>
      <c r="U1188" s="1545"/>
      <c r="V1188" s="1545"/>
      <c r="W1188" s="1545"/>
      <c r="X1188" s="1545"/>
      <c r="Y1188" s="1545"/>
    </row>
    <row r="1189" spans="1:25">
      <c r="A1189" s="1544"/>
      <c r="B1189" s="1544"/>
      <c r="C1189" s="1544"/>
      <c r="D1189" s="1544"/>
      <c r="E1189" s="1544"/>
      <c r="R1189" s="1545"/>
      <c r="S1189" s="1545"/>
      <c r="T1189" s="1545"/>
      <c r="U1189" s="1545"/>
      <c r="V1189" s="1545"/>
      <c r="W1189" s="1545"/>
      <c r="X1189" s="1545"/>
      <c r="Y1189" s="1545"/>
    </row>
    <row r="1190" spans="1:25">
      <c r="A1190" s="1544"/>
      <c r="B1190" s="1544"/>
      <c r="C1190" s="1544"/>
      <c r="D1190" s="1544"/>
      <c r="E1190" s="1544"/>
      <c r="R1190" s="1545"/>
      <c r="S1190" s="1545"/>
      <c r="T1190" s="1545"/>
      <c r="U1190" s="1545"/>
      <c r="V1190" s="1545"/>
      <c r="W1190" s="1545"/>
      <c r="X1190" s="1545"/>
      <c r="Y1190" s="1545"/>
    </row>
    <row r="1191" spans="1:25">
      <c r="A1191" s="1544"/>
      <c r="B1191" s="1544"/>
      <c r="C1191" s="1544"/>
      <c r="D1191" s="1544"/>
      <c r="E1191" s="1544"/>
      <c r="R1191" s="1545"/>
      <c r="S1191" s="1545"/>
      <c r="T1191" s="1545"/>
      <c r="U1191" s="1545"/>
      <c r="V1191" s="1545"/>
      <c r="W1191" s="1545"/>
      <c r="X1191" s="1545"/>
      <c r="Y1191" s="1545"/>
    </row>
    <row r="1192" spans="1:25">
      <c r="A1192" s="1544"/>
      <c r="B1192" s="1544"/>
      <c r="C1192" s="1544"/>
      <c r="D1192" s="1544"/>
      <c r="E1192" s="1544"/>
      <c r="R1192" s="1545"/>
      <c r="S1192" s="1545"/>
      <c r="T1192" s="1545"/>
      <c r="U1192" s="1545"/>
      <c r="V1192" s="1545"/>
      <c r="W1192" s="1545"/>
      <c r="X1192" s="1545"/>
      <c r="Y1192" s="1545"/>
    </row>
    <row r="1193" spans="1:25">
      <c r="A1193" s="1544"/>
      <c r="B1193" s="1544"/>
      <c r="C1193" s="1544"/>
      <c r="D1193" s="1544"/>
      <c r="E1193" s="1544"/>
      <c r="R1193" s="1545"/>
      <c r="S1193" s="1545"/>
      <c r="T1193" s="1545"/>
      <c r="U1193" s="1545"/>
      <c r="V1193" s="1545"/>
      <c r="W1193" s="1545"/>
      <c r="X1193" s="1545"/>
      <c r="Y1193" s="1545"/>
    </row>
    <row r="1194" spans="1:25">
      <c r="A1194" s="1544"/>
      <c r="B1194" s="1544"/>
      <c r="C1194" s="1544"/>
      <c r="D1194" s="1544"/>
      <c r="E1194" s="1544"/>
      <c r="R1194" s="1545"/>
      <c r="S1194" s="1545"/>
      <c r="T1194" s="1545"/>
      <c r="U1194" s="1545"/>
      <c r="V1194" s="1545"/>
      <c r="W1194" s="1545"/>
      <c r="X1194" s="1545"/>
      <c r="Y1194" s="1545"/>
    </row>
    <row r="1195" spans="1:25">
      <c r="A1195" s="1544"/>
      <c r="B1195" s="1544"/>
      <c r="C1195" s="1544"/>
      <c r="D1195" s="1544"/>
      <c r="E1195" s="1544"/>
      <c r="R1195" s="1545"/>
      <c r="S1195" s="1545"/>
      <c r="T1195" s="1545"/>
      <c r="U1195" s="1545"/>
      <c r="V1195" s="1545"/>
      <c r="W1195" s="1545"/>
      <c r="X1195" s="1545"/>
      <c r="Y1195" s="1545"/>
    </row>
    <row r="1196" spans="1:25">
      <c r="A1196" s="1544"/>
      <c r="B1196" s="1544"/>
      <c r="C1196" s="1544"/>
      <c r="D1196" s="1544"/>
      <c r="E1196" s="1544"/>
      <c r="R1196" s="1545"/>
      <c r="S1196" s="1545"/>
      <c r="T1196" s="1545"/>
      <c r="U1196" s="1545"/>
      <c r="V1196" s="1545"/>
      <c r="W1196" s="1545"/>
      <c r="X1196" s="1545"/>
      <c r="Y1196" s="1545"/>
    </row>
    <row r="1197" spans="1:25">
      <c r="A1197" s="1544"/>
      <c r="B1197" s="1544"/>
      <c r="C1197" s="1544"/>
      <c r="D1197" s="1544"/>
      <c r="E1197" s="1544"/>
      <c r="R1197" s="1545"/>
      <c r="S1197" s="1545"/>
      <c r="T1197" s="1545"/>
      <c r="U1197" s="1545"/>
      <c r="V1197" s="1545"/>
      <c r="W1197" s="1545"/>
      <c r="X1197" s="1545"/>
      <c r="Y1197" s="1545"/>
    </row>
    <row r="1198" spans="1:25">
      <c r="A1198" s="1544"/>
      <c r="B1198" s="1544"/>
      <c r="C1198" s="1544"/>
      <c r="D1198" s="1544"/>
      <c r="E1198" s="1544"/>
      <c r="R1198" s="1545"/>
      <c r="S1198" s="1545"/>
      <c r="T1198" s="1545"/>
      <c r="U1198" s="1545"/>
      <c r="V1198" s="1545"/>
      <c r="W1198" s="1545"/>
      <c r="X1198" s="1545"/>
      <c r="Y1198" s="1545"/>
    </row>
    <row r="1199" spans="1:25">
      <c r="A1199" s="1544"/>
      <c r="B1199" s="1544"/>
      <c r="C1199" s="1544"/>
      <c r="D1199" s="1544"/>
      <c r="E1199" s="1544"/>
      <c r="R1199" s="1545"/>
      <c r="S1199" s="1545"/>
      <c r="T1199" s="1545"/>
      <c r="U1199" s="1545"/>
      <c r="V1199" s="1545"/>
      <c r="W1199" s="1545"/>
      <c r="X1199" s="1545"/>
      <c r="Y1199" s="1545"/>
    </row>
    <row r="1200" spans="1:25">
      <c r="A1200" s="1544"/>
      <c r="B1200" s="1544"/>
      <c r="C1200" s="1544"/>
      <c r="D1200" s="1544"/>
      <c r="E1200" s="1544"/>
      <c r="R1200" s="1545"/>
      <c r="S1200" s="1545"/>
      <c r="T1200" s="1545"/>
      <c r="U1200" s="1545"/>
      <c r="V1200" s="1545"/>
      <c r="W1200" s="1545"/>
      <c r="X1200" s="1545"/>
      <c r="Y1200" s="1545"/>
    </row>
    <row r="1201" spans="1:25">
      <c r="A1201" s="1544"/>
      <c r="B1201" s="1544"/>
      <c r="C1201" s="1544"/>
      <c r="D1201" s="1544"/>
      <c r="E1201" s="1544"/>
      <c r="R1201" s="1545"/>
      <c r="S1201" s="1545"/>
      <c r="T1201" s="1545"/>
      <c r="U1201" s="1545"/>
      <c r="V1201" s="1545"/>
      <c r="W1201" s="1545"/>
      <c r="X1201" s="1545"/>
      <c r="Y1201" s="1545"/>
    </row>
    <row r="1202" spans="1:25">
      <c r="A1202" s="1544"/>
      <c r="B1202" s="1544"/>
      <c r="C1202" s="1544"/>
      <c r="D1202" s="1544"/>
      <c r="E1202" s="1544"/>
      <c r="R1202" s="1545"/>
      <c r="S1202" s="1545"/>
      <c r="T1202" s="1545"/>
      <c r="U1202" s="1545"/>
      <c r="V1202" s="1545"/>
      <c r="W1202" s="1545"/>
      <c r="X1202" s="1545"/>
      <c r="Y1202" s="1545"/>
    </row>
    <row r="1203" spans="1:25">
      <c r="A1203" s="1544"/>
      <c r="B1203" s="1544"/>
      <c r="C1203" s="1544"/>
      <c r="D1203" s="1544"/>
      <c r="E1203" s="1544"/>
      <c r="R1203" s="1545"/>
      <c r="S1203" s="1545"/>
      <c r="T1203" s="1545"/>
      <c r="U1203" s="1545"/>
      <c r="V1203" s="1545"/>
      <c r="W1203" s="1545"/>
      <c r="X1203" s="1545"/>
      <c r="Y1203" s="1545"/>
    </row>
    <row r="1204" spans="1:25">
      <c r="A1204" s="1544"/>
      <c r="B1204" s="1544"/>
      <c r="C1204" s="1544"/>
      <c r="D1204" s="1544"/>
      <c r="E1204" s="1544"/>
      <c r="R1204" s="1545"/>
      <c r="S1204" s="1545"/>
      <c r="T1204" s="1545"/>
      <c r="U1204" s="1545"/>
      <c r="V1204" s="1545"/>
      <c r="W1204" s="1545"/>
      <c r="X1204" s="1545"/>
      <c r="Y1204" s="1545"/>
    </row>
    <row r="1205" spans="1:25">
      <c r="A1205" s="1544"/>
      <c r="B1205" s="1544"/>
      <c r="C1205" s="1544"/>
      <c r="D1205" s="1544"/>
      <c r="E1205" s="1544"/>
      <c r="R1205" s="1545"/>
      <c r="S1205" s="1545"/>
      <c r="T1205" s="1545"/>
      <c r="U1205" s="1545"/>
      <c r="V1205" s="1545"/>
      <c r="W1205" s="1545"/>
      <c r="X1205" s="1545"/>
      <c r="Y1205" s="1545"/>
    </row>
    <row r="1206" spans="1:25">
      <c r="A1206" s="1544"/>
      <c r="B1206" s="1544"/>
      <c r="C1206" s="1544"/>
      <c r="D1206" s="1544"/>
      <c r="E1206" s="1544"/>
      <c r="R1206" s="1545"/>
      <c r="S1206" s="1545"/>
      <c r="T1206" s="1545"/>
      <c r="U1206" s="1545"/>
      <c r="V1206" s="1545"/>
      <c r="W1206" s="1545"/>
      <c r="X1206" s="1545"/>
      <c r="Y1206" s="1545"/>
    </row>
    <row r="1207" spans="1:25">
      <c r="A1207" s="1544"/>
      <c r="B1207" s="1544"/>
      <c r="C1207" s="1544"/>
      <c r="D1207" s="1544"/>
      <c r="E1207" s="1544"/>
      <c r="R1207" s="1545"/>
      <c r="S1207" s="1545"/>
      <c r="T1207" s="1545"/>
      <c r="U1207" s="1545"/>
      <c r="V1207" s="1545"/>
      <c r="W1207" s="1545"/>
      <c r="X1207" s="1545"/>
      <c r="Y1207" s="1545"/>
    </row>
    <row r="1208" spans="1:25">
      <c r="A1208" s="1544"/>
      <c r="B1208" s="1544"/>
      <c r="C1208" s="1544"/>
      <c r="D1208" s="1544"/>
      <c r="E1208" s="1544"/>
      <c r="R1208" s="1545"/>
      <c r="S1208" s="1545"/>
      <c r="T1208" s="1545"/>
      <c r="U1208" s="1545"/>
      <c r="V1208" s="1545"/>
      <c r="W1208" s="1545"/>
      <c r="X1208" s="1545"/>
      <c r="Y1208" s="1545"/>
    </row>
    <row r="1209" spans="1:25">
      <c r="A1209" s="1544"/>
      <c r="B1209" s="1544"/>
      <c r="C1209" s="1544"/>
      <c r="D1209" s="1544"/>
      <c r="E1209" s="1544"/>
      <c r="R1209" s="1545"/>
      <c r="S1209" s="1545"/>
      <c r="T1209" s="1545"/>
      <c r="U1209" s="1545"/>
      <c r="V1209" s="1545"/>
      <c r="W1209" s="1545"/>
      <c r="X1209" s="1545"/>
      <c r="Y1209" s="1545"/>
    </row>
    <row r="1210" spans="1:25">
      <c r="A1210" s="1544"/>
      <c r="B1210" s="1544"/>
      <c r="C1210" s="1544"/>
      <c r="D1210" s="1544"/>
      <c r="E1210" s="1544"/>
      <c r="R1210" s="1545"/>
      <c r="S1210" s="1545"/>
      <c r="T1210" s="1545"/>
      <c r="U1210" s="1545"/>
      <c r="V1210" s="1545"/>
      <c r="W1210" s="1545"/>
      <c r="X1210" s="1545"/>
      <c r="Y1210" s="1545"/>
    </row>
    <row r="1211" spans="1:25">
      <c r="A1211" s="1544"/>
      <c r="B1211" s="1544"/>
      <c r="C1211" s="1544"/>
      <c r="D1211" s="1544"/>
      <c r="E1211" s="1544"/>
      <c r="R1211" s="1545"/>
      <c r="S1211" s="1545"/>
      <c r="T1211" s="1545"/>
      <c r="U1211" s="1545"/>
      <c r="V1211" s="1545"/>
      <c r="W1211" s="1545"/>
      <c r="X1211" s="1545"/>
      <c r="Y1211" s="1545"/>
    </row>
    <row r="1212" spans="1:25">
      <c r="A1212" s="1544"/>
      <c r="B1212" s="1544"/>
      <c r="C1212" s="1544"/>
      <c r="D1212" s="1544"/>
      <c r="E1212" s="1544"/>
      <c r="R1212" s="1545"/>
      <c r="S1212" s="1545"/>
      <c r="T1212" s="1545"/>
      <c r="U1212" s="1545"/>
      <c r="V1212" s="1545"/>
      <c r="W1212" s="1545"/>
      <c r="X1212" s="1545"/>
      <c r="Y1212" s="1545"/>
    </row>
    <row r="1213" spans="1:25">
      <c r="A1213" s="1544"/>
      <c r="B1213" s="1544"/>
      <c r="C1213" s="1544"/>
      <c r="D1213" s="1544"/>
      <c r="E1213" s="1544"/>
      <c r="R1213" s="1545"/>
      <c r="S1213" s="1545"/>
      <c r="T1213" s="1545"/>
      <c r="U1213" s="1545"/>
      <c r="V1213" s="1545"/>
      <c r="W1213" s="1545"/>
      <c r="X1213" s="1545"/>
      <c r="Y1213" s="1545"/>
    </row>
    <row r="1214" spans="1:25">
      <c r="A1214" s="1544"/>
      <c r="B1214" s="1544"/>
      <c r="C1214" s="1544"/>
      <c r="D1214" s="1544"/>
      <c r="E1214" s="1544"/>
      <c r="R1214" s="1545"/>
      <c r="S1214" s="1545"/>
      <c r="T1214" s="1545"/>
      <c r="U1214" s="1545"/>
      <c r="V1214" s="1545"/>
      <c r="W1214" s="1545"/>
      <c r="X1214" s="1545"/>
      <c r="Y1214" s="1545"/>
    </row>
    <row r="1215" spans="1:25">
      <c r="A1215" s="1544"/>
      <c r="B1215" s="1544"/>
      <c r="C1215" s="1544"/>
      <c r="D1215" s="1544"/>
      <c r="E1215" s="1544"/>
      <c r="R1215" s="1545"/>
      <c r="S1215" s="1545"/>
      <c r="T1215" s="1545"/>
      <c r="U1215" s="1545"/>
      <c r="V1215" s="1545"/>
      <c r="W1215" s="1545"/>
      <c r="X1215" s="1545"/>
      <c r="Y1215" s="1545"/>
    </row>
    <row r="1216" spans="1:25">
      <c r="A1216" s="1544"/>
      <c r="B1216" s="1544"/>
      <c r="C1216" s="1544"/>
      <c r="D1216" s="1544"/>
      <c r="E1216" s="1544"/>
      <c r="R1216" s="1545"/>
      <c r="S1216" s="1545"/>
      <c r="T1216" s="1545"/>
      <c r="U1216" s="1545"/>
      <c r="V1216" s="1545"/>
      <c r="W1216" s="1545"/>
      <c r="X1216" s="1545"/>
      <c r="Y1216" s="1545"/>
    </row>
    <row r="1217" spans="1:25">
      <c r="A1217" s="1544"/>
      <c r="B1217" s="1544"/>
      <c r="C1217" s="1544"/>
      <c r="D1217" s="1544"/>
      <c r="E1217" s="1544"/>
      <c r="R1217" s="1545"/>
      <c r="S1217" s="1545"/>
      <c r="T1217" s="1545"/>
      <c r="U1217" s="1545"/>
      <c r="V1217" s="1545"/>
      <c r="W1217" s="1545"/>
      <c r="X1217" s="1545"/>
      <c r="Y1217" s="1545"/>
    </row>
    <row r="1218" spans="1:25">
      <c r="A1218" s="1544"/>
      <c r="B1218" s="1544"/>
      <c r="C1218" s="1544"/>
      <c r="D1218" s="1544"/>
      <c r="E1218" s="1544"/>
      <c r="R1218" s="1545"/>
      <c r="S1218" s="1545"/>
      <c r="T1218" s="1545"/>
      <c r="U1218" s="1545"/>
      <c r="V1218" s="1545"/>
      <c r="W1218" s="1545"/>
      <c r="X1218" s="1545"/>
      <c r="Y1218" s="1545"/>
    </row>
    <row r="1219" spans="1:25">
      <c r="A1219" s="1544"/>
      <c r="B1219" s="1544"/>
      <c r="C1219" s="1544"/>
      <c r="D1219" s="1544"/>
      <c r="E1219" s="1544"/>
      <c r="R1219" s="1545"/>
      <c r="S1219" s="1545"/>
      <c r="T1219" s="1545"/>
      <c r="U1219" s="1545"/>
      <c r="V1219" s="1545"/>
      <c r="W1219" s="1545"/>
      <c r="X1219" s="1545"/>
      <c r="Y1219" s="1545"/>
    </row>
    <row r="1220" spans="1:25">
      <c r="A1220" s="1544"/>
      <c r="B1220" s="1544"/>
      <c r="C1220" s="1544"/>
      <c r="D1220" s="1544"/>
      <c r="E1220" s="1544"/>
      <c r="R1220" s="1545"/>
      <c r="S1220" s="1545"/>
      <c r="T1220" s="1545"/>
      <c r="U1220" s="1545"/>
      <c r="V1220" s="1545"/>
      <c r="W1220" s="1545"/>
      <c r="X1220" s="1545"/>
      <c r="Y1220" s="1545"/>
    </row>
    <row r="1221" spans="1:25">
      <c r="A1221" s="1544"/>
      <c r="B1221" s="1544"/>
      <c r="C1221" s="1544"/>
      <c r="D1221" s="1544"/>
      <c r="E1221" s="1544"/>
      <c r="R1221" s="1545"/>
      <c r="S1221" s="1545"/>
      <c r="T1221" s="1545"/>
      <c r="U1221" s="1545"/>
      <c r="V1221" s="1545"/>
      <c r="W1221" s="1545"/>
      <c r="X1221" s="1545"/>
      <c r="Y1221" s="1545"/>
    </row>
    <row r="1222" spans="1:25">
      <c r="A1222" s="1544"/>
      <c r="B1222" s="1544"/>
      <c r="C1222" s="1544"/>
      <c r="D1222" s="1544"/>
      <c r="E1222" s="1544"/>
      <c r="R1222" s="1545"/>
      <c r="S1222" s="1545"/>
      <c r="T1222" s="1545"/>
      <c r="U1222" s="1545"/>
      <c r="V1222" s="1545"/>
      <c r="W1222" s="1545"/>
      <c r="X1222" s="1545"/>
      <c r="Y1222" s="1545"/>
    </row>
    <row r="1223" spans="1:25">
      <c r="A1223" s="1544"/>
      <c r="B1223" s="1544"/>
      <c r="C1223" s="1544"/>
      <c r="D1223" s="1544"/>
      <c r="E1223" s="1544"/>
      <c r="R1223" s="1545"/>
      <c r="S1223" s="1545"/>
      <c r="T1223" s="1545"/>
      <c r="U1223" s="1545"/>
      <c r="V1223" s="1545"/>
      <c r="W1223" s="1545"/>
      <c r="X1223" s="1545"/>
      <c r="Y1223" s="1545"/>
    </row>
    <row r="1224" spans="1:25">
      <c r="A1224" s="1544"/>
      <c r="B1224" s="1544"/>
      <c r="C1224" s="1544"/>
      <c r="D1224" s="1544"/>
      <c r="E1224" s="1544"/>
      <c r="R1224" s="1545"/>
      <c r="S1224" s="1545"/>
      <c r="T1224" s="1545"/>
      <c r="U1224" s="1545"/>
      <c r="V1224" s="1545"/>
      <c r="W1224" s="1545"/>
      <c r="X1224" s="1545"/>
      <c r="Y1224" s="1545"/>
    </row>
    <row r="1225" spans="1:25">
      <c r="A1225" s="1544"/>
      <c r="B1225" s="1544"/>
      <c r="C1225" s="1544"/>
      <c r="D1225" s="1544"/>
      <c r="E1225" s="1544"/>
      <c r="R1225" s="1545"/>
      <c r="S1225" s="1545"/>
      <c r="T1225" s="1545"/>
      <c r="U1225" s="1545"/>
      <c r="V1225" s="1545"/>
      <c r="W1225" s="1545"/>
      <c r="X1225" s="1545"/>
      <c r="Y1225" s="1545"/>
    </row>
    <row r="1226" spans="1:25">
      <c r="A1226" s="1544"/>
      <c r="B1226" s="1544"/>
      <c r="C1226" s="1544"/>
      <c r="D1226" s="1544"/>
      <c r="E1226" s="1544"/>
      <c r="R1226" s="1545"/>
      <c r="S1226" s="1545"/>
      <c r="T1226" s="1545"/>
      <c r="U1226" s="1545"/>
      <c r="V1226" s="1545"/>
      <c r="W1226" s="1545"/>
      <c r="X1226" s="1545"/>
      <c r="Y1226" s="1545"/>
    </row>
    <row r="1227" spans="1:25">
      <c r="A1227" s="1544"/>
      <c r="B1227" s="1544"/>
      <c r="C1227" s="1544"/>
      <c r="D1227" s="1544"/>
      <c r="E1227" s="1544"/>
      <c r="R1227" s="1545"/>
      <c r="S1227" s="1545"/>
      <c r="T1227" s="1545"/>
      <c r="U1227" s="1545"/>
      <c r="V1227" s="1545"/>
      <c r="W1227" s="1545"/>
      <c r="X1227" s="1545"/>
      <c r="Y1227" s="1545"/>
    </row>
    <row r="1228" spans="1:25">
      <c r="A1228" s="1544"/>
      <c r="B1228" s="1544"/>
      <c r="C1228" s="1544"/>
      <c r="D1228" s="1544"/>
      <c r="E1228" s="1544"/>
      <c r="R1228" s="1545"/>
      <c r="S1228" s="1545"/>
      <c r="T1228" s="1545"/>
      <c r="U1228" s="1545"/>
      <c r="V1228" s="1545"/>
      <c r="W1228" s="1545"/>
      <c r="X1228" s="1545"/>
      <c r="Y1228" s="1545"/>
    </row>
    <row r="1229" spans="1:25">
      <c r="A1229" s="1544"/>
      <c r="B1229" s="1544"/>
      <c r="C1229" s="1544"/>
      <c r="D1229" s="1544"/>
      <c r="E1229" s="1544"/>
      <c r="R1229" s="1545"/>
      <c r="S1229" s="1545"/>
      <c r="T1229" s="1545"/>
      <c r="U1229" s="1545"/>
      <c r="V1229" s="1545"/>
      <c r="W1229" s="1545"/>
      <c r="X1229" s="1545"/>
      <c r="Y1229" s="1545"/>
    </row>
    <row r="1230" spans="1:25">
      <c r="A1230" s="1544"/>
      <c r="B1230" s="1544"/>
      <c r="C1230" s="1544"/>
      <c r="D1230" s="1544"/>
      <c r="E1230" s="1544"/>
      <c r="R1230" s="1545"/>
      <c r="S1230" s="1545"/>
      <c r="T1230" s="1545"/>
      <c r="U1230" s="1545"/>
      <c r="V1230" s="1545"/>
      <c r="W1230" s="1545"/>
      <c r="X1230" s="1545"/>
      <c r="Y1230" s="1545"/>
    </row>
    <row r="1231" spans="1:25">
      <c r="A1231" s="1544"/>
      <c r="B1231" s="1544"/>
      <c r="C1231" s="1544"/>
      <c r="D1231" s="1544"/>
      <c r="E1231" s="1544"/>
      <c r="R1231" s="1545"/>
      <c r="S1231" s="1545"/>
      <c r="T1231" s="1545"/>
      <c r="U1231" s="1545"/>
      <c r="V1231" s="1545"/>
      <c r="W1231" s="1545"/>
      <c r="X1231" s="1545"/>
      <c r="Y1231" s="1545"/>
    </row>
    <row r="1232" spans="1:25">
      <c r="A1232" s="1544"/>
      <c r="B1232" s="1544"/>
      <c r="C1232" s="1544"/>
      <c r="D1232" s="1544"/>
      <c r="E1232" s="1544"/>
      <c r="R1232" s="1545"/>
      <c r="S1232" s="1545"/>
      <c r="T1232" s="1545"/>
      <c r="U1232" s="1545"/>
      <c r="V1232" s="1545"/>
      <c r="W1232" s="1545"/>
      <c r="X1232" s="1545"/>
      <c r="Y1232" s="1545"/>
    </row>
    <row r="1233" spans="1:25">
      <c r="A1233" s="1544"/>
      <c r="B1233" s="1544"/>
      <c r="C1233" s="1544"/>
      <c r="D1233" s="1544"/>
      <c r="E1233" s="1544"/>
      <c r="R1233" s="1545"/>
      <c r="S1233" s="1545"/>
      <c r="T1233" s="1545"/>
      <c r="U1233" s="1545"/>
      <c r="V1233" s="1545"/>
      <c r="W1233" s="1545"/>
      <c r="X1233" s="1545"/>
      <c r="Y1233" s="1545"/>
    </row>
    <row r="1234" spans="1:25">
      <c r="A1234" s="1544"/>
      <c r="B1234" s="1544"/>
      <c r="C1234" s="1544"/>
      <c r="D1234" s="1544"/>
      <c r="E1234" s="1544"/>
      <c r="R1234" s="1545"/>
      <c r="S1234" s="1545"/>
      <c r="T1234" s="1545"/>
      <c r="U1234" s="1545"/>
      <c r="V1234" s="1545"/>
      <c r="W1234" s="1545"/>
      <c r="X1234" s="1545"/>
      <c r="Y1234" s="1545"/>
    </row>
    <row r="1235" spans="1:25">
      <c r="A1235" s="1544"/>
      <c r="B1235" s="1544"/>
      <c r="C1235" s="1544"/>
      <c r="D1235" s="1544"/>
      <c r="E1235" s="1544"/>
      <c r="R1235" s="1545"/>
      <c r="S1235" s="1545"/>
      <c r="T1235" s="1545"/>
      <c r="U1235" s="1545"/>
      <c r="V1235" s="1545"/>
      <c r="W1235" s="1545"/>
      <c r="X1235" s="1545"/>
      <c r="Y1235" s="1545"/>
    </row>
    <row r="1236" spans="1:25">
      <c r="A1236" s="1544"/>
      <c r="B1236" s="1544"/>
      <c r="C1236" s="1544"/>
      <c r="D1236" s="1544"/>
      <c r="E1236" s="1544"/>
      <c r="R1236" s="1545"/>
      <c r="S1236" s="1545"/>
      <c r="T1236" s="1545"/>
      <c r="U1236" s="1545"/>
      <c r="V1236" s="1545"/>
      <c r="W1236" s="1545"/>
      <c r="X1236" s="1545"/>
      <c r="Y1236" s="1545"/>
    </row>
    <row r="1237" spans="1:25">
      <c r="A1237" s="1544"/>
      <c r="B1237" s="1544"/>
      <c r="C1237" s="1544"/>
      <c r="D1237" s="1544"/>
      <c r="E1237" s="1544"/>
      <c r="R1237" s="1545"/>
      <c r="S1237" s="1545"/>
      <c r="T1237" s="1545"/>
      <c r="U1237" s="1545"/>
      <c r="V1237" s="1545"/>
      <c r="W1237" s="1545"/>
      <c r="X1237" s="1545"/>
      <c r="Y1237" s="1545"/>
    </row>
    <row r="1238" spans="1:25">
      <c r="A1238" s="1544"/>
      <c r="B1238" s="1544"/>
      <c r="C1238" s="1544"/>
      <c r="D1238" s="1544"/>
      <c r="E1238" s="1544"/>
      <c r="R1238" s="1545"/>
      <c r="S1238" s="1545"/>
      <c r="T1238" s="1545"/>
      <c r="U1238" s="1545"/>
      <c r="V1238" s="1545"/>
      <c r="W1238" s="1545"/>
      <c r="X1238" s="1545"/>
      <c r="Y1238" s="1545"/>
    </row>
    <row r="1239" spans="1:25">
      <c r="A1239" s="1544"/>
      <c r="B1239" s="1544"/>
      <c r="C1239" s="1544"/>
      <c r="D1239" s="1544"/>
      <c r="E1239" s="1544"/>
      <c r="R1239" s="1545"/>
      <c r="S1239" s="1545"/>
      <c r="T1239" s="1545"/>
      <c r="U1239" s="1545"/>
      <c r="V1239" s="1545"/>
      <c r="W1239" s="1545"/>
      <c r="X1239" s="1545"/>
      <c r="Y1239" s="1545"/>
    </row>
    <row r="1240" spans="1:25">
      <c r="A1240" s="1544"/>
      <c r="B1240" s="1544"/>
      <c r="C1240" s="1544"/>
      <c r="D1240" s="1544"/>
      <c r="E1240" s="1544"/>
      <c r="R1240" s="1545"/>
      <c r="S1240" s="1545"/>
      <c r="T1240" s="1545"/>
      <c r="U1240" s="1545"/>
      <c r="V1240" s="1545"/>
      <c r="W1240" s="1545"/>
      <c r="X1240" s="1545"/>
      <c r="Y1240" s="1545"/>
    </row>
    <row r="1241" spans="1:25">
      <c r="A1241" s="1544"/>
      <c r="B1241" s="1544"/>
      <c r="C1241" s="1544"/>
      <c r="D1241" s="1544"/>
      <c r="E1241" s="1544"/>
      <c r="R1241" s="1545"/>
      <c r="S1241" s="1545"/>
      <c r="T1241" s="1545"/>
      <c r="U1241" s="1545"/>
      <c r="V1241" s="1545"/>
      <c r="W1241" s="1545"/>
      <c r="X1241" s="1545"/>
      <c r="Y1241" s="1545"/>
    </row>
    <row r="1242" spans="1:25">
      <c r="A1242" s="1544"/>
      <c r="B1242" s="1544"/>
      <c r="C1242" s="1544"/>
      <c r="D1242" s="1544"/>
      <c r="E1242" s="1544"/>
      <c r="R1242" s="1545"/>
      <c r="S1242" s="1545"/>
      <c r="T1242" s="1545"/>
      <c r="U1242" s="1545"/>
      <c r="V1242" s="1545"/>
      <c r="W1242" s="1545"/>
      <c r="X1242" s="1545"/>
      <c r="Y1242" s="1545"/>
    </row>
    <row r="1243" spans="1:25">
      <c r="A1243" s="1544"/>
      <c r="B1243" s="1544"/>
      <c r="C1243" s="1544"/>
      <c r="D1243" s="1544"/>
      <c r="E1243" s="1544"/>
      <c r="R1243" s="1545"/>
      <c r="S1243" s="1545"/>
      <c r="T1243" s="1545"/>
      <c r="U1243" s="1545"/>
      <c r="V1243" s="1545"/>
      <c r="W1243" s="1545"/>
      <c r="X1243" s="1545"/>
      <c r="Y1243" s="1545"/>
    </row>
    <row r="1244" spans="1:25">
      <c r="A1244" s="1544"/>
      <c r="B1244" s="1544"/>
      <c r="C1244" s="1544"/>
      <c r="D1244" s="1544"/>
      <c r="E1244" s="1544"/>
      <c r="R1244" s="1545"/>
      <c r="S1244" s="1545"/>
      <c r="T1244" s="1545"/>
      <c r="U1244" s="1545"/>
      <c r="V1244" s="1545"/>
      <c r="W1244" s="1545"/>
      <c r="X1244" s="1545"/>
      <c r="Y1244" s="1545"/>
    </row>
    <row r="1245" spans="1:25">
      <c r="A1245" s="1544"/>
      <c r="B1245" s="1544"/>
      <c r="C1245" s="1544"/>
      <c r="D1245" s="1544"/>
      <c r="E1245" s="1544"/>
      <c r="R1245" s="1545"/>
      <c r="S1245" s="1545"/>
      <c r="T1245" s="1545"/>
      <c r="U1245" s="1545"/>
      <c r="V1245" s="1545"/>
      <c r="W1245" s="1545"/>
      <c r="X1245" s="1545"/>
      <c r="Y1245" s="1545"/>
    </row>
    <row r="1246" spans="1:25">
      <c r="A1246" s="1544"/>
      <c r="B1246" s="1544"/>
      <c r="C1246" s="1544"/>
      <c r="D1246" s="1544"/>
      <c r="E1246" s="1544"/>
      <c r="R1246" s="1545"/>
      <c r="S1246" s="1545"/>
      <c r="T1246" s="1545"/>
      <c r="U1246" s="1545"/>
      <c r="V1246" s="1545"/>
      <c r="W1246" s="1545"/>
      <c r="X1246" s="1545"/>
      <c r="Y1246" s="1545"/>
    </row>
    <row r="1247" spans="1:25">
      <c r="A1247" s="1544"/>
      <c r="B1247" s="1544"/>
      <c r="C1247" s="1544"/>
      <c r="D1247" s="1544"/>
      <c r="E1247" s="1544"/>
      <c r="R1247" s="1545"/>
      <c r="S1247" s="1545"/>
      <c r="T1247" s="1545"/>
      <c r="U1247" s="1545"/>
      <c r="V1247" s="1545"/>
      <c r="W1247" s="1545"/>
      <c r="X1247" s="1545"/>
      <c r="Y1247" s="1545"/>
    </row>
    <row r="1248" spans="1:25">
      <c r="A1248" s="1544"/>
      <c r="B1248" s="1544"/>
      <c r="C1248" s="1544"/>
      <c r="D1248" s="1544"/>
      <c r="E1248" s="1544"/>
      <c r="R1248" s="1545"/>
      <c r="S1248" s="1545"/>
      <c r="T1248" s="1545"/>
      <c r="U1248" s="1545"/>
      <c r="V1248" s="1545"/>
      <c r="W1248" s="1545"/>
      <c r="X1248" s="1545"/>
      <c r="Y1248" s="1545"/>
    </row>
    <row r="1249" spans="1:25">
      <c r="A1249" s="1544"/>
      <c r="B1249" s="1544"/>
      <c r="C1249" s="1544"/>
      <c r="D1249" s="1544"/>
      <c r="E1249" s="1544"/>
      <c r="R1249" s="1545"/>
      <c r="S1249" s="1545"/>
      <c r="T1249" s="1545"/>
      <c r="U1249" s="1545"/>
      <c r="V1249" s="1545"/>
      <c r="W1249" s="1545"/>
      <c r="X1249" s="1545"/>
      <c r="Y1249" s="1545"/>
    </row>
    <row r="1250" spans="1:25">
      <c r="A1250" s="1544"/>
      <c r="B1250" s="1544"/>
      <c r="C1250" s="1544"/>
      <c r="D1250" s="1544"/>
      <c r="E1250" s="1544"/>
      <c r="R1250" s="1545"/>
      <c r="S1250" s="1545"/>
      <c r="T1250" s="1545"/>
      <c r="U1250" s="1545"/>
      <c r="V1250" s="1545"/>
      <c r="W1250" s="1545"/>
      <c r="X1250" s="1545"/>
      <c r="Y1250" s="1545"/>
    </row>
    <row r="1251" spans="1:25">
      <c r="A1251" s="1544"/>
      <c r="B1251" s="1544"/>
      <c r="C1251" s="1544"/>
      <c r="D1251" s="1544"/>
      <c r="E1251" s="1544"/>
      <c r="R1251" s="1545"/>
      <c r="S1251" s="1545"/>
      <c r="T1251" s="1545"/>
      <c r="U1251" s="1545"/>
      <c r="V1251" s="1545"/>
      <c r="W1251" s="1545"/>
      <c r="X1251" s="1545"/>
      <c r="Y1251" s="1545"/>
    </row>
    <row r="1252" spans="1:25">
      <c r="A1252" s="1544"/>
      <c r="B1252" s="1544"/>
      <c r="C1252" s="1544"/>
      <c r="D1252" s="1544"/>
      <c r="E1252" s="1544"/>
      <c r="R1252" s="1545"/>
      <c r="S1252" s="1545"/>
      <c r="T1252" s="1545"/>
      <c r="U1252" s="1545"/>
      <c r="V1252" s="1545"/>
      <c r="W1252" s="1545"/>
      <c r="X1252" s="1545"/>
      <c r="Y1252" s="1545"/>
    </row>
    <row r="1253" spans="1:25">
      <c r="A1253" s="1544"/>
      <c r="B1253" s="1544"/>
      <c r="C1253" s="1544"/>
      <c r="D1253" s="1544"/>
      <c r="E1253" s="1544"/>
      <c r="R1253" s="1545"/>
      <c r="S1253" s="1545"/>
      <c r="T1253" s="1545"/>
      <c r="U1253" s="1545"/>
      <c r="V1253" s="1545"/>
      <c r="W1253" s="1545"/>
      <c r="X1253" s="1545"/>
      <c r="Y1253" s="1545"/>
    </row>
    <row r="1254" spans="1:25">
      <c r="A1254" s="1544"/>
      <c r="B1254" s="1544"/>
      <c r="C1254" s="1544"/>
      <c r="D1254" s="1544"/>
      <c r="E1254" s="1544"/>
      <c r="R1254" s="1545"/>
      <c r="S1254" s="1545"/>
      <c r="T1254" s="1545"/>
      <c r="U1254" s="1545"/>
      <c r="V1254" s="1545"/>
      <c r="W1254" s="1545"/>
      <c r="X1254" s="1545"/>
      <c r="Y1254" s="1545"/>
    </row>
    <row r="1255" spans="1:25">
      <c r="A1255" s="1544"/>
      <c r="B1255" s="1544"/>
      <c r="C1255" s="1544"/>
      <c r="D1255" s="1544"/>
      <c r="E1255" s="1544"/>
      <c r="R1255" s="1545"/>
      <c r="S1255" s="1545"/>
      <c r="T1255" s="1545"/>
      <c r="U1255" s="1545"/>
      <c r="V1255" s="1545"/>
      <c r="W1255" s="1545"/>
      <c r="X1255" s="1545"/>
      <c r="Y1255" s="1545"/>
    </row>
    <row r="1256" spans="1:25">
      <c r="A1256" s="1544"/>
      <c r="B1256" s="1544"/>
      <c r="C1256" s="1544"/>
      <c r="D1256" s="1544"/>
      <c r="E1256" s="1544"/>
      <c r="R1256" s="1545"/>
      <c r="S1256" s="1545"/>
      <c r="T1256" s="1545"/>
      <c r="U1256" s="1545"/>
      <c r="V1256" s="1545"/>
      <c r="W1256" s="1545"/>
      <c r="X1256" s="1545"/>
      <c r="Y1256" s="1545"/>
    </row>
    <row r="1257" spans="1:25">
      <c r="A1257" s="1544"/>
      <c r="B1257" s="1544"/>
      <c r="C1257" s="1544"/>
      <c r="D1257" s="1544"/>
      <c r="E1257" s="1544"/>
      <c r="R1257" s="1545"/>
      <c r="S1257" s="1545"/>
      <c r="T1257" s="1545"/>
      <c r="U1257" s="1545"/>
      <c r="V1257" s="1545"/>
      <c r="W1257" s="1545"/>
      <c r="X1257" s="1545"/>
      <c r="Y1257" s="1545"/>
    </row>
    <row r="1258" spans="1:25">
      <c r="A1258" s="1544"/>
      <c r="B1258" s="1544"/>
      <c r="C1258" s="1544"/>
      <c r="D1258" s="1544"/>
      <c r="E1258" s="1544"/>
      <c r="R1258" s="1545"/>
      <c r="S1258" s="1545"/>
      <c r="T1258" s="1545"/>
      <c r="U1258" s="1545"/>
      <c r="V1258" s="1545"/>
      <c r="W1258" s="1545"/>
      <c r="X1258" s="1545"/>
      <c r="Y1258" s="1545"/>
    </row>
    <row r="1259" spans="1:25">
      <c r="A1259" s="1544"/>
      <c r="B1259" s="1544"/>
      <c r="C1259" s="1544"/>
      <c r="D1259" s="1544"/>
      <c r="E1259" s="1544"/>
      <c r="R1259" s="1545"/>
      <c r="S1259" s="1545"/>
      <c r="T1259" s="1545"/>
      <c r="U1259" s="1545"/>
      <c r="V1259" s="1545"/>
      <c r="W1259" s="1545"/>
      <c r="X1259" s="1545"/>
      <c r="Y1259" s="1545"/>
    </row>
    <row r="1260" spans="1:25">
      <c r="A1260" s="1544"/>
      <c r="B1260" s="1544"/>
      <c r="C1260" s="1544"/>
      <c r="D1260" s="1544"/>
      <c r="E1260" s="1544"/>
      <c r="R1260" s="1545"/>
      <c r="S1260" s="1545"/>
      <c r="T1260" s="1545"/>
      <c r="U1260" s="1545"/>
      <c r="V1260" s="1545"/>
      <c r="W1260" s="1545"/>
      <c r="X1260" s="1545"/>
      <c r="Y1260" s="1545"/>
    </row>
    <row r="1261" spans="1:25">
      <c r="A1261" s="1544"/>
      <c r="B1261" s="1544"/>
      <c r="C1261" s="1544"/>
      <c r="D1261" s="1544"/>
      <c r="E1261" s="1544"/>
      <c r="R1261" s="1545"/>
      <c r="S1261" s="1545"/>
      <c r="T1261" s="1545"/>
      <c r="U1261" s="1545"/>
      <c r="V1261" s="1545"/>
      <c r="W1261" s="1545"/>
      <c r="X1261" s="1545"/>
      <c r="Y1261" s="1545"/>
    </row>
    <row r="1262" spans="1:25">
      <c r="A1262" s="1544"/>
      <c r="B1262" s="1544"/>
      <c r="C1262" s="1544"/>
      <c r="D1262" s="1544"/>
      <c r="E1262" s="1544"/>
      <c r="R1262" s="1545"/>
      <c r="S1262" s="1545"/>
      <c r="T1262" s="1545"/>
      <c r="U1262" s="1545"/>
      <c r="V1262" s="1545"/>
      <c r="W1262" s="1545"/>
      <c r="X1262" s="1545"/>
      <c r="Y1262" s="1545"/>
    </row>
    <row r="1263" spans="1:25">
      <c r="A1263" s="1544"/>
      <c r="B1263" s="1544"/>
      <c r="C1263" s="1544"/>
      <c r="D1263" s="1544"/>
      <c r="E1263" s="1544"/>
      <c r="R1263" s="1545"/>
      <c r="S1263" s="1545"/>
      <c r="T1263" s="1545"/>
      <c r="U1263" s="1545"/>
      <c r="V1263" s="1545"/>
      <c r="W1263" s="1545"/>
      <c r="X1263" s="1545"/>
      <c r="Y1263" s="1545"/>
    </row>
    <row r="1264" spans="1:25">
      <c r="A1264" s="1544"/>
      <c r="B1264" s="1544"/>
      <c r="C1264" s="1544"/>
      <c r="D1264" s="1544"/>
      <c r="E1264" s="1544"/>
      <c r="R1264" s="1545"/>
      <c r="S1264" s="1545"/>
      <c r="T1264" s="1545"/>
      <c r="U1264" s="1545"/>
      <c r="V1264" s="1545"/>
      <c r="W1264" s="1545"/>
      <c r="X1264" s="1545"/>
      <c r="Y1264" s="1545"/>
    </row>
    <row r="1265" spans="1:25">
      <c r="A1265" s="1544"/>
      <c r="B1265" s="1544"/>
      <c r="C1265" s="1544"/>
      <c r="D1265" s="1544"/>
      <c r="E1265" s="1544"/>
      <c r="R1265" s="1545"/>
      <c r="S1265" s="1545"/>
      <c r="T1265" s="1545"/>
      <c r="U1265" s="1545"/>
      <c r="V1265" s="1545"/>
      <c r="W1265" s="1545"/>
      <c r="X1265" s="1545"/>
      <c r="Y1265" s="1545"/>
    </row>
    <row r="1266" spans="1:25">
      <c r="A1266" s="1544"/>
      <c r="B1266" s="1544"/>
      <c r="C1266" s="1544"/>
      <c r="D1266" s="1544"/>
      <c r="E1266" s="1544"/>
      <c r="R1266" s="1545"/>
      <c r="S1266" s="1545"/>
      <c r="T1266" s="1545"/>
      <c r="U1266" s="1545"/>
      <c r="V1266" s="1545"/>
      <c r="W1266" s="1545"/>
      <c r="X1266" s="1545"/>
      <c r="Y1266" s="1545"/>
    </row>
    <row r="1267" spans="1:25">
      <c r="A1267" s="1544"/>
      <c r="B1267" s="1544"/>
      <c r="C1267" s="1544"/>
      <c r="D1267" s="1544"/>
      <c r="E1267" s="1544"/>
      <c r="R1267" s="1545"/>
      <c r="S1267" s="1545"/>
      <c r="T1267" s="1545"/>
      <c r="U1267" s="1545"/>
      <c r="V1267" s="1545"/>
      <c r="W1267" s="1545"/>
      <c r="X1267" s="1545"/>
      <c r="Y1267" s="1545"/>
    </row>
    <row r="1268" spans="1:25">
      <c r="A1268" s="1544"/>
      <c r="B1268" s="1544"/>
      <c r="C1268" s="1544"/>
      <c r="D1268" s="1544"/>
      <c r="E1268" s="1544"/>
      <c r="R1268" s="1545"/>
      <c r="S1268" s="1545"/>
      <c r="T1268" s="1545"/>
      <c r="U1268" s="1545"/>
      <c r="V1268" s="1545"/>
      <c r="W1268" s="1545"/>
      <c r="X1268" s="1545"/>
      <c r="Y1268" s="1545"/>
    </row>
    <row r="1269" spans="1:25">
      <c r="A1269" s="1544"/>
      <c r="B1269" s="1544"/>
      <c r="C1269" s="1544"/>
      <c r="D1269" s="1544"/>
      <c r="E1269" s="1544"/>
      <c r="R1269" s="1545"/>
      <c r="S1269" s="1545"/>
      <c r="T1269" s="1545"/>
      <c r="U1269" s="1545"/>
      <c r="V1269" s="1545"/>
      <c r="W1269" s="1545"/>
      <c r="X1269" s="1545"/>
      <c r="Y1269" s="1545"/>
    </row>
    <row r="1270" spans="1:25">
      <c r="A1270" s="1544"/>
      <c r="B1270" s="1544"/>
      <c r="C1270" s="1544"/>
      <c r="D1270" s="1544"/>
      <c r="E1270" s="1544"/>
      <c r="R1270" s="1545"/>
      <c r="S1270" s="1545"/>
      <c r="T1270" s="1545"/>
      <c r="U1270" s="1545"/>
      <c r="V1270" s="1545"/>
      <c r="W1270" s="1545"/>
      <c r="X1270" s="1545"/>
      <c r="Y1270" s="1545"/>
    </row>
    <row r="1271" spans="1:25">
      <c r="A1271" s="1544"/>
      <c r="B1271" s="1544"/>
      <c r="C1271" s="1544"/>
      <c r="D1271" s="1544"/>
      <c r="E1271" s="1544"/>
      <c r="R1271" s="1545"/>
      <c r="S1271" s="1545"/>
      <c r="T1271" s="1545"/>
      <c r="U1271" s="1545"/>
      <c r="V1271" s="1545"/>
      <c r="W1271" s="1545"/>
      <c r="X1271" s="1545"/>
      <c r="Y1271" s="1545"/>
    </row>
    <row r="1272" spans="1:25">
      <c r="A1272" s="1544"/>
      <c r="B1272" s="1544"/>
      <c r="C1272" s="1544"/>
      <c r="D1272" s="1544"/>
      <c r="E1272" s="1544"/>
      <c r="R1272" s="1545"/>
      <c r="S1272" s="1545"/>
      <c r="T1272" s="1545"/>
      <c r="U1272" s="1545"/>
      <c r="V1272" s="1545"/>
      <c r="W1272" s="1545"/>
      <c r="X1272" s="1545"/>
      <c r="Y1272" s="1545"/>
    </row>
    <row r="1273" spans="1:25">
      <c r="A1273" s="1544"/>
      <c r="B1273" s="1544"/>
      <c r="C1273" s="1544"/>
      <c r="D1273" s="1544"/>
      <c r="E1273" s="1544"/>
      <c r="R1273" s="1545"/>
      <c r="S1273" s="1545"/>
      <c r="T1273" s="1545"/>
      <c r="U1273" s="1545"/>
      <c r="V1273" s="1545"/>
      <c r="W1273" s="1545"/>
      <c r="X1273" s="1545"/>
      <c r="Y1273" s="1545"/>
    </row>
    <row r="1274" spans="1:25">
      <c r="A1274" s="1544"/>
      <c r="B1274" s="1544"/>
      <c r="C1274" s="1544"/>
      <c r="D1274" s="1544"/>
      <c r="E1274" s="1544"/>
      <c r="R1274" s="1545"/>
      <c r="S1274" s="1545"/>
      <c r="T1274" s="1545"/>
      <c r="U1274" s="1545"/>
      <c r="V1274" s="1545"/>
      <c r="W1274" s="1545"/>
      <c r="X1274" s="1545"/>
      <c r="Y1274" s="1545"/>
    </row>
    <row r="1275" spans="1:25">
      <c r="A1275" s="1544"/>
      <c r="B1275" s="1544"/>
      <c r="C1275" s="1544"/>
      <c r="D1275" s="1544"/>
      <c r="E1275" s="1544"/>
      <c r="R1275" s="1545"/>
      <c r="S1275" s="1545"/>
      <c r="T1275" s="1545"/>
      <c r="U1275" s="1545"/>
      <c r="V1275" s="1545"/>
      <c r="W1275" s="1545"/>
      <c r="X1275" s="1545"/>
      <c r="Y1275" s="1545"/>
    </row>
    <row r="1276" spans="1:25">
      <c r="A1276" s="1544"/>
      <c r="B1276" s="1544"/>
      <c r="C1276" s="1544"/>
      <c r="D1276" s="1544"/>
      <c r="E1276" s="1544"/>
      <c r="R1276" s="1545"/>
      <c r="S1276" s="1545"/>
      <c r="T1276" s="1545"/>
      <c r="U1276" s="1545"/>
      <c r="V1276" s="1545"/>
      <c r="W1276" s="1545"/>
      <c r="X1276" s="1545"/>
      <c r="Y1276" s="1545"/>
    </row>
    <row r="1277" spans="1:25">
      <c r="A1277" s="1544"/>
      <c r="B1277" s="1544"/>
      <c r="C1277" s="1544"/>
      <c r="D1277" s="1544"/>
      <c r="E1277" s="1544"/>
      <c r="R1277" s="1545"/>
      <c r="S1277" s="1545"/>
      <c r="T1277" s="1545"/>
      <c r="U1277" s="1545"/>
      <c r="V1277" s="1545"/>
      <c r="W1277" s="1545"/>
      <c r="X1277" s="1545"/>
      <c r="Y1277" s="1545"/>
    </row>
    <row r="1278" spans="1:25">
      <c r="A1278" s="1544"/>
      <c r="B1278" s="1544"/>
      <c r="C1278" s="1544"/>
      <c r="D1278" s="1544"/>
      <c r="E1278" s="1544"/>
      <c r="R1278" s="1545"/>
      <c r="S1278" s="1545"/>
      <c r="T1278" s="1545"/>
      <c r="U1278" s="1545"/>
      <c r="V1278" s="1545"/>
      <c r="W1278" s="1545"/>
      <c r="X1278" s="1545"/>
      <c r="Y1278" s="1545"/>
    </row>
    <row r="1279" spans="1:25">
      <c r="A1279" s="1544"/>
      <c r="B1279" s="1544"/>
      <c r="C1279" s="1544"/>
      <c r="D1279" s="1544"/>
      <c r="E1279" s="1544"/>
      <c r="R1279" s="1545"/>
      <c r="S1279" s="1545"/>
      <c r="T1279" s="1545"/>
      <c r="U1279" s="1545"/>
      <c r="V1279" s="1545"/>
      <c r="W1279" s="1545"/>
      <c r="X1279" s="1545"/>
      <c r="Y1279" s="1545"/>
    </row>
    <row r="1280" spans="1:25">
      <c r="A1280" s="1544"/>
      <c r="B1280" s="1544"/>
      <c r="C1280" s="1544"/>
      <c r="D1280" s="1544"/>
      <c r="E1280" s="1544"/>
      <c r="R1280" s="1545"/>
      <c r="S1280" s="1545"/>
      <c r="T1280" s="1545"/>
      <c r="U1280" s="1545"/>
      <c r="V1280" s="1545"/>
      <c r="W1280" s="1545"/>
      <c r="X1280" s="1545"/>
      <c r="Y1280" s="1545"/>
    </row>
    <row r="1281" spans="1:25">
      <c r="A1281" s="1544"/>
      <c r="B1281" s="1544"/>
      <c r="C1281" s="1544"/>
      <c r="D1281" s="1544"/>
      <c r="E1281" s="1544"/>
      <c r="R1281" s="1545"/>
      <c r="S1281" s="1545"/>
      <c r="T1281" s="1545"/>
      <c r="U1281" s="1545"/>
      <c r="V1281" s="1545"/>
      <c r="W1281" s="1545"/>
      <c r="X1281" s="1545"/>
      <c r="Y1281" s="1545"/>
    </row>
    <row r="1282" spans="1:25">
      <c r="A1282" s="1544"/>
      <c r="B1282" s="1544"/>
      <c r="C1282" s="1544"/>
      <c r="D1282" s="1544"/>
      <c r="E1282" s="1544"/>
      <c r="R1282" s="1545"/>
      <c r="S1282" s="1545"/>
      <c r="T1282" s="1545"/>
      <c r="U1282" s="1545"/>
      <c r="V1282" s="1545"/>
      <c r="W1282" s="1545"/>
      <c r="X1282" s="1545"/>
      <c r="Y1282" s="1545"/>
    </row>
    <row r="1283" spans="1:25">
      <c r="A1283" s="1544"/>
      <c r="B1283" s="1544"/>
      <c r="C1283" s="1544"/>
      <c r="D1283" s="1544"/>
      <c r="E1283" s="1544"/>
      <c r="R1283" s="1545"/>
      <c r="S1283" s="1545"/>
      <c r="T1283" s="1545"/>
      <c r="U1283" s="1545"/>
      <c r="V1283" s="1545"/>
      <c r="W1283" s="1545"/>
      <c r="X1283" s="1545"/>
      <c r="Y1283" s="1545"/>
    </row>
    <row r="1284" spans="1:25">
      <c r="A1284" s="1544"/>
      <c r="B1284" s="1544"/>
      <c r="C1284" s="1544"/>
      <c r="D1284" s="1544"/>
      <c r="E1284" s="1544"/>
      <c r="R1284" s="1545"/>
      <c r="S1284" s="1545"/>
      <c r="T1284" s="1545"/>
      <c r="U1284" s="1545"/>
      <c r="V1284" s="1545"/>
      <c r="W1284" s="1545"/>
      <c r="X1284" s="1545"/>
      <c r="Y1284" s="1545"/>
    </row>
    <row r="1285" spans="1:25">
      <c r="A1285" s="1544"/>
      <c r="B1285" s="1544"/>
      <c r="C1285" s="1544"/>
      <c r="D1285" s="1544"/>
      <c r="E1285" s="1544"/>
      <c r="R1285" s="1545"/>
      <c r="S1285" s="1545"/>
      <c r="T1285" s="1545"/>
      <c r="U1285" s="1545"/>
      <c r="V1285" s="1545"/>
      <c r="W1285" s="1545"/>
      <c r="X1285" s="1545"/>
      <c r="Y1285" s="1545"/>
    </row>
    <row r="1286" spans="1:25">
      <c r="A1286" s="1544"/>
      <c r="B1286" s="1544"/>
      <c r="C1286" s="1544"/>
      <c r="D1286" s="1544"/>
      <c r="E1286" s="1544"/>
      <c r="R1286" s="1545"/>
      <c r="S1286" s="1545"/>
      <c r="T1286" s="1545"/>
      <c r="U1286" s="1545"/>
      <c r="V1286" s="1545"/>
      <c r="W1286" s="1545"/>
      <c r="X1286" s="1545"/>
      <c r="Y1286" s="1545"/>
    </row>
    <row r="1287" spans="1:25">
      <c r="A1287" s="1544"/>
      <c r="B1287" s="1544"/>
      <c r="C1287" s="1544"/>
      <c r="D1287" s="1544"/>
      <c r="E1287" s="1544"/>
      <c r="R1287" s="1545"/>
      <c r="S1287" s="1545"/>
      <c r="T1287" s="1545"/>
      <c r="U1287" s="1545"/>
      <c r="V1287" s="1545"/>
      <c r="W1287" s="1545"/>
      <c r="X1287" s="1545"/>
      <c r="Y1287" s="1545"/>
    </row>
    <row r="1288" spans="1:25">
      <c r="A1288" s="1544"/>
      <c r="B1288" s="1544"/>
      <c r="C1288" s="1544"/>
      <c r="D1288" s="1544"/>
      <c r="E1288" s="1544"/>
      <c r="R1288" s="1545"/>
      <c r="S1288" s="1545"/>
      <c r="T1288" s="1545"/>
      <c r="U1288" s="1545"/>
      <c r="V1288" s="1545"/>
      <c r="W1288" s="1545"/>
      <c r="X1288" s="1545"/>
      <c r="Y1288" s="1545"/>
    </row>
    <row r="1289" spans="1:25">
      <c r="A1289" s="1544"/>
      <c r="B1289" s="1544"/>
      <c r="C1289" s="1544"/>
      <c r="D1289" s="1544"/>
      <c r="E1289" s="1544"/>
      <c r="R1289" s="1545"/>
      <c r="S1289" s="1545"/>
      <c r="T1289" s="1545"/>
      <c r="U1289" s="1545"/>
      <c r="V1289" s="1545"/>
      <c r="W1289" s="1545"/>
      <c r="X1289" s="1545"/>
      <c r="Y1289" s="1545"/>
    </row>
    <row r="1290" spans="1:25">
      <c r="A1290" s="1544"/>
      <c r="B1290" s="1544"/>
      <c r="C1290" s="1544"/>
      <c r="D1290" s="1544"/>
      <c r="E1290" s="1544"/>
      <c r="R1290" s="1545"/>
      <c r="S1290" s="1545"/>
      <c r="T1290" s="1545"/>
      <c r="U1290" s="1545"/>
      <c r="V1290" s="1545"/>
      <c r="W1290" s="1545"/>
      <c r="X1290" s="1545"/>
      <c r="Y1290" s="1545"/>
    </row>
    <row r="1291" spans="1:25">
      <c r="A1291" s="1544"/>
      <c r="B1291" s="1544"/>
      <c r="C1291" s="1544"/>
      <c r="D1291" s="1544"/>
      <c r="E1291" s="1544"/>
      <c r="R1291" s="1545"/>
      <c r="S1291" s="1545"/>
      <c r="T1291" s="1545"/>
      <c r="U1291" s="1545"/>
      <c r="V1291" s="1545"/>
      <c r="W1291" s="1545"/>
      <c r="X1291" s="1545"/>
      <c r="Y1291" s="1545"/>
    </row>
    <row r="1292" spans="1:25">
      <c r="A1292" s="1544"/>
      <c r="B1292" s="1544"/>
      <c r="C1292" s="1544"/>
      <c r="D1292" s="1544"/>
      <c r="E1292" s="1544"/>
      <c r="R1292" s="1545"/>
      <c r="S1292" s="1545"/>
      <c r="T1292" s="1545"/>
      <c r="U1292" s="1545"/>
      <c r="V1292" s="1545"/>
      <c r="W1292" s="1545"/>
      <c r="X1292" s="1545"/>
      <c r="Y1292" s="1545"/>
    </row>
    <row r="1293" spans="1:25">
      <c r="A1293" s="1544"/>
      <c r="B1293" s="1544"/>
      <c r="C1293" s="1544"/>
      <c r="D1293" s="1544"/>
      <c r="E1293" s="1544"/>
      <c r="R1293" s="1545"/>
      <c r="S1293" s="1545"/>
      <c r="T1293" s="1545"/>
      <c r="U1293" s="1545"/>
      <c r="V1293" s="1545"/>
      <c r="W1293" s="1545"/>
      <c r="X1293" s="1545"/>
      <c r="Y1293" s="1545"/>
    </row>
    <row r="1294" spans="1:25">
      <c r="A1294" s="1544"/>
      <c r="B1294" s="1544"/>
      <c r="C1294" s="1544"/>
      <c r="D1294" s="1544"/>
      <c r="E1294" s="1544"/>
      <c r="R1294" s="1545"/>
      <c r="S1294" s="1545"/>
      <c r="T1294" s="1545"/>
      <c r="U1294" s="1545"/>
      <c r="V1294" s="1545"/>
      <c r="W1294" s="1545"/>
      <c r="X1294" s="1545"/>
      <c r="Y1294" s="1545"/>
    </row>
    <row r="1295" spans="1:25">
      <c r="A1295" s="1544"/>
      <c r="B1295" s="1544"/>
      <c r="C1295" s="1544"/>
      <c r="D1295" s="1544"/>
      <c r="E1295" s="1544"/>
      <c r="R1295" s="1545"/>
      <c r="S1295" s="1545"/>
      <c r="T1295" s="1545"/>
      <c r="U1295" s="1545"/>
      <c r="V1295" s="1545"/>
      <c r="W1295" s="1545"/>
      <c r="X1295" s="1545"/>
      <c r="Y1295" s="1545"/>
    </row>
    <row r="1296" spans="1:25">
      <c r="A1296" s="1544"/>
      <c r="B1296" s="1544"/>
      <c r="C1296" s="1544"/>
      <c r="D1296" s="1544"/>
      <c r="E1296" s="1544"/>
      <c r="R1296" s="1545"/>
      <c r="S1296" s="1545"/>
      <c r="T1296" s="1545"/>
      <c r="U1296" s="1545"/>
      <c r="V1296" s="1545"/>
      <c r="W1296" s="1545"/>
      <c r="X1296" s="1545"/>
      <c r="Y1296" s="1545"/>
    </row>
    <row r="1297" spans="1:25">
      <c r="A1297" s="1544"/>
      <c r="B1297" s="1544"/>
      <c r="C1297" s="1544"/>
      <c r="D1297" s="1544"/>
      <c r="E1297" s="1544"/>
      <c r="R1297" s="1545"/>
      <c r="S1297" s="1545"/>
      <c r="T1297" s="1545"/>
      <c r="U1297" s="1545"/>
      <c r="V1297" s="1545"/>
      <c r="W1297" s="1545"/>
      <c r="X1297" s="1545"/>
      <c r="Y1297" s="1545"/>
    </row>
    <row r="1298" spans="1:25">
      <c r="A1298" s="1544"/>
      <c r="B1298" s="1544"/>
      <c r="C1298" s="1544"/>
      <c r="D1298" s="1544"/>
      <c r="E1298" s="1544"/>
      <c r="R1298" s="1545"/>
      <c r="S1298" s="1545"/>
      <c r="T1298" s="1545"/>
      <c r="U1298" s="1545"/>
      <c r="V1298" s="1545"/>
      <c r="W1298" s="1545"/>
      <c r="X1298" s="1545"/>
      <c r="Y1298" s="1545"/>
    </row>
    <row r="1299" spans="1:25">
      <c r="A1299" s="1544"/>
      <c r="B1299" s="1544"/>
      <c r="C1299" s="1544"/>
      <c r="D1299" s="1544"/>
      <c r="E1299" s="1544"/>
      <c r="R1299" s="1545"/>
      <c r="S1299" s="1545"/>
      <c r="T1299" s="1545"/>
      <c r="U1299" s="1545"/>
      <c r="V1299" s="1545"/>
      <c r="W1299" s="1545"/>
      <c r="X1299" s="1545"/>
      <c r="Y1299" s="1545"/>
    </row>
    <row r="1300" spans="1:25">
      <c r="A1300" s="1544"/>
      <c r="B1300" s="1544"/>
      <c r="C1300" s="1544"/>
      <c r="D1300" s="1544"/>
      <c r="E1300" s="1544"/>
      <c r="R1300" s="1545"/>
      <c r="S1300" s="1545"/>
      <c r="T1300" s="1545"/>
      <c r="U1300" s="1545"/>
      <c r="V1300" s="1545"/>
      <c r="W1300" s="1545"/>
      <c r="X1300" s="1545"/>
      <c r="Y1300" s="1545"/>
    </row>
    <row r="1301" spans="1:25">
      <c r="A1301" s="1544"/>
      <c r="B1301" s="1544"/>
      <c r="C1301" s="1544"/>
      <c r="D1301" s="1544"/>
      <c r="E1301" s="1544"/>
      <c r="R1301" s="1545"/>
      <c r="S1301" s="1545"/>
      <c r="T1301" s="1545"/>
      <c r="U1301" s="1545"/>
      <c r="V1301" s="1545"/>
      <c r="W1301" s="1545"/>
      <c r="X1301" s="1545"/>
      <c r="Y1301" s="1545"/>
    </row>
    <row r="1302" spans="1:25">
      <c r="A1302" s="1544"/>
      <c r="B1302" s="1544"/>
      <c r="C1302" s="1544"/>
      <c r="D1302" s="1544"/>
      <c r="E1302" s="1544"/>
      <c r="R1302" s="1545"/>
      <c r="S1302" s="1545"/>
      <c r="T1302" s="1545"/>
      <c r="U1302" s="1545"/>
      <c r="V1302" s="1545"/>
      <c r="W1302" s="1545"/>
      <c r="X1302" s="1545"/>
      <c r="Y1302" s="1545"/>
    </row>
    <row r="1303" spans="1:25">
      <c r="A1303" s="1544"/>
      <c r="B1303" s="1544"/>
      <c r="C1303" s="1544"/>
      <c r="D1303" s="1544"/>
      <c r="E1303" s="1544"/>
      <c r="R1303" s="1545"/>
      <c r="S1303" s="1545"/>
      <c r="T1303" s="1545"/>
      <c r="U1303" s="1545"/>
      <c r="V1303" s="1545"/>
      <c r="W1303" s="1545"/>
      <c r="X1303" s="1545"/>
      <c r="Y1303" s="1545"/>
    </row>
    <row r="1304" spans="1:25">
      <c r="A1304" s="1544"/>
      <c r="B1304" s="1544"/>
      <c r="C1304" s="1544"/>
      <c r="D1304" s="1544"/>
      <c r="E1304" s="1544"/>
      <c r="R1304" s="1545"/>
      <c r="S1304" s="1545"/>
      <c r="T1304" s="1545"/>
      <c r="U1304" s="1545"/>
      <c r="V1304" s="1545"/>
      <c r="W1304" s="1545"/>
      <c r="X1304" s="1545"/>
      <c r="Y1304" s="1545"/>
    </row>
    <row r="1305" spans="1:25">
      <c r="A1305" s="1544"/>
      <c r="B1305" s="1544"/>
      <c r="C1305" s="1544"/>
      <c r="D1305" s="1544"/>
      <c r="E1305" s="1544"/>
      <c r="R1305" s="1545"/>
      <c r="S1305" s="1545"/>
      <c r="T1305" s="1545"/>
      <c r="U1305" s="1545"/>
      <c r="V1305" s="1545"/>
      <c r="W1305" s="1545"/>
      <c r="X1305" s="1545"/>
      <c r="Y1305" s="1545"/>
    </row>
    <row r="1306" spans="1:25">
      <c r="A1306" s="1544"/>
      <c r="B1306" s="1544"/>
      <c r="C1306" s="1544"/>
      <c r="D1306" s="1544"/>
      <c r="E1306" s="1544"/>
      <c r="R1306" s="1545"/>
      <c r="S1306" s="1545"/>
      <c r="T1306" s="1545"/>
      <c r="U1306" s="1545"/>
      <c r="V1306" s="1545"/>
      <c r="W1306" s="1545"/>
      <c r="X1306" s="1545"/>
      <c r="Y1306" s="1545"/>
    </row>
    <row r="1307" spans="1:25">
      <c r="A1307" s="1544"/>
      <c r="B1307" s="1544"/>
      <c r="C1307" s="1544"/>
      <c r="D1307" s="1544"/>
      <c r="E1307" s="1544"/>
      <c r="R1307" s="1545"/>
      <c r="S1307" s="1545"/>
      <c r="T1307" s="1545"/>
      <c r="U1307" s="1545"/>
      <c r="V1307" s="1545"/>
      <c r="W1307" s="1545"/>
      <c r="X1307" s="1545"/>
      <c r="Y1307" s="1545"/>
    </row>
    <row r="1308" spans="1:25">
      <c r="A1308" s="1544"/>
      <c r="B1308" s="1544"/>
      <c r="C1308" s="1544"/>
      <c r="D1308" s="1544"/>
      <c r="E1308" s="1544"/>
      <c r="R1308" s="1545"/>
      <c r="S1308" s="1545"/>
      <c r="T1308" s="1545"/>
      <c r="U1308" s="1545"/>
      <c r="V1308" s="1545"/>
      <c r="W1308" s="1545"/>
      <c r="X1308" s="1545"/>
      <c r="Y1308" s="1545"/>
    </row>
    <row r="1309" spans="1:25">
      <c r="A1309" s="1544"/>
      <c r="B1309" s="1544"/>
      <c r="C1309" s="1544"/>
      <c r="D1309" s="1544"/>
      <c r="E1309" s="1544"/>
      <c r="R1309" s="1545"/>
      <c r="S1309" s="1545"/>
      <c r="T1309" s="1545"/>
      <c r="U1309" s="1545"/>
      <c r="V1309" s="1545"/>
      <c r="W1309" s="1545"/>
      <c r="X1309" s="1545"/>
      <c r="Y1309" s="1545"/>
    </row>
    <row r="1310" spans="1:25">
      <c r="A1310" s="1544"/>
      <c r="B1310" s="1544"/>
      <c r="C1310" s="1544"/>
      <c r="D1310" s="1544"/>
      <c r="E1310" s="1544"/>
      <c r="R1310" s="1545"/>
      <c r="S1310" s="1545"/>
      <c r="T1310" s="1545"/>
      <c r="U1310" s="1545"/>
      <c r="V1310" s="1545"/>
      <c r="W1310" s="1545"/>
      <c r="X1310" s="1545"/>
      <c r="Y1310" s="1545"/>
    </row>
    <row r="1311" spans="1:25">
      <c r="A1311" s="1544"/>
      <c r="B1311" s="1544"/>
      <c r="C1311" s="1544"/>
      <c r="D1311" s="1544"/>
      <c r="E1311" s="1544"/>
      <c r="R1311" s="1545"/>
      <c r="S1311" s="1545"/>
      <c r="T1311" s="1545"/>
      <c r="U1311" s="1545"/>
      <c r="V1311" s="1545"/>
      <c r="W1311" s="1545"/>
      <c r="X1311" s="1545"/>
      <c r="Y1311" s="1545"/>
    </row>
    <row r="1312" spans="1:25">
      <c r="A1312" s="1544"/>
      <c r="B1312" s="1544"/>
      <c r="C1312" s="1544"/>
      <c r="D1312" s="1544"/>
      <c r="E1312" s="1544"/>
      <c r="R1312" s="1545"/>
      <c r="S1312" s="1545"/>
      <c r="T1312" s="1545"/>
      <c r="U1312" s="1545"/>
      <c r="V1312" s="1545"/>
      <c r="W1312" s="1545"/>
      <c r="X1312" s="1545"/>
      <c r="Y1312" s="1545"/>
    </row>
    <row r="1313" spans="1:25">
      <c r="A1313" s="1544"/>
      <c r="B1313" s="1544"/>
      <c r="C1313" s="1544"/>
      <c r="D1313" s="1544"/>
      <c r="E1313" s="1544"/>
      <c r="R1313" s="1545"/>
      <c r="S1313" s="1545"/>
      <c r="T1313" s="1545"/>
      <c r="U1313" s="1545"/>
      <c r="V1313" s="1545"/>
      <c r="W1313" s="1545"/>
      <c r="X1313" s="1545"/>
      <c r="Y1313" s="1545"/>
    </row>
    <row r="1314" spans="1:25">
      <c r="A1314" s="1544"/>
      <c r="B1314" s="1544"/>
      <c r="C1314" s="1544"/>
      <c r="D1314" s="1544"/>
      <c r="E1314" s="1544"/>
      <c r="R1314" s="1545"/>
      <c r="S1314" s="1545"/>
      <c r="T1314" s="1545"/>
      <c r="U1314" s="1545"/>
      <c r="V1314" s="1545"/>
      <c r="W1314" s="1545"/>
      <c r="X1314" s="1545"/>
      <c r="Y1314" s="1545"/>
    </row>
    <row r="1315" spans="1:25">
      <c r="A1315" s="1544"/>
      <c r="B1315" s="1544"/>
      <c r="C1315" s="1544"/>
      <c r="D1315" s="1544"/>
      <c r="E1315" s="1544"/>
      <c r="R1315" s="1545"/>
      <c r="S1315" s="1545"/>
      <c r="T1315" s="1545"/>
      <c r="U1315" s="1545"/>
      <c r="V1315" s="1545"/>
      <c r="W1315" s="1545"/>
      <c r="X1315" s="1545"/>
      <c r="Y1315" s="1545"/>
    </row>
    <row r="1316" spans="1:25">
      <c r="A1316" s="1544"/>
      <c r="B1316" s="1544"/>
      <c r="C1316" s="1544"/>
      <c r="D1316" s="1544"/>
      <c r="E1316" s="1544"/>
      <c r="R1316" s="1545"/>
      <c r="S1316" s="1545"/>
      <c r="T1316" s="1545"/>
      <c r="U1316" s="1545"/>
      <c r="V1316" s="1545"/>
      <c r="W1316" s="1545"/>
      <c r="X1316" s="1545"/>
      <c r="Y1316" s="1545"/>
    </row>
    <row r="1317" spans="1:25">
      <c r="A1317" s="1544"/>
      <c r="B1317" s="1544"/>
      <c r="C1317" s="1544"/>
      <c r="D1317" s="1544"/>
      <c r="E1317" s="1544"/>
      <c r="R1317" s="1545"/>
      <c r="S1317" s="1545"/>
      <c r="T1317" s="1545"/>
      <c r="U1317" s="1545"/>
      <c r="V1317" s="1545"/>
      <c r="W1317" s="1545"/>
      <c r="X1317" s="1545"/>
      <c r="Y1317" s="1545"/>
    </row>
    <row r="1318" spans="1:25">
      <c r="A1318" s="1544"/>
      <c r="B1318" s="1544"/>
      <c r="C1318" s="1544"/>
      <c r="D1318" s="1544"/>
      <c r="E1318" s="1544"/>
      <c r="R1318" s="1545"/>
      <c r="S1318" s="1545"/>
      <c r="T1318" s="1545"/>
      <c r="U1318" s="1545"/>
      <c r="V1318" s="1545"/>
      <c r="W1318" s="1545"/>
      <c r="X1318" s="1545"/>
      <c r="Y1318" s="1545"/>
    </row>
    <row r="1319" spans="1:25">
      <c r="A1319" s="1544"/>
      <c r="B1319" s="1544"/>
      <c r="C1319" s="1544"/>
      <c r="D1319" s="1544"/>
      <c r="E1319" s="1544"/>
      <c r="R1319" s="1545"/>
      <c r="S1319" s="1545"/>
      <c r="T1319" s="1545"/>
      <c r="U1319" s="1545"/>
      <c r="V1319" s="1545"/>
      <c r="W1319" s="1545"/>
      <c r="X1319" s="1545"/>
      <c r="Y1319" s="1545"/>
    </row>
    <row r="1320" spans="1:25">
      <c r="A1320" s="1544"/>
      <c r="B1320" s="1544"/>
      <c r="C1320" s="1544"/>
      <c r="D1320" s="1544"/>
      <c r="E1320" s="1544"/>
      <c r="R1320" s="1545"/>
      <c r="S1320" s="1545"/>
      <c r="T1320" s="1545"/>
      <c r="U1320" s="1545"/>
      <c r="V1320" s="1545"/>
      <c r="W1320" s="1545"/>
      <c r="X1320" s="1545"/>
      <c r="Y1320" s="1545"/>
    </row>
    <row r="1321" spans="1:25">
      <c r="A1321" s="1544"/>
      <c r="B1321" s="1544"/>
      <c r="C1321" s="1544"/>
      <c r="D1321" s="1544"/>
      <c r="E1321" s="1544"/>
      <c r="R1321" s="1545"/>
      <c r="S1321" s="1545"/>
      <c r="T1321" s="1545"/>
      <c r="U1321" s="1545"/>
      <c r="V1321" s="1545"/>
      <c r="W1321" s="1545"/>
      <c r="X1321" s="1545"/>
      <c r="Y1321" s="1545"/>
    </row>
    <row r="1322" spans="1:25">
      <c r="A1322" s="1544"/>
      <c r="B1322" s="1544"/>
      <c r="C1322" s="1544"/>
      <c r="D1322" s="1544"/>
      <c r="E1322" s="1544"/>
      <c r="R1322" s="1545"/>
      <c r="S1322" s="1545"/>
      <c r="T1322" s="1545"/>
      <c r="U1322" s="1545"/>
      <c r="V1322" s="1545"/>
      <c r="W1322" s="1545"/>
      <c r="X1322" s="1545"/>
      <c r="Y1322" s="1545"/>
    </row>
    <row r="1323" spans="1:25">
      <c r="A1323" s="1544"/>
      <c r="B1323" s="1544"/>
      <c r="C1323" s="1544"/>
      <c r="D1323" s="1544"/>
      <c r="E1323" s="1544"/>
      <c r="R1323" s="1545"/>
      <c r="S1323" s="1545"/>
      <c r="T1323" s="1545"/>
      <c r="U1323" s="1545"/>
      <c r="V1323" s="1545"/>
      <c r="W1323" s="1545"/>
      <c r="X1323" s="1545"/>
      <c r="Y1323" s="1545"/>
    </row>
    <row r="1324" spans="1:25">
      <c r="A1324" s="1544"/>
      <c r="B1324" s="1544"/>
      <c r="C1324" s="1544"/>
      <c r="D1324" s="1544"/>
      <c r="E1324" s="1544"/>
      <c r="R1324" s="1545"/>
      <c r="S1324" s="1545"/>
      <c r="T1324" s="1545"/>
      <c r="U1324" s="1545"/>
      <c r="V1324" s="1545"/>
      <c r="W1324" s="1545"/>
      <c r="X1324" s="1545"/>
      <c r="Y1324" s="1545"/>
    </row>
    <row r="1325" spans="1:25">
      <c r="A1325" s="1544"/>
      <c r="B1325" s="1544"/>
      <c r="C1325" s="1544"/>
      <c r="D1325" s="1544"/>
      <c r="E1325" s="1544"/>
      <c r="R1325" s="1545"/>
      <c r="S1325" s="1545"/>
      <c r="T1325" s="1545"/>
      <c r="U1325" s="1545"/>
      <c r="V1325" s="1545"/>
      <c r="W1325" s="1545"/>
      <c r="X1325" s="1545"/>
      <c r="Y1325" s="1545"/>
    </row>
    <row r="1326" spans="1:25">
      <c r="A1326" s="1544"/>
      <c r="B1326" s="1544"/>
      <c r="C1326" s="1544"/>
      <c r="D1326" s="1544"/>
      <c r="E1326" s="1544"/>
      <c r="R1326" s="1545"/>
      <c r="S1326" s="1545"/>
      <c r="T1326" s="1545"/>
      <c r="U1326" s="1545"/>
      <c r="V1326" s="1545"/>
      <c r="W1326" s="1545"/>
      <c r="X1326" s="1545"/>
      <c r="Y1326" s="1545"/>
    </row>
    <row r="1327" spans="1:25">
      <c r="A1327" s="1544"/>
      <c r="B1327" s="1544"/>
      <c r="C1327" s="1544"/>
      <c r="D1327" s="1544"/>
      <c r="E1327" s="1544"/>
      <c r="R1327" s="1545"/>
      <c r="S1327" s="1545"/>
      <c r="T1327" s="1545"/>
      <c r="U1327" s="1545"/>
      <c r="V1327" s="1545"/>
      <c r="W1327" s="1545"/>
      <c r="X1327" s="1545"/>
      <c r="Y1327" s="1545"/>
    </row>
    <row r="1328" spans="1:25">
      <c r="A1328" s="1544"/>
      <c r="B1328" s="1544"/>
      <c r="C1328" s="1544"/>
      <c r="D1328" s="1544"/>
      <c r="E1328" s="1544"/>
      <c r="R1328" s="1545"/>
      <c r="S1328" s="1545"/>
      <c r="T1328" s="1545"/>
      <c r="U1328" s="1545"/>
      <c r="V1328" s="1545"/>
      <c r="W1328" s="1545"/>
      <c r="X1328" s="1545"/>
      <c r="Y1328" s="1545"/>
    </row>
    <row r="1329" spans="1:25">
      <c r="A1329" s="1544"/>
      <c r="B1329" s="1544"/>
      <c r="C1329" s="1544"/>
      <c r="D1329" s="1544"/>
      <c r="E1329" s="1544"/>
      <c r="R1329" s="1545"/>
      <c r="S1329" s="1545"/>
      <c r="T1329" s="1545"/>
      <c r="U1329" s="1545"/>
      <c r="V1329" s="1545"/>
      <c r="W1329" s="1545"/>
      <c r="X1329" s="1545"/>
      <c r="Y1329" s="1545"/>
    </row>
    <row r="1330" spans="1:25">
      <c r="A1330" s="1544"/>
      <c r="B1330" s="1544"/>
      <c r="C1330" s="1544"/>
      <c r="D1330" s="1544"/>
      <c r="E1330" s="1544"/>
      <c r="R1330" s="1545"/>
      <c r="S1330" s="1545"/>
      <c r="T1330" s="1545"/>
      <c r="U1330" s="1545"/>
      <c r="V1330" s="1545"/>
      <c r="W1330" s="1545"/>
      <c r="X1330" s="1545"/>
      <c r="Y1330" s="1545"/>
    </row>
    <row r="1331" spans="1:25">
      <c r="A1331" s="1544"/>
      <c r="B1331" s="1544"/>
      <c r="C1331" s="1544"/>
      <c r="D1331" s="1544"/>
      <c r="E1331" s="1544"/>
      <c r="R1331" s="1545"/>
      <c r="S1331" s="1545"/>
      <c r="T1331" s="1545"/>
      <c r="U1331" s="1545"/>
      <c r="V1331" s="1545"/>
      <c r="W1331" s="1545"/>
      <c r="X1331" s="1545"/>
      <c r="Y1331" s="1545"/>
    </row>
    <row r="1332" spans="1:25">
      <c r="A1332" s="1544"/>
      <c r="B1332" s="1544"/>
      <c r="C1332" s="1544"/>
      <c r="D1332" s="1544"/>
      <c r="E1332" s="1544"/>
      <c r="R1332" s="1545"/>
      <c r="S1332" s="1545"/>
      <c r="T1332" s="1545"/>
      <c r="U1332" s="1545"/>
      <c r="V1332" s="1545"/>
      <c r="W1332" s="1545"/>
      <c r="X1332" s="1545"/>
      <c r="Y1332" s="1545"/>
    </row>
    <row r="1333" spans="1:25">
      <c r="A1333" s="1544"/>
      <c r="B1333" s="1544"/>
      <c r="C1333" s="1544"/>
      <c r="D1333" s="1544"/>
      <c r="E1333" s="1544"/>
      <c r="R1333" s="1545"/>
      <c r="S1333" s="1545"/>
      <c r="T1333" s="1545"/>
      <c r="U1333" s="1545"/>
      <c r="V1333" s="1545"/>
      <c r="W1333" s="1545"/>
      <c r="X1333" s="1545"/>
      <c r="Y1333" s="1545"/>
    </row>
    <row r="1334" spans="1:25">
      <c r="A1334" s="1544"/>
      <c r="B1334" s="1544"/>
      <c r="C1334" s="1544"/>
      <c r="D1334" s="1544"/>
      <c r="E1334" s="1544"/>
      <c r="R1334" s="1545"/>
      <c r="S1334" s="1545"/>
      <c r="T1334" s="1545"/>
      <c r="U1334" s="1545"/>
      <c r="V1334" s="1545"/>
      <c r="W1334" s="1545"/>
      <c r="X1334" s="1545"/>
      <c r="Y1334" s="1545"/>
    </row>
    <row r="1335" spans="1:25">
      <c r="A1335" s="1544"/>
      <c r="B1335" s="1544"/>
      <c r="C1335" s="1544"/>
      <c r="D1335" s="1544"/>
      <c r="E1335" s="1544"/>
      <c r="R1335" s="1545"/>
      <c r="S1335" s="1545"/>
      <c r="T1335" s="1545"/>
      <c r="U1335" s="1545"/>
      <c r="V1335" s="1545"/>
      <c r="W1335" s="1545"/>
      <c r="X1335" s="1545"/>
      <c r="Y1335" s="1545"/>
    </row>
    <row r="1336" spans="1:25">
      <c r="A1336" s="1544"/>
      <c r="B1336" s="1544"/>
      <c r="C1336" s="1544"/>
      <c r="D1336" s="1544"/>
      <c r="E1336" s="1544"/>
      <c r="R1336" s="1545"/>
      <c r="S1336" s="1545"/>
      <c r="T1336" s="1545"/>
      <c r="U1336" s="1545"/>
      <c r="V1336" s="1545"/>
      <c r="W1336" s="1545"/>
      <c r="X1336" s="1545"/>
      <c r="Y1336" s="1545"/>
    </row>
    <row r="1337" spans="1:25">
      <c r="A1337" s="1544"/>
      <c r="B1337" s="1544"/>
      <c r="C1337" s="1544"/>
      <c r="D1337" s="1544"/>
      <c r="E1337" s="1544"/>
      <c r="R1337" s="1545"/>
      <c r="S1337" s="1545"/>
      <c r="T1337" s="1545"/>
      <c r="U1337" s="1545"/>
      <c r="V1337" s="1545"/>
      <c r="W1337" s="1545"/>
      <c r="X1337" s="1545"/>
      <c r="Y1337" s="1545"/>
    </row>
    <row r="1338" spans="1:25">
      <c r="A1338" s="1544"/>
      <c r="B1338" s="1544"/>
      <c r="C1338" s="1544"/>
      <c r="D1338" s="1544"/>
      <c r="E1338" s="1544"/>
      <c r="R1338" s="1545"/>
      <c r="S1338" s="1545"/>
      <c r="T1338" s="1545"/>
      <c r="U1338" s="1545"/>
      <c r="V1338" s="1545"/>
      <c r="W1338" s="1545"/>
      <c r="X1338" s="1545"/>
      <c r="Y1338" s="1545"/>
    </row>
    <row r="1339" spans="1:25">
      <c r="A1339" s="1544"/>
      <c r="B1339" s="1544"/>
      <c r="C1339" s="1544"/>
      <c r="D1339" s="1544"/>
      <c r="E1339" s="1544"/>
      <c r="R1339" s="1545"/>
      <c r="S1339" s="1545"/>
      <c r="T1339" s="1545"/>
      <c r="U1339" s="1545"/>
      <c r="V1339" s="1545"/>
      <c r="W1339" s="1545"/>
      <c r="X1339" s="1545"/>
      <c r="Y1339" s="1545"/>
    </row>
    <row r="1340" spans="1:25">
      <c r="A1340" s="1544"/>
      <c r="B1340" s="1544"/>
      <c r="C1340" s="1544"/>
      <c r="D1340" s="1544"/>
      <c r="E1340" s="1544"/>
      <c r="R1340" s="1545"/>
      <c r="S1340" s="1545"/>
      <c r="T1340" s="1545"/>
      <c r="U1340" s="1545"/>
      <c r="V1340" s="1545"/>
      <c r="W1340" s="1545"/>
      <c r="X1340" s="1545"/>
      <c r="Y1340" s="1545"/>
    </row>
    <row r="1341" spans="1:25">
      <c r="A1341" s="1544"/>
      <c r="B1341" s="1544"/>
      <c r="C1341" s="1544"/>
      <c r="D1341" s="1544"/>
      <c r="E1341" s="1544"/>
      <c r="R1341" s="1545"/>
      <c r="S1341" s="1545"/>
      <c r="T1341" s="1545"/>
      <c r="U1341" s="1545"/>
      <c r="V1341" s="1545"/>
      <c r="W1341" s="1545"/>
      <c r="X1341" s="1545"/>
      <c r="Y1341" s="1545"/>
    </row>
    <row r="1342" spans="1:25">
      <c r="A1342" s="1544"/>
      <c r="B1342" s="1544"/>
      <c r="C1342" s="1544"/>
      <c r="D1342" s="1544"/>
      <c r="E1342" s="1544"/>
      <c r="R1342" s="1545"/>
      <c r="S1342" s="1545"/>
      <c r="T1342" s="1545"/>
      <c r="U1342" s="1545"/>
      <c r="V1342" s="1545"/>
      <c r="W1342" s="1545"/>
      <c r="X1342" s="1545"/>
      <c r="Y1342" s="1545"/>
    </row>
    <row r="1343" spans="1:25">
      <c r="A1343" s="1544"/>
      <c r="B1343" s="1544"/>
      <c r="C1343" s="1544"/>
      <c r="D1343" s="1544"/>
      <c r="E1343" s="1544"/>
      <c r="R1343" s="1545"/>
      <c r="S1343" s="1545"/>
      <c r="T1343" s="1545"/>
      <c r="U1343" s="1545"/>
      <c r="V1343" s="1545"/>
      <c r="W1343" s="1545"/>
      <c r="X1343" s="1545"/>
      <c r="Y1343" s="1545"/>
    </row>
    <row r="1344" spans="1:25">
      <c r="A1344" s="1544"/>
      <c r="B1344" s="1544"/>
      <c r="C1344" s="1544"/>
      <c r="D1344" s="1544"/>
      <c r="E1344" s="1544"/>
      <c r="R1344" s="1545"/>
      <c r="S1344" s="1545"/>
      <c r="T1344" s="1545"/>
      <c r="U1344" s="1545"/>
      <c r="V1344" s="1545"/>
      <c r="W1344" s="1545"/>
      <c r="X1344" s="1545"/>
      <c r="Y1344" s="1545"/>
    </row>
    <row r="1345" spans="1:25">
      <c r="A1345" s="1544"/>
      <c r="B1345" s="1544"/>
      <c r="C1345" s="1544"/>
      <c r="D1345" s="1544"/>
      <c r="E1345" s="1544"/>
      <c r="R1345" s="1545"/>
      <c r="S1345" s="1545"/>
      <c r="T1345" s="1545"/>
      <c r="U1345" s="1545"/>
      <c r="V1345" s="1545"/>
      <c r="W1345" s="1545"/>
      <c r="X1345" s="1545"/>
      <c r="Y1345" s="1545"/>
    </row>
    <row r="1346" spans="1:25">
      <c r="A1346" s="1544"/>
      <c r="B1346" s="1544"/>
      <c r="C1346" s="1544"/>
      <c r="D1346" s="1544"/>
      <c r="E1346" s="1544"/>
      <c r="R1346" s="1545"/>
      <c r="S1346" s="1545"/>
      <c r="T1346" s="1545"/>
      <c r="U1346" s="1545"/>
      <c r="V1346" s="1545"/>
      <c r="W1346" s="1545"/>
      <c r="X1346" s="1545"/>
      <c r="Y1346" s="1545"/>
    </row>
    <row r="1347" spans="1:25">
      <c r="A1347" s="1544"/>
      <c r="B1347" s="1544"/>
      <c r="C1347" s="1544"/>
      <c r="D1347" s="1544"/>
      <c r="E1347" s="1544"/>
      <c r="R1347" s="1545"/>
      <c r="S1347" s="1545"/>
      <c r="T1347" s="1545"/>
      <c r="U1347" s="1545"/>
      <c r="V1347" s="1545"/>
      <c r="W1347" s="1545"/>
      <c r="X1347" s="1545"/>
      <c r="Y1347" s="1545"/>
    </row>
    <row r="1348" spans="1:25">
      <c r="A1348" s="1544"/>
      <c r="B1348" s="1544"/>
      <c r="C1348" s="1544"/>
      <c r="D1348" s="1544"/>
      <c r="E1348" s="1544"/>
      <c r="R1348" s="1545"/>
      <c r="S1348" s="1545"/>
      <c r="T1348" s="1545"/>
      <c r="U1348" s="1545"/>
      <c r="V1348" s="1545"/>
      <c r="W1348" s="1545"/>
      <c r="X1348" s="1545"/>
      <c r="Y1348" s="1545"/>
    </row>
    <row r="1349" spans="1:25">
      <c r="A1349" s="1544"/>
      <c r="B1349" s="1544"/>
      <c r="C1349" s="1544"/>
      <c r="D1349" s="1544"/>
      <c r="E1349" s="1544"/>
      <c r="R1349" s="1545"/>
      <c r="S1349" s="1545"/>
      <c r="T1349" s="1545"/>
      <c r="U1349" s="1545"/>
      <c r="V1349" s="1545"/>
      <c r="W1349" s="1545"/>
      <c r="X1349" s="1545"/>
      <c r="Y1349" s="1545"/>
    </row>
    <row r="1350" spans="1:25">
      <c r="A1350" s="1544"/>
      <c r="B1350" s="1544"/>
      <c r="C1350" s="1544"/>
      <c r="D1350" s="1544"/>
      <c r="E1350" s="1544"/>
      <c r="R1350" s="1545"/>
      <c r="S1350" s="1545"/>
      <c r="T1350" s="1545"/>
      <c r="U1350" s="1545"/>
      <c r="V1350" s="1545"/>
      <c r="W1350" s="1545"/>
      <c r="X1350" s="1545"/>
      <c r="Y1350" s="1545"/>
    </row>
    <row r="1351" spans="1:25">
      <c r="A1351" s="1544"/>
      <c r="B1351" s="1544"/>
      <c r="C1351" s="1544"/>
      <c r="D1351" s="1544"/>
      <c r="E1351" s="1544"/>
      <c r="R1351" s="1545"/>
      <c r="S1351" s="1545"/>
      <c r="T1351" s="1545"/>
      <c r="U1351" s="1545"/>
      <c r="V1351" s="1545"/>
      <c r="W1351" s="1545"/>
      <c r="X1351" s="1545"/>
      <c r="Y1351" s="1545"/>
    </row>
    <row r="1352" spans="1:25">
      <c r="A1352" s="1544"/>
      <c r="B1352" s="1544"/>
      <c r="C1352" s="1544"/>
      <c r="D1352" s="1544"/>
      <c r="E1352" s="1544"/>
      <c r="R1352" s="1545"/>
      <c r="S1352" s="1545"/>
      <c r="T1352" s="1545"/>
      <c r="U1352" s="1545"/>
      <c r="V1352" s="1545"/>
      <c r="W1352" s="1545"/>
      <c r="X1352" s="1545"/>
      <c r="Y1352" s="1545"/>
    </row>
    <row r="1353" spans="1:25">
      <c r="A1353" s="1544"/>
      <c r="B1353" s="1544"/>
      <c r="C1353" s="1544"/>
      <c r="D1353" s="1544"/>
      <c r="E1353" s="1544"/>
      <c r="R1353" s="1545"/>
      <c r="S1353" s="1545"/>
      <c r="T1353" s="1545"/>
      <c r="U1353" s="1545"/>
      <c r="V1353" s="1545"/>
      <c r="W1353" s="1545"/>
      <c r="X1353" s="1545"/>
      <c r="Y1353" s="1545"/>
    </row>
    <row r="1354" spans="1:25">
      <c r="A1354" s="1544"/>
      <c r="B1354" s="1544"/>
      <c r="C1354" s="1544"/>
      <c r="D1354" s="1544"/>
      <c r="E1354" s="1544"/>
      <c r="R1354" s="1545"/>
      <c r="S1354" s="1545"/>
      <c r="T1354" s="1545"/>
      <c r="U1354" s="1545"/>
      <c r="V1354" s="1545"/>
      <c r="W1354" s="1545"/>
      <c r="X1354" s="1545"/>
      <c r="Y1354" s="1545"/>
    </row>
    <row r="1355" spans="1:25">
      <c r="A1355" s="1544"/>
      <c r="B1355" s="1544"/>
      <c r="C1355" s="1544"/>
      <c r="D1355" s="1544"/>
      <c r="E1355" s="1544"/>
      <c r="R1355" s="1545"/>
      <c r="S1355" s="1545"/>
      <c r="T1355" s="1545"/>
      <c r="U1355" s="1545"/>
      <c r="V1355" s="1545"/>
      <c r="W1355" s="1545"/>
      <c r="X1355" s="1545"/>
      <c r="Y1355" s="1545"/>
    </row>
    <row r="1356" spans="1:25">
      <c r="A1356" s="1544"/>
      <c r="B1356" s="1544"/>
      <c r="C1356" s="1544"/>
      <c r="D1356" s="1544"/>
      <c r="E1356" s="1544"/>
      <c r="R1356" s="1545"/>
      <c r="S1356" s="1545"/>
      <c r="T1356" s="1545"/>
      <c r="U1356" s="1545"/>
      <c r="V1356" s="1545"/>
      <c r="W1356" s="1545"/>
      <c r="X1356" s="1545"/>
      <c r="Y1356" s="1545"/>
    </row>
    <row r="1357" spans="1:25">
      <c r="A1357" s="1544"/>
      <c r="B1357" s="1544"/>
      <c r="C1357" s="1544"/>
      <c r="D1357" s="1544"/>
      <c r="E1357" s="1544"/>
      <c r="R1357" s="1545"/>
      <c r="S1357" s="1545"/>
      <c r="T1357" s="1545"/>
      <c r="U1357" s="1545"/>
      <c r="V1357" s="1545"/>
      <c r="W1357" s="1545"/>
      <c r="X1357" s="1545"/>
      <c r="Y1357" s="1545"/>
    </row>
    <row r="1358" spans="1:25">
      <c r="A1358" s="1544"/>
      <c r="B1358" s="1544"/>
      <c r="C1358" s="1544"/>
      <c r="D1358" s="1544"/>
      <c r="E1358" s="1544"/>
      <c r="R1358" s="1545"/>
      <c r="S1358" s="1545"/>
      <c r="T1358" s="1545"/>
      <c r="U1358" s="1545"/>
      <c r="V1358" s="1545"/>
      <c r="W1358" s="1545"/>
      <c r="X1358" s="1545"/>
      <c r="Y1358" s="1545"/>
    </row>
    <row r="1359" spans="1:25">
      <c r="A1359" s="1544"/>
      <c r="B1359" s="1544"/>
      <c r="C1359" s="1544"/>
      <c r="D1359" s="1544"/>
      <c r="E1359" s="1544"/>
      <c r="R1359" s="1545"/>
      <c r="S1359" s="1545"/>
      <c r="T1359" s="1545"/>
      <c r="U1359" s="1545"/>
      <c r="V1359" s="1545"/>
      <c r="W1359" s="1545"/>
      <c r="X1359" s="1545"/>
      <c r="Y1359" s="1545"/>
    </row>
    <row r="1360" spans="1:25">
      <c r="A1360" s="1544"/>
      <c r="B1360" s="1544"/>
      <c r="C1360" s="1544"/>
      <c r="D1360" s="1544"/>
      <c r="E1360" s="1544"/>
      <c r="R1360" s="1545"/>
      <c r="S1360" s="1545"/>
      <c r="T1360" s="1545"/>
      <c r="U1360" s="1545"/>
      <c r="V1360" s="1545"/>
      <c r="W1360" s="1545"/>
      <c r="X1360" s="1545"/>
      <c r="Y1360" s="1545"/>
    </row>
    <row r="1361" spans="1:25">
      <c r="A1361" s="1544"/>
      <c r="B1361" s="1544"/>
      <c r="C1361" s="1544"/>
      <c r="D1361" s="1544"/>
      <c r="E1361" s="1544"/>
      <c r="R1361" s="1545"/>
      <c r="S1361" s="1545"/>
      <c r="T1361" s="1545"/>
      <c r="U1361" s="1545"/>
      <c r="V1361" s="1545"/>
      <c r="W1361" s="1545"/>
      <c r="X1361" s="1545"/>
      <c r="Y1361" s="1545"/>
    </row>
    <row r="1362" spans="1:25">
      <c r="A1362" s="1544"/>
      <c r="B1362" s="1544"/>
      <c r="C1362" s="1544"/>
      <c r="D1362" s="1544"/>
      <c r="E1362" s="1544"/>
      <c r="R1362" s="1545"/>
      <c r="S1362" s="1545"/>
      <c r="T1362" s="1545"/>
      <c r="U1362" s="1545"/>
      <c r="V1362" s="1545"/>
      <c r="W1362" s="1545"/>
      <c r="X1362" s="1545"/>
      <c r="Y1362" s="1545"/>
    </row>
    <row r="1363" spans="1:25">
      <c r="A1363" s="1544"/>
      <c r="B1363" s="1544"/>
      <c r="C1363" s="1544"/>
      <c r="D1363" s="1544"/>
      <c r="E1363" s="1544"/>
      <c r="R1363" s="1545"/>
      <c r="S1363" s="1545"/>
      <c r="T1363" s="1545"/>
      <c r="U1363" s="1545"/>
      <c r="V1363" s="1545"/>
      <c r="W1363" s="1545"/>
      <c r="X1363" s="1545"/>
      <c r="Y1363" s="1545"/>
    </row>
    <row r="1364" spans="1:25">
      <c r="A1364" s="1544"/>
      <c r="B1364" s="1544"/>
      <c r="C1364" s="1544"/>
      <c r="D1364" s="1544"/>
      <c r="E1364" s="1544"/>
      <c r="R1364" s="1545"/>
      <c r="S1364" s="1545"/>
      <c r="T1364" s="1545"/>
      <c r="U1364" s="1545"/>
      <c r="V1364" s="1545"/>
      <c r="W1364" s="1545"/>
      <c r="X1364" s="1545"/>
      <c r="Y1364" s="1545"/>
    </row>
    <row r="1365" spans="1:25">
      <c r="A1365" s="1544"/>
      <c r="B1365" s="1544"/>
      <c r="C1365" s="1544"/>
      <c r="D1365" s="1544"/>
      <c r="E1365" s="1544"/>
      <c r="R1365" s="1545"/>
      <c r="S1365" s="1545"/>
      <c r="T1365" s="1545"/>
      <c r="U1365" s="1545"/>
      <c r="V1365" s="1545"/>
      <c r="W1365" s="1545"/>
      <c r="X1365" s="1545"/>
      <c r="Y1365" s="1545"/>
    </row>
    <row r="1366" spans="1:25">
      <c r="A1366" s="1544"/>
      <c r="B1366" s="1544"/>
      <c r="C1366" s="1544"/>
      <c r="D1366" s="1544"/>
      <c r="E1366" s="1544"/>
      <c r="R1366" s="1545"/>
      <c r="S1366" s="1545"/>
      <c r="T1366" s="1545"/>
      <c r="U1366" s="1545"/>
      <c r="V1366" s="1545"/>
      <c r="W1366" s="1545"/>
      <c r="X1366" s="1545"/>
      <c r="Y1366" s="1545"/>
    </row>
    <row r="1367" spans="1:25">
      <c r="A1367" s="1544"/>
      <c r="B1367" s="1544"/>
      <c r="C1367" s="1544"/>
      <c r="D1367" s="1544"/>
      <c r="E1367" s="1544"/>
      <c r="R1367" s="1545"/>
      <c r="S1367" s="1545"/>
      <c r="T1367" s="1545"/>
      <c r="U1367" s="1545"/>
      <c r="V1367" s="1545"/>
      <c r="W1367" s="1545"/>
      <c r="X1367" s="1545"/>
      <c r="Y1367" s="1545"/>
    </row>
    <row r="1368" spans="1:25">
      <c r="A1368" s="1544"/>
      <c r="B1368" s="1544"/>
      <c r="C1368" s="1544"/>
      <c r="D1368" s="1544"/>
      <c r="E1368" s="1544"/>
      <c r="R1368" s="1545"/>
      <c r="S1368" s="1545"/>
      <c r="T1368" s="1545"/>
      <c r="U1368" s="1545"/>
      <c r="V1368" s="1545"/>
      <c r="W1368" s="1545"/>
      <c r="X1368" s="1545"/>
      <c r="Y1368" s="1545"/>
    </row>
    <row r="1369" spans="1:25">
      <c r="A1369" s="1544"/>
      <c r="B1369" s="1544"/>
      <c r="C1369" s="1544"/>
      <c r="D1369" s="1544"/>
      <c r="E1369" s="1544"/>
      <c r="R1369" s="1545"/>
      <c r="S1369" s="1545"/>
      <c r="T1369" s="1545"/>
      <c r="U1369" s="1545"/>
      <c r="V1369" s="1545"/>
      <c r="W1369" s="1545"/>
      <c r="X1369" s="1545"/>
      <c r="Y1369" s="1545"/>
    </row>
    <row r="1370" spans="1:25">
      <c r="A1370" s="1544"/>
      <c r="B1370" s="1544"/>
      <c r="C1370" s="1544"/>
      <c r="D1370" s="1544"/>
      <c r="E1370" s="1544"/>
      <c r="R1370" s="1545"/>
      <c r="S1370" s="1545"/>
      <c r="T1370" s="1545"/>
      <c r="U1370" s="1545"/>
      <c r="V1370" s="1545"/>
      <c r="W1370" s="1545"/>
      <c r="X1370" s="1545"/>
      <c r="Y1370" s="1545"/>
    </row>
    <row r="1371" spans="1:25">
      <c r="A1371" s="1544"/>
      <c r="B1371" s="1544"/>
      <c r="C1371" s="1544"/>
      <c r="D1371" s="1544"/>
      <c r="E1371" s="1544"/>
      <c r="R1371" s="1545"/>
      <c r="S1371" s="1545"/>
      <c r="T1371" s="1545"/>
      <c r="U1371" s="1545"/>
      <c r="V1371" s="1545"/>
      <c r="W1371" s="1545"/>
      <c r="X1371" s="1545"/>
      <c r="Y1371" s="1545"/>
    </row>
    <row r="1372" spans="1:25">
      <c r="A1372" s="1544"/>
      <c r="B1372" s="1544"/>
      <c r="C1372" s="1544"/>
      <c r="D1372" s="1544"/>
      <c r="E1372" s="1544"/>
      <c r="R1372" s="1545"/>
      <c r="S1372" s="1545"/>
      <c r="T1372" s="1545"/>
      <c r="U1372" s="1545"/>
      <c r="V1372" s="1545"/>
      <c r="W1372" s="1545"/>
      <c r="X1372" s="1545"/>
      <c r="Y1372" s="1545"/>
    </row>
    <row r="1373" spans="1:25">
      <c r="A1373" s="1544"/>
      <c r="B1373" s="1544"/>
      <c r="C1373" s="1544"/>
      <c r="D1373" s="1544"/>
      <c r="E1373" s="1544"/>
      <c r="R1373" s="1545"/>
      <c r="S1373" s="1545"/>
      <c r="T1373" s="1545"/>
      <c r="U1373" s="1545"/>
      <c r="V1373" s="1545"/>
      <c r="W1373" s="1545"/>
      <c r="X1373" s="1545"/>
      <c r="Y1373" s="1545"/>
    </row>
    <row r="1374" spans="1:25">
      <c r="A1374" s="1544"/>
      <c r="B1374" s="1544"/>
      <c r="C1374" s="1544"/>
      <c r="D1374" s="1544"/>
      <c r="E1374" s="1544"/>
      <c r="R1374" s="1545"/>
      <c r="S1374" s="1545"/>
      <c r="T1374" s="1545"/>
      <c r="U1374" s="1545"/>
      <c r="V1374" s="1545"/>
      <c r="W1374" s="1545"/>
      <c r="X1374" s="1545"/>
      <c r="Y1374" s="1545"/>
    </row>
    <row r="1375" spans="1:25">
      <c r="A1375" s="1544"/>
      <c r="B1375" s="1544"/>
      <c r="C1375" s="1544"/>
      <c r="D1375" s="1544"/>
      <c r="E1375" s="1544"/>
      <c r="R1375" s="1545"/>
      <c r="S1375" s="1545"/>
      <c r="T1375" s="1545"/>
      <c r="U1375" s="1545"/>
      <c r="V1375" s="1545"/>
      <c r="W1375" s="1545"/>
      <c r="X1375" s="1545"/>
      <c r="Y1375" s="1545"/>
    </row>
    <row r="1376" spans="1:25">
      <c r="A1376" s="1544"/>
      <c r="B1376" s="1544"/>
      <c r="C1376" s="1544"/>
      <c r="D1376" s="1544"/>
      <c r="E1376" s="1544"/>
      <c r="R1376" s="1545"/>
      <c r="S1376" s="1545"/>
      <c r="T1376" s="1545"/>
      <c r="U1376" s="1545"/>
      <c r="V1376" s="1545"/>
      <c r="W1376" s="1545"/>
      <c r="X1376" s="1545"/>
      <c r="Y1376" s="1545"/>
    </row>
    <row r="1377" spans="1:25">
      <c r="A1377" s="1544"/>
      <c r="B1377" s="1544"/>
      <c r="C1377" s="1544"/>
      <c r="D1377" s="1544"/>
      <c r="E1377" s="1544"/>
      <c r="R1377" s="1545"/>
      <c r="S1377" s="1545"/>
      <c r="T1377" s="1545"/>
      <c r="U1377" s="1545"/>
      <c r="V1377" s="1545"/>
      <c r="W1377" s="1545"/>
      <c r="X1377" s="1545"/>
      <c r="Y1377" s="1545"/>
    </row>
    <row r="1378" spans="1:25">
      <c r="A1378" s="1544"/>
      <c r="B1378" s="1544"/>
      <c r="C1378" s="1544"/>
      <c r="D1378" s="1544"/>
      <c r="E1378" s="1544"/>
      <c r="R1378" s="1545"/>
      <c r="S1378" s="1545"/>
      <c r="T1378" s="1545"/>
      <c r="U1378" s="1545"/>
      <c r="V1378" s="1545"/>
      <c r="W1378" s="1545"/>
      <c r="X1378" s="1545"/>
      <c r="Y1378" s="1545"/>
    </row>
    <row r="1379" spans="1:25">
      <c r="A1379" s="1544"/>
      <c r="B1379" s="1544"/>
      <c r="C1379" s="1544"/>
      <c r="D1379" s="1544"/>
      <c r="E1379" s="1544"/>
      <c r="R1379" s="1545"/>
      <c r="S1379" s="1545"/>
      <c r="T1379" s="1545"/>
      <c r="U1379" s="1545"/>
      <c r="V1379" s="1545"/>
      <c r="W1379" s="1545"/>
      <c r="X1379" s="1545"/>
      <c r="Y1379" s="1545"/>
    </row>
    <row r="1380" spans="1:25">
      <c r="A1380" s="1544"/>
      <c r="B1380" s="1544"/>
      <c r="C1380" s="1544"/>
      <c r="D1380" s="1544"/>
      <c r="E1380" s="1544"/>
      <c r="R1380" s="1545"/>
      <c r="S1380" s="1545"/>
      <c r="T1380" s="1545"/>
      <c r="U1380" s="1545"/>
      <c r="V1380" s="1545"/>
      <c r="W1380" s="1545"/>
      <c r="X1380" s="1545"/>
      <c r="Y1380" s="1545"/>
    </row>
    <row r="1381" spans="1:25">
      <c r="A1381" s="1544"/>
      <c r="B1381" s="1544"/>
      <c r="C1381" s="1544"/>
      <c r="D1381" s="1544"/>
      <c r="E1381" s="1544"/>
      <c r="R1381" s="1545"/>
      <c r="S1381" s="1545"/>
      <c r="T1381" s="1545"/>
      <c r="U1381" s="1545"/>
      <c r="V1381" s="1545"/>
      <c r="W1381" s="1545"/>
      <c r="X1381" s="1545"/>
      <c r="Y1381" s="1545"/>
    </row>
    <row r="1382" spans="1:25">
      <c r="A1382" s="1544"/>
      <c r="B1382" s="1544"/>
      <c r="C1382" s="1544"/>
      <c r="D1382" s="1544"/>
      <c r="E1382" s="1544"/>
      <c r="R1382" s="1545"/>
      <c r="S1382" s="1545"/>
      <c r="T1382" s="1545"/>
      <c r="U1382" s="1545"/>
      <c r="V1382" s="1545"/>
      <c r="W1382" s="1545"/>
      <c r="X1382" s="1545"/>
      <c r="Y1382" s="1545"/>
    </row>
    <row r="1383" spans="1:25">
      <c r="A1383" s="1544"/>
      <c r="B1383" s="1544"/>
      <c r="C1383" s="1544"/>
      <c r="D1383" s="1544"/>
      <c r="E1383" s="1544"/>
      <c r="R1383" s="1545"/>
      <c r="S1383" s="1545"/>
      <c r="T1383" s="1545"/>
      <c r="U1383" s="1545"/>
      <c r="V1383" s="1545"/>
      <c r="W1383" s="1545"/>
      <c r="X1383" s="1545"/>
      <c r="Y1383" s="1545"/>
    </row>
    <row r="1384" spans="1:25">
      <c r="A1384" s="1544"/>
      <c r="B1384" s="1544"/>
      <c r="C1384" s="1544"/>
      <c r="D1384" s="1544"/>
      <c r="E1384" s="1544"/>
      <c r="R1384" s="1545"/>
      <c r="S1384" s="1545"/>
      <c r="T1384" s="1545"/>
      <c r="U1384" s="1545"/>
      <c r="V1384" s="1545"/>
      <c r="W1384" s="1545"/>
      <c r="X1384" s="1545"/>
      <c r="Y1384" s="1545"/>
    </row>
    <row r="1385" spans="1:25">
      <c r="A1385" s="1544"/>
      <c r="B1385" s="1544"/>
      <c r="C1385" s="1544"/>
      <c r="D1385" s="1544"/>
      <c r="E1385" s="1544"/>
      <c r="R1385" s="1545"/>
      <c r="S1385" s="1545"/>
      <c r="T1385" s="1545"/>
      <c r="U1385" s="1545"/>
      <c r="V1385" s="1545"/>
      <c r="W1385" s="1545"/>
      <c r="X1385" s="1545"/>
      <c r="Y1385" s="1545"/>
    </row>
    <row r="1386" spans="1:25">
      <c r="A1386" s="1544"/>
      <c r="B1386" s="1544"/>
      <c r="C1386" s="1544"/>
      <c r="D1386" s="1544"/>
      <c r="E1386" s="1544"/>
      <c r="R1386" s="1545"/>
      <c r="S1386" s="1545"/>
      <c r="T1386" s="1545"/>
      <c r="U1386" s="1545"/>
      <c r="V1386" s="1545"/>
      <c r="W1386" s="1545"/>
      <c r="X1386" s="1545"/>
      <c r="Y1386" s="1545"/>
    </row>
    <row r="1387" spans="1:25">
      <c r="A1387" s="1544"/>
      <c r="B1387" s="1544"/>
      <c r="C1387" s="1544"/>
      <c r="D1387" s="1544"/>
      <c r="E1387" s="1544"/>
      <c r="R1387" s="1545"/>
      <c r="S1387" s="1545"/>
      <c r="T1387" s="1545"/>
      <c r="U1387" s="1545"/>
      <c r="V1387" s="1545"/>
      <c r="W1387" s="1545"/>
      <c r="X1387" s="1545"/>
      <c r="Y1387" s="1545"/>
    </row>
    <row r="1388" spans="1:25">
      <c r="A1388" s="1544"/>
      <c r="B1388" s="1544"/>
      <c r="C1388" s="1544"/>
      <c r="D1388" s="1544"/>
      <c r="E1388" s="1544"/>
      <c r="R1388" s="1545"/>
      <c r="S1388" s="1545"/>
      <c r="T1388" s="1545"/>
      <c r="U1388" s="1545"/>
      <c r="V1388" s="1545"/>
      <c r="W1388" s="1545"/>
      <c r="X1388" s="1545"/>
      <c r="Y1388" s="1545"/>
    </row>
    <row r="1389" spans="1:25">
      <c r="A1389" s="1544"/>
      <c r="B1389" s="1544"/>
      <c r="C1389" s="1544"/>
      <c r="D1389" s="1544"/>
      <c r="E1389" s="1544"/>
      <c r="R1389" s="1545"/>
      <c r="S1389" s="1545"/>
      <c r="T1389" s="1545"/>
      <c r="U1389" s="1545"/>
      <c r="V1389" s="1545"/>
      <c r="W1389" s="1545"/>
      <c r="X1389" s="1545"/>
      <c r="Y1389" s="1545"/>
    </row>
    <row r="1390" spans="1:25">
      <c r="A1390" s="1544"/>
      <c r="B1390" s="1544"/>
      <c r="C1390" s="1544"/>
      <c r="D1390" s="1544"/>
      <c r="E1390" s="1544"/>
      <c r="R1390" s="1545"/>
      <c r="S1390" s="1545"/>
      <c r="T1390" s="1545"/>
      <c r="U1390" s="1545"/>
      <c r="V1390" s="1545"/>
      <c r="W1390" s="1545"/>
      <c r="X1390" s="1545"/>
      <c r="Y1390" s="1545"/>
    </row>
    <row r="1391" spans="1:25">
      <c r="A1391" s="1544"/>
      <c r="B1391" s="1544"/>
      <c r="C1391" s="1544"/>
      <c r="D1391" s="1544"/>
      <c r="E1391" s="1544"/>
      <c r="R1391" s="1545"/>
      <c r="S1391" s="1545"/>
      <c r="T1391" s="1545"/>
      <c r="U1391" s="1545"/>
      <c r="V1391" s="1545"/>
      <c r="W1391" s="1545"/>
      <c r="X1391" s="1545"/>
      <c r="Y1391" s="1545"/>
    </row>
    <row r="1392" spans="1:25">
      <c r="A1392" s="1544"/>
      <c r="B1392" s="1544"/>
      <c r="C1392" s="1544"/>
      <c r="D1392" s="1544"/>
      <c r="E1392" s="1544"/>
      <c r="R1392" s="1545"/>
      <c r="S1392" s="1545"/>
      <c r="T1392" s="1545"/>
      <c r="U1392" s="1545"/>
      <c r="V1392" s="1545"/>
      <c r="W1392" s="1545"/>
      <c r="X1392" s="1545"/>
      <c r="Y1392" s="1545"/>
    </row>
    <row r="1393" spans="1:25">
      <c r="A1393" s="1544"/>
      <c r="B1393" s="1544"/>
      <c r="C1393" s="1544"/>
      <c r="D1393" s="1544"/>
      <c r="E1393" s="1544"/>
      <c r="R1393" s="1545"/>
      <c r="S1393" s="1545"/>
      <c r="T1393" s="1545"/>
      <c r="U1393" s="1545"/>
      <c r="V1393" s="1545"/>
      <c r="W1393" s="1545"/>
      <c r="X1393" s="1545"/>
      <c r="Y1393" s="1545"/>
    </row>
    <row r="1394" spans="1:25">
      <c r="A1394" s="1544"/>
      <c r="B1394" s="1544"/>
      <c r="C1394" s="1544"/>
      <c r="D1394" s="1544"/>
      <c r="E1394" s="1544"/>
      <c r="R1394" s="1545"/>
      <c r="S1394" s="1545"/>
      <c r="T1394" s="1545"/>
      <c r="U1394" s="1545"/>
      <c r="V1394" s="1545"/>
      <c r="W1394" s="1545"/>
      <c r="X1394" s="1545"/>
      <c r="Y1394" s="1545"/>
    </row>
    <row r="1395" spans="1:25">
      <c r="A1395" s="1544"/>
      <c r="B1395" s="1544"/>
      <c r="C1395" s="1544"/>
      <c r="D1395" s="1544"/>
      <c r="E1395" s="1544"/>
      <c r="R1395" s="1545"/>
      <c r="S1395" s="1545"/>
      <c r="T1395" s="1545"/>
      <c r="U1395" s="1545"/>
      <c r="V1395" s="1545"/>
      <c r="W1395" s="1545"/>
      <c r="X1395" s="1545"/>
      <c r="Y1395" s="1545"/>
    </row>
    <row r="1396" spans="1:25">
      <c r="A1396" s="1544"/>
      <c r="B1396" s="1544"/>
      <c r="C1396" s="1544"/>
      <c r="D1396" s="1544"/>
      <c r="E1396" s="1544"/>
      <c r="R1396" s="1545"/>
      <c r="S1396" s="1545"/>
      <c r="T1396" s="1545"/>
      <c r="U1396" s="1545"/>
      <c r="V1396" s="1545"/>
      <c r="W1396" s="1545"/>
      <c r="X1396" s="1545"/>
      <c r="Y1396" s="1545"/>
    </row>
    <row r="1397" spans="1:25">
      <c r="A1397" s="1544"/>
      <c r="B1397" s="1544"/>
      <c r="C1397" s="1544"/>
      <c r="D1397" s="1544"/>
      <c r="E1397" s="1544"/>
      <c r="R1397" s="1545"/>
      <c r="S1397" s="1545"/>
      <c r="T1397" s="1545"/>
      <c r="U1397" s="1545"/>
      <c r="V1397" s="1545"/>
      <c r="W1397" s="1545"/>
      <c r="X1397" s="1545"/>
      <c r="Y1397" s="1545"/>
    </row>
    <row r="1398" spans="1:25">
      <c r="A1398" s="1544"/>
      <c r="B1398" s="1544"/>
      <c r="C1398" s="1544"/>
      <c r="D1398" s="1544"/>
      <c r="E1398" s="1544"/>
      <c r="R1398" s="1545"/>
      <c r="S1398" s="1545"/>
      <c r="T1398" s="1545"/>
      <c r="U1398" s="1545"/>
      <c r="V1398" s="1545"/>
      <c r="W1398" s="1545"/>
      <c r="X1398" s="1545"/>
      <c r="Y1398" s="1545"/>
    </row>
    <row r="1399" spans="1:25">
      <c r="A1399" s="1544"/>
      <c r="B1399" s="1544"/>
      <c r="C1399" s="1544"/>
      <c r="D1399" s="1544"/>
      <c r="E1399" s="1544"/>
      <c r="R1399" s="1545"/>
      <c r="S1399" s="1545"/>
      <c r="T1399" s="1545"/>
      <c r="U1399" s="1545"/>
      <c r="V1399" s="1545"/>
      <c r="W1399" s="1545"/>
      <c r="X1399" s="1545"/>
      <c r="Y1399" s="1545"/>
    </row>
    <row r="1400" spans="1:25">
      <c r="A1400" s="1544"/>
      <c r="B1400" s="1544"/>
      <c r="C1400" s="1544"/>
      <c r="D1400" s="1544"/>
      <c r="E1400" s="1544"/>
      <c r="R1400" s="1545"/>
      <c r="S1400" s="1545"/>
      <c r="T1400" s="1545"/>
      <c r="U1400" s="1545"/>
      <c r="V1400" s="1545"/>
      <c r="W1400" s="1545"/>
      <c r="X1400" s="1545"/>
      <c r="Y1400" s="1545"/>
    </row>
    <row r="1401" spans="1:25">
      <c r="A1401" s="1544"/>
      <c r="B1401" s="1544"/>
      <c r="C1401" s="1544"/>
      <c r="D1401" s="1544"/>
      <c r="E1401" s="1544"/>
      <c r="R1401" s="1545"/>
      <c r="S1401" s="1545"/>
      <c r="T1401" s="1545"/>
      <c r="U1401" s="1545"/>
      <c r="V1401" s="1545"/>
      <c r="W1401" s="1545"/>
      <c r="X1401" s="1545"/>
      <c r="Y1401" s="1545"/>
    </row>
    <row r="1402" spans="1:25">
      <c r="A1402" s="1544"/>
      <c r="B1402" s="1544"/>
      <c r="C1402" s="1544"/>
      <c r="D1402" s="1544"/>
      <c r="E1402" s="1544"/>
      <c r="R1402" s="1545"/>
      <c r="S1402" s="1545"/>
      <c r="T1402" s="1545"/>
      <c r="U1402" s="1545"/>
      <c r="V1402" s="1545"/>
      <c r="W1402" s="1545"/>
      <c r="X1402" s="1545"/>
      <c r="Y1402" s="1545"/>
    </row>
    <row r="1403" spans="1:25">
      <c r="A1403" s="1544"/>
      <c r="B1403" s="1544"/>
      <c r="C1403" s="1544"/>
      <c r="D1403" s="1544"/>
      <c r="E1403" s="1544"/>
      <c r="R1403" s="1545"/>
      <c r="S1403" s="1545"/>
      <c r="T1403" s="1545"/>
      <c r="U1403" s="1545"/>
      <c r="V1403" s="1545"/>
      <c r="W1403" s="1545"/>
      <c r="X1403" s="1545"/>
      <c r="Y1403" s="1545"/>
    </row>
    <row r="1404" spans="1:25">
      <c r="A1404" s="1544"/>
      <c r="B1404" s="1544"/>
      <c r="C1404" s="1544"/>
      <c r="D1404" s="1544"/>
      <c r="E1404" s="1544"/>
      <c r="R1404" s="1545"/>
      <c r="S1404" s="1545"/>
      <c r="T1404" s="1545"/>
      <c r="U1404" s="1545"/>
      <c r="V1404" s="1545"/>
      <c r="W1404" s="1545"/>
      <c r="X1404" s="1545"/>
      <c r="Y1404" s="1545"/>
    </row>
    <row r="1405" spans="1:25">
      <c r="A1405" s="1544"/>
      <c r="B1405" s="1544"/>
      <c r="C1405" s="1544"/>
      <c r="D1405" s="1544"/>
      <c r="E1405" s="1544"/>
      <c r="R1405" s="1545"/>
      <c r="S1405" s="1545"/>
      <c r="T1405" s="1545"/>
      <c r="U1405" s="1545"/>
      <c r="V1405" s="1545"/>
      <c r="W1405" s="1545"/>
      <c r="X1405" s="1545"/>
      <c r="Y1405" s="1545"/>
    </row>
    <row r="1406" spans="1:25">
      <c r="A1406" s="1544"/>
      <c r="B1406" s="1544"/>
      <c r="C1406" s="1544"/>
      <c r="D1406" s="1544"/>
      <c r="E1406" s="1544"/>
      <c r="R1406" s="1545"/>
      <c r="S1406" s="1545"/>
      <c r="T1406" s="1545"/>
      <c r="U1406" s="1545"/>
      <c r="V1406" s="1545"/>
      <c r="W1406" s="1545"/>
      <c r="X1406" s="1545"/>
      <c r="Y1406" s="1545"/>
    </row>
    <row r="1407" spans="1:25">
      <c r="A1407" s="1544"/>
      <c r="B1407" s="1544"/>
      <c r="C1407" s="1544"/>
      <c r="D1407" s="1544"/>
      <c r="E1407" s="1544"/>
      <c r="R1407" s="1545"/>
      <c r="S1407" s="1545"/>
      <c r="T1407" s="1545"/>
      <c r="U1407" s="1545"/>
      <c r="V1407" s="1545"/>
      <c r="W1407" s="1545"/>
      <c r="X1407" s="1545"/>
      <c r="Y1407" s="1545"/>
    </row>
    <row r="1408" spans="1:25">
      <c r="A1408" s="1544"/>
      <c r="B1408" s="1544"/>
      <c r="C1408" s="1544"/>
      <c r="D1408" s="1544"/>
      <c r="E1408" s="1544"/>
      <c r="R1408" s="1545"/>
      <c r="S1408" s="1545"/>
      <c r="T1408" s="1545"/>
      <c r="U1408" s="1545"/>
      <c r="V1408" s="1545"/>
      <c r="W1408" s="1545"/>
      <c r="X1408" s="1545"/>
      <c r="Y1408" s="1545"/>
    </row>
    <row r="1409" spans="1:25">
      <c r="A1409" s="1544"/>
      <c r="B1409" s="1544"/>
      <c r="C1409" s="1544"/>
      <c r="D1409" s="1544"/>
      <c r="E1409" s="1544"/>
      <c r="R1409" s="1545"/>
      <c r="S1409" s="1545"/>
      <c r="T1409" s="1545"/>
      <c r="U1409" s="1545"/>
      <c r="V1409" s="1545"/>
      <c r="W1409" s="1545"/>
      <c r="X1409" s="1545"/>
      <c r="Y1409" s="1545"/>
    </row>
    <row r="1410" spans="1:25">
      <c r="A1410" s="1544"/>
      <c r="B1410" s="1544"/>
      <c r="C1410" s="1544"/>
      <c r="D1410" s="1544"/>
      <c r="E1410" s="1544"/>
      <c r="R1410" s="1545"/>
      <c r="S1410" s="1545"/>
      <c r="T1410" s="1545"/>
      <c r="U1410" s="1545"/>
      <c r="V1410" s="1545"/>
      <c r="W1410" s="1545"/>
      <c r="X1410" s="1545"/>
      <c r="Y1410" s="1545"/>
    </row>
    <row r="1411" spans="1:25">
      <c r="A1411" s="1544"/>
      <c r="B1411" s="1544"/>
      <c r="C1411" s="1544"/>
      <c r="D1411" s="1544"/>
      <c r="E1411" s="1544"/>
      <c r="R1411" s="1545"/>
      <c r="S1411" s="1545"/>
      <c r="T1411" s="1545"/>
      <c r="U1411" s="1545"/>
      <c r="V1411" s="1545"/>
      <c r="W1411" s="1545"/>
      <c r="X1411" s="1545"/>
      <c r="Y1411" s="1545"/>
    </row>
    <row r="1412" spans="1:25">
      <c r="A1412" s="1544"/>
      <c r="B1412" s="1544"/>
      <c r="C1412" s="1544"/>
      <c r="D1412" s="1544"/>
      <c r="E1412" s="1544"/>
      <c r="R1412" s="1545"/>
      <c r="S1412" s="1545"/>
      <c r="T1412" s="1545"/>
      <c r="U1412" s="1545"/>
      <c r="V1412" s="1545"/>
      <c r="W1412" s="1545"/>
      <c r="X1412" s="1545"/>
      <c r="Y1412" s="1545"/>
    </row>
    <row r="1413" spans="1:25">
      <c r="A1413" s="1544"/>
      <c r="B1413" s="1544"/>
      <c r="C1413" s="1544"/>
      <c r="D1413" s="1544"/>
      <c r="E1413" s="1544"/>
      <c r="R1413" s="1545"/>
      <c r="S1413" s="1545"/>
      <c r="T1413" s="1545"/>
      <c r="U1413" s="1545"/>
      <c r="V1413" s="1545"/>
      <c r="W1413" s="1545"/>
      <c r="X1413" s="1545"/>
      <c r="Y1413" s="1545"/>
    </row>
    <row r="1414" spans="1:25">
      <c r="A1414" s="1544"/>
      <c r="B1414" s="1544"/>
      <c r="C1414" s="1544"/>
      <c r="D1414" s="1544"/>
      <c r="E1414" s="1544"/>
      <c r="R1414" s="1545"/>
      <c r="S1414" s="1545"/>
      <c r="T1414" s="1545"/>
      <c r="U1414" s="1545"/>
      <c r="V1414" s="1545"/>
      <c r="W1414" s="1545"/>
      <c r="X1414" s="1545"/>
      <c r="Y1414" s="1545"/>
    </row>
    <row r="1415" spans="1:25">
      <c r="A1415" s="1544"/>
      <c r="B1415" s="1544"/>
      <c r="C1415" s="1544"/>
      <c r="D1415" s="1544"/>
      <c r="E1415" s="1544"/>
      <c r="R1415" s="1545"/>
      <c r="S1415" s="1545"/>
      <c r="T1415" s="1545"/>
      <c r="U1415" s="1545"/>
      <c r="V1415" s="1545"/>
      <c r="W1415" s="1545"/>
      <c r="X1415" s="1545"/>
      <c r="Y1415" s="1545"/>
    </row>
    <row r="1416" spans="1:25">
      <c r="A1416" s="1544"/>
      <c r="B1416" s="1544"/>
      <c r="C1416" s="1544"/>
      <c r="D1416" s="1544"/>
      <c r="E1416" s="1544"/>
      <c r="R1416" s="1545"/>
      <c r="S1416" s="1545"/>
      <c r="T1416" s="1545"/>
      <c r="U1416" s="1545"/>
      <c r="V1416" s="1545"/>
      <c r="W1416" s="1545"/>
      <c r="X1416" s="1545"/>
      <c r="Y1416" s="1545"/>
    </row>
    <row r="1417" spans="1:25">
      <c r="A1417" s="1544"/>
      <c r="B1417" s="1544"/>
      <c r="C1417" s="1544"/>
      <c r="D1417" s="1544"/>
      <c r="E1417" s="1544"/>
      <c r="R1417" s="1545"/>
      <c r="S1417" s="1545"/>
      <c r="T1417" s="1545"/>
      <c r="U1417" s="1545"/>
      <c r="V1417" s="1545"/>
      <c r="W1417" s="1545"/>
      <c r="X1417" s="1545"/>
      <c r="Y1417" s="1545"/>
    </row>
    <row r="1418" spans="1:25">
      <c r="A1418" s="1544"/>
      <c r="B1418" s="1544"/>
      <c r="C1418" s="1544"/>
      <c r="D1418" s="1544"/>
      <c r="E1418" s="1544"/>
      <c r="R1418" s="1545"/>
      <c r="S1418" s="1545"/>
      <c r="T1418" s="1545"/>
      <c r="U1418" s="1545"/>
      <c r="V1418" s="1545"/>
      <c r="W1418" s="1545"/>
      <c r="X1418" s="1545"/>
      <c r="Y1418" s="1545"/>
    </row>
    <row r="1419" spans="1:25">
      <c r="A1419" s="1544"/>
      <c r="B1419" s="1544"/>
      <c r="C1419" s="1544"/>
      <c r="D1419" s="1544"/>
      <c r="E1419" s="1544"/>
      <c r="R1419" s="1545"/>
      <c r="S1419" s="1545"/>
      <c r="T1419" s="1545"/>
      <c r="U1419" s="1545"/>
      <c r="V1419" s="1545"/>
      <c r="W1419" s="1545"/>
      <c r="X1419" s="1545"/>
      <c r="Y1419" s="1545"/>
    </row>
    <row r="1420" spans="1:25">
      <c r="A1420" s="1544"/>
      <c r="B1420" s="1544"/>
      <c r="C1420" s="1544"/>
      <c r="D1420" s="1544"/>
      <c r="E1420" s="1544"/>
      <c r="R1420" s="1545"/>
      <c r="S1420" s="1545"/>
      <c r="T1420" s="1545"/>
      <c r="U1420" s="1545"/>
      <c r="V1420" s="1545"/>
      <c r="W1420" s="1545"/>
      <c r="X1420" s="1545"/>
      <c r="Y1420" s="1545"/>
    </row>
    <row r="1421" spans="1:25">
      <c r="A1421" s="1544"/>
      <c r="B1421" s="1544"/>
      <c r="C1421" s="1544"/>
      <c r="D1421" s="1544"/>
      <c r="E1421" s="1544"/>
      <c r="R1421" s="1545"/>
      <c r="S1421" s="1545"/>
      <c r="T1421" s="1545"/>
      <c r="U1421" s="1545"/>
      <c r="V1421" s="1545"/>
      <c r="W1421" s="1545"/>
      <c r="X1421" s="1545"/>
      <c r="Y1421" s="1545"/>
    </row>
    <row r="1422" spans="1:25">
      <c r="A1422" s="1544"/>
      <c r="B1422" s="1544"/>
      <c r="C1422" s="1544"/>
      <c r="D1422" s="1544"/>
      <c r="E1422" s="1544"/>
      <c r="R1422" s="1545"/>
      <c r="S1422" s="1545"/>
      <c r="T1422" s="1545"/>
      <c r="U1422" s="1545"/>
      <c r="V1422" s="1545"/>
      <c r="W1422" s="1545"/>
      <c r="X1422" s="1545"/>
      <c r="Y1422" s="1545"/>
    </row>
    <row r="1423" spans="1:25">
      <c r="A1423" s="1544"/>
      <c r="B1423" s="1544"/>
      <c r="C1423" s="1544"/>
      <c r="D1423" s="1544"/>
      <c r="E1423" s="1544"/>
      <c r="R1423" s="1545"/>
      <c r="S1423" s="1545"/>
      <c r="T1423" s="1545"/>
      <c r="U1423" s="1545"/>
      <c r="V1423" s="1545"/>
      <c r="W1423" s="1545"/>
      <c r="X1423" s="1545"/>
      <c r="Y1423" s="1545"/>
    </row>
    <row r="1424" spans="1:25">
      <c r="A1424" s="1544"/>
      <c r="B1424" s="1544"/>
      <c r="C1424" s="1544"/>
      <c r="D1424" s="1544"/>
      <c r="E1424" s="1544"/>
      <c r="R1424" s="1545"/>
      <c r="S1424" s="1545"/>
      <c r="T1424" s="1545"/>
      <c r="U1424" s="1545"/>
      <c r="V1424" s="1545"/>
      <c r="W1424" s="1545"/>
      <c r="X1424" s="1545"/>
      <c r="Y1424" s="1545"/>
    </row>
    <row r="1425" spans="1:25">
      <c r="A1425" s="1544"/>
      <c r="B1425" s="1544"/>
      <c r="C1425" s="1544"/>
      <c r="D1425" s="1544"/>
      <c r="E1425" s="1544"/>
      <c r="R1425" s="1545"/>
      <c r="S1425" s="1545"/>
      <c r="T1425" s="1545"/>
      <c r="U1425" s="1545"/>
      <c r="V1425" s="1545"/>
      <c r="W1425" s="1545"/>
      <c r="X1425" s="1545"/>
      <c r="Y1425" s="1545"/>
    </row>
    <row r="1426" spans="1:25">
      <c r="A1426" s="1544"/>
      <c r="B1426" s="1544"/>
      <c r="C1426" s="1544"/>
      <c r="D1426" s="1544"/>
      <c r="E1426" s="1544"/>
      <c r="R1426" s="1545"/>
      <c r="S1426" s="1545"/>
      <c r="T1426" s="1545"/>
      <c r="U1426" s="1545"/>
      <c r="V1426" s="1545"/>
      <c r="W1426" s="1545"/>
      <c r="X1426" s="1545"/>
      <c r="Y1426" s="1545"/>
    </row>
    <row r="1427" spans="1:25">
      <c r="A1427" s="1544"/>
      <c r="B1427" s="1544"/>
      <c r="C1427" s="1544"/>
      <c r="D1427" s="1544"/>
      <c r="E1427" s="1544"/>
      <c r="R1427" s="1545"/>
      <c r="S1427" s="1545"/>
      <c r="T1427" s="1545"/>
      <c r="U1427" s="1545"/>
      <c r="V1427" s="1545"/>
      <c r="W1427" s="1545"/>
      <c r="X1427" s="1545"/>
      <c r="Y1427" s="1545"/>
    </row>
    <row r="1428" spans="1:25">
      <c r="A1428" s="1544"/>
      <c r="B1428" s="1544"/>
      <c r="C1428" s="1544"/>
      <c r="D1428" s="1544"/>
      <c r="E1428" s="1544"/>
      <c r="R1428" s="1545"/>
      <c r="S1428" s="1545"/>
      <c r="T1428" s="1545"/>
      <c r="U1428" s="1545"/>
      <c r="V1428" s="1545"/>
      <c r="W1428" s="1545"/>
      <c r="X1428" s="1545"/>
      <c r="Y1428" s="1545"/>
    </row>
    <row r="1429" spans="1:25">
      <c r="A1429" s="1544"/>
      <c r="B1429" s="1544"/>
      <c r="C1429" s="1544"/>
      <c r="D1429" s="1544"/>
      <c r="E1429" s="1544"/>
      <c r="R1429" s="1545"/>
      <c r="S1429" s="1545"/>
      <c r="T1429" s="1545"/>
      <c r="U1429" s="1545"/>
      <c r="V1429" s="1545"/>
      <c r="W1429" s="1545"/>
      <c r="X1429" s="1545"/>
      <c r="Y1429" s="1545"/>
    </row>
    <row r="1430" spans="1:25">
      <c r="A1430" s="1544"/>
      <c r="B1430" s="1544"/>
      <c r="C1430" s="1544"/>
      <c r="D1430" s="1544"/>
      <c r="E1430" s="1544"/>
      <c r="R1430" s="1545"/>
      <c r="S1430" s="1545"/>
      <c r="T1430" s="1545"/>
      <c r="U1430" s="1545"/>
      <c r="V1430" s="1545"/>
      <c r="W1430" s="1545"/>
      <c r="X1430" s="1545"/>
      <c r="Y1430" s="1545"/>
    </row>
    <row r="1431" spans="1:25">
      <c r="A1431" s="1544"/>
      <c r="B1431" s="1544"/>
      <c r="C1431" s="1544"/>
      <c r="D1431" s="1544"/>
      <c r="E1431" s="1544"/>
      <c r="R1431" s="1545"/>
      <c r="S1431" s="1545"/>
      <c r="T1431" s="1545"/>
      <c r="U1431" s="1545"/>
      <c r="V1431" s="1545"/>
      <c r="W1431" s="1545"/>
      <c r="X1431" s="1545"/>
      <c r="Y1431" s="1545"/>
    </row>
    <row r="1432" spans="1:25">
      <c r="A1432" s="1544"/>
      <c r="B1432" s="1544"/>
      <c r="C1432" s="1544"/>
      <c r="D1432" s="1544"/>
      <c r="E1432" s="1544"/>
      <c r="R1432" s="1545"/>
      <c r="S1432" s="1545"/>
      <c r="T1432" s="1545"/>
      <c r="U1432" s="1545"/>
      <c r="V1432" s="1545"/>
      <c r="W1432" s="1545"/>
      <c r="X1432" s="1545"/>
      <c r="Y1432" s="1545"/>
    </row>
    <row r="1433" spans="1:25">
      <c r="A1433" s="1544"/>
      <c r="B1433" s="1544"/>
      <c r="C1433" s="1544"/>
      <c r="D1433" s="1544"/>
      <c r="E1433" s="1544"/>
      <c r="R1433" s="1545"/>
      <c r="S1433" s="1545"/>
      <c r="T1433" s="1545"/>
      <c r="U1433" s="1545"/>
      <c r="V1433" s="1545"/>
      <c r="W1433" s="1545"/>
      <c r="X1433" s="1545"/>
      <c r="Y1433" s="1545"/>
    </row>
    <row r="1434" spans="1:25">
      <c r="A1434" s="1544"/>
      <c r="B1434" s="1544"/>
      <c r="C1434" s="1544"/>
      <c r="D1434" s="1544"/>
      <c r="E1434" s="1544"/>
      <c r="R1434" s="1545"/>
      <c r="S1434" s="1545"/>
      <c r="T1434" s="1545"/>
      <c r="U1434" s="1545"/>
      <c r="V1434" s="1545"/>
      <c r="W1434" s="1545"/>
      <c r="X1434" s="1545"/>
      <c r="Y1434" s="1545"/>
    </row>
    <row r="1435" spans="1:25">
      <c r="A1435" s="1544"/>
      <c r="B1435" s="1544"/>
      <c r="C1435" s="1544"/>
      <c r="D1435" s="1544"/>
      <c r="E1435" s="1544"/>
      <c r="R1435" s="1545"/>
      <c r="S1435" s="1545"/>
      <c r="T1435" s="1545"/>
      <c r="U1435" s="1545"/>
      <c r="V1435" s="1545"/>
      <c r="W1435" s="1545"/>
      <c r="X1435" s="1545"/>
      <c r="Y1435" s="1545"/>
    </row>
    <row r="1436" spans="1:25">
      <c r="A1436" s="1544"/>
      <c r="B1436" s="1544"/>
      <c r="C1436" s="1544"/>
      <c r="D1436" s="1544"/>
      <c r="E1436" s="1544"/>
      <c r="R1436" s="1545"/>
      <c r="S1436" s="1545"/>
      <c r="T1436" s="1545"/>
      <c r="U1436" s="1545"/>
      <c r="V1436" s="1545"/>
      <c r="W1436" s="1545"/>
      <c r="X1436" s="1545"/>
      <c r="Y1436" s="1545"/>
    </row>
    <row r="1437" spans="1:25">
      <c r="A1437" s="1544"/>
      <c r="B1437" s="1544"/>
      <c r="C1437" s="1544"/>
      <c r="D1437" s="1544"/>
      <c r="E1437" s="1544"/>
      <c r="R1437" s="1545"/>
      <c r="S1437" s="1545"/>
      <c r="T1437" s="1545"/>
      <c r="U1437" s="1545"/>
      <c r="V1437" s="1545"/>
      <c r="W1437" s="1545"/>
      <c r="X1437" s="1545"/>
      <c r="Y1437" s="1545"/>
    </row>
    <row r="1438" spans="1:25">
      <c r="A1438" s="1544"/>
      <c r="B1438" s="1544"/>
      <c r="C1438" s="1544"/>
      <c r="D1438" s="1544"/>
      <c r="E1438" s="1544"/>
      <c r="R1438" s="1545"/>
      <c r="S1438" s="1545"/>
      <c r="T1438" s="1545"/>
      <c r="U1438" s="1545"/>
      <c r="V1438" s="1545"/>
      <c r="W1438" s="1545"/>
      <c r="X1438" s="1545"/>
      <c r="Y1438" s="1545"/>
    </row>
    <row r="1439" spans="1:25">
      <c r="A1439" s="1544"/>
      <c r="B1439" s="1544"/>
      <c r="C1439" s="1544"/>
      <c r="D1439" s="1544"/>
      <c r="E1439" s="1544"/>
      <c r="R1439" s="1545"/>
      <c r="S1439" s="1545"/>
      <c r="T1439" s="1545"/>
      <c r="U1439" s="1545"/>
      <c r="V1439" s="1545"/>
      <c r="W1439" s="1545"/>
      <c r="X1439" s="1545"/>
      <c r="Y1439" s="1545"/>
    </row>
    <row r="1440" spans="1:25">
      <c r="A1440" s="1544"/>
      <c r="B1440" s="1544"/>
      <c r="C1440" s="1544"/>
      <c r="D1440" s="1544"/>
      <c r="E1440" s="1544"/>
      <c r="R1440" s="1545"/>
      <c r="S1440" s="1545"/>
      <c r="T1440" s="1545"/>
      <c r="U1440" s="1545"/>
      <c r="V1440" s="1545"/>
      <c r="W1440" s="1545"/>
      <c r="X1440" s="1545"/>
      <c r="Y1440" s="1545"/>
    </row>
    <row r="1441" spans="1:25">
      <c r="A1441" s="1544"/>
      <c r="B1441" s="1544"/>
      <c r="C1441" s="1544"/>
      <c r="D1441" s="1544"/>
      <c r="E1441" s="1544"/>
      <c r="R1441" s="1545"/>
      <c r="S1441" s="1545"/>
      <c r="T1441" s="1545"/>
      <c r="U1441" s="1545"/>
      <c r="V1441" s="1545"/>
      <c r="W1441" s="1545"/>
      <c r="X1441" s="1545"/>
      <c r="Y1441" s="1545"/>
    </row>
    <row r="1442" spans="1:25">
      <c r="A1442" s="1544"/>
      <c r="B1442" s="1544"/>
      <c r="C1442" s="1544"/>
      <c r="D1442" s="1544"/>
      <c r="E1442" s="1544"/>
      <c r="R1442" s="1545"/>
      <c r="S1442" s="1545"/>
      <c r="T1442" s="1545"/>
      <c r="U1442" s="1545"/>
      <c r="V1442" s="1545"/>
      <c r="W1442" s="1545"/>
      <c r="X1442" s="1545"/>
      <c r="Y1442" s="1545"/>
    </row>
    <row r="1443" spans="1:25">
      <c r="A1443" s="1544"/>
      <c r="B1443" s="1544"/>
      <c r="C1443" s="1544"/>
      <c r="D1443" s="1544"/>
      <c r="E1443" s="1544"/>
      <c r="R1443" s="1545"/>
      <c r="S1443" s="1545"/>
      <c r="T1443" s="1545"/>
      <c r="U1443" s="1545"/>
      <c r="V1443" s="1545"/>
      <c r="W1443" s="1545"/>
      <c r="X1443" s="1545"/>
      <c r="Y1443" s="1545"/>
    </row>
    <row r="1444" spans="1:25">
      <c r="A1444" s="1544"/>
      <c r="B1444" s="1544"/>
      <c r="C1444" s="1544"/>
      <c r="D1444" s="1544"/>
      <c r="E1444" s="1544"/>
      <c r="R1444" s="1545"/>
      <c r="S1444" s="1545"/>
      <c r="T1444" s="1545"/>
      <c r="U1444" s="1545"/>
      <c r="V1444" s="1545"/>
      <c r="W1444" s="1545"/>
      <c r="X1444" s="1545"/>
      <c r="Y1444" s="1545"/>
    </row>
    <row r="1445" spans="1:25">
      <c r="A1445" s="1544"/>
      <c r="B1445" s="1544"/>
      <c r="C1445" s="1544"/>
      <c r="D1445" s="1544"/>
      <c r="E1445" s="1544"/>
      <c r="R1445" s="1545"/>
      <c r="S1445" s="1545"/>
      <c r="T1445" s="1545"/>
      <c r="U1445" s="1545"/>
      <c r="V1445" s="1545"/>
      <c r="W1445" s="1545"/>
      <c r="X1445" s="1545"/>
      <c r="Y1445" s="1545"/>
    </row>
    <row r="1446" spans="1:25">
      <c r="A1446" s="1544"/>
      <c r="B1446" s="1544"/>
      <c r="C1446" s="1544"/>
      <c r="D1446" s="1544"/>
      <c r="E1446" s="1544"/>
      <c r="R1446" s="1545"/>
      <c r="S1446" s="1545"/>
      <c r="T1446" s="1545"/>
      <c r="U1446" s="1545"/>
      <c r="V1446" s="1545"/>
      <c r="W1446" s="1545"/>
      <c r="X1446" s="1545"/>
      <c r="Y1446" s="1545"/>
    </row>
    <row r="1447" spans="1:25">
      <c r="A1447" s="1544"/>
      <c r="B1447" s="1544"/>
      <c r="C1447" s="1544"/>
      <c r="D1447" s="1544"/>
      <c r="E1447" s="1544"/>
      <c r="R1447" s="1545"/>
      <c r="S1447" s="1545"/>
      <c r="T1447" s="1545"/>
      <c r="U1447" s="1545"/>
      <c r="V1447" s="1545"/>
      <c r="W1447" s="1545"/>
      <c r="X1447" s="1545"/>
      <c r="Y1447" s="1545"/>
    </row>
    <row r="1448" spans="1:25">
      <c r="A1448" s="1544"/>
      <c r="B1448" s="1544"/>
      <c r="C1448" s="1544"/>
      <c r="D1448" s="1544"/>
      <c r="E1448" s="1544"/>
      <c r="R1448" s="1545"/>
      <c r="S1448" s="1545"/>
      <c r="T1448" s="1545"/>
      <c r="U1448" s="1545"/>
      <c r="V1448" s="1545"/>
      <c r="W1448" s="1545"/>
      <c r="X1448" s="1545"/>
      <c r="Y1448" s="1545"/>
    </row>
    <row r="1449" spans="1:25">
      <c r="A1449" s="1544"/>
      <c r="B1449" s="1544"/>
      <c r="C1449" s="1544"/>
      <c r="D1449" s="1544"/>
      <c r="E1449" s="1544"/>
      <c r="R1449" s="1545"/>
      <c r="S1449" s="1545"/>
      <c r="T1449" s="1545"/>
      <c r="U1449" s="1545"/>
      <c r="V1449" s="1545"/>
      <c r="W1449" s="1545"/>
      <c r="X1449" s="1545"/>
      <c r="Y1449" s="1545"/>
    </row>
    <row r="1450" spans="1:25">
      <c r="A1450" s="1544"/>
      <c r="B1450" s="1544"/>
      <c r="C1450" s="1544"/>
      <c r="D1450" s="1544"/>
      <c r="E1450" s="1544"/>
      <c r="R1450" s="1545"/>
      <c r="S1450" s="1545"/>
      <c r="T1450" s="1545"/>
      <c r="U1450" s="1545"/>
      <c r="V1450" s="1545"/>
      <c r="W1450" s="1545"/>
      <c r="X1450" s="1545"/>
      <c r="Y1450" s="1545"/>
    </row>
    <row r="1451" spans="1:25">
      <c r="A1451" s="1544"/>
      <c r="B1451" s="1544"/>
      <c r="C1451" s="1544"/>
      <c r="D1451" s="1544"/>
      <c r="E1451" s="1544"/>
      <c r="R1451" s="1545"/>
      <c r="S1451" s="1545"/>
      <c r="T1451" s="1545"/>
      <c r="U1451" s="1545"/>
      <c r="V1451" s="1545"/>
      <c r="W1451" s="1545"/>
      <c r="X1451" s="1545"/>
      <c r="Y1451" s="1545"/>
    </row>
    <row r="1452" spans="1:25">
      <c r="A1452" s="1544"/>
      <c r="B1452" s="1544"/>
      <c r="C1452" s="1544"/>
      <c r="D1452" s="1544"/>
      <c r="E1452" s="1544"/>
      <c r="R1452" s="1545"/>
      <c r="S1452" s="1545"/>
      <c r="T1452" s="1545"/>
      <c r="U1452" s="1545"/>
      <c r="V1452" s="1545"/>
      <c r="W1452" s="1545"/>
      <c r="X1452" s="1545"/>
      <c r="Y1452" s="1545"/>
    </row>
    <row r="1453" spans="1:25">
      <c r="A1453" s="1544"/>
      <c r="B1453" s="1544"/>
      <c r="C1453" s="1544"/>
      <c r="D1453" s="1544"/>
      <c r="E1453" s="1544"/>
      <c r="R1453" s="1545"/>
      <c r="S1453" s="1545"/>
      <c r="T1453" s="1545"/>
      <c r="U1453" s="1545"/>
      <c r="V1453" s="1545"/>
      <c r="W1453" s="1545"/>
      <c r="X1453" s="1545"/>
      <c r="Y1453" s="1545"/>
    </row>
    <row r="1454" spans="1:25">
      <c r="A1454" s="1544"/>
      <c r="B1454" s="1544"/>
      <c r="C1454" s="1544"/>
      <c r="D1454" s="1544"/>
      <c r="E1454" s="1544"/>
      <c r="R1454" s="1545"/>
      <c r="S1454" s="1545"/>
      <c r="T1454" s="1545"/>
      <c r="U1454" s="1545"/>
      <c r="V1454" s="1545"/>
      <c r="W1454" s="1545"/>
      <c r="X1454" s="1545"/>
      <c r="Y1454" s="1545"/>
    </row>
    <row r="1455" spans="1:25">
      <c r="A1455" s="1544"/>
      <c r="B1455" s="1544"/>
      <c r="C1455" s="1544"/>
      <c r="D1455" s="1544"/>
      <c r="E1455" s="1544"/>
      <c r="R1455" s="1545"/>
      <c r="S1455" s="1545"/>
      <c r="T1455" s="1545"/>
      <c r="U1455" s="1545"/>
      <c r="V1455" s="1545"/>
      <c r="W1455" s="1545"/>
      <c r="X1455" s="1545"/>
      <c r="Y1455" s="1545"/>
    </row>
    <row r="1456" spans="1:25">
      <c r="A1456" s="1544"/>
      <c r="B1456" s="1544"/>
      <c r="C1456" s="1544"/>
      <c r="D1456" s="1544"/>
      <c r="E1456" s="1544"/>
      <c r="R1456" s="1545"/>
      <c r="S1456" s="1545"/>
      <c r="T1456" s="1545"/>
      <c r="U1456" s="1545"/>
      <c r="V1456" s="1545"/>
      <c r="W1456" s="1545"/>
      <c r="X1456" s="1545"/>
      <c r="Y1456" s="1545"/>
    </row>
    <row r="1457" spans="1:25">
      <c r="A1457" s="1544"/>
      <c r="B1457" s="1544"/>
      <c r="C1457" s="1544"/>
      <c r="D1457" s="1544"/>
      <c r="E1457" s="1544"/>
      <c r="R1457" s="1545"/>
      <c r="S1457" s="1545"/>
      <c r="T1457" s="1545"/>
      <c r="U1457" s="1545"/>
      <c r="V1457" s="1545"/>
      <c r="W1457" s="1545"/>
      <c r="X1457" s="1545"/>
      <c r="Y1457" s="1545"/>
    </row>
    <row r="1458" spans="1:25">
      <c r="A1458" s="1544"/>
      <c r="B1458" s="1544"/>
      <c r="C1458" s="1544"/>
      <c r="D1458" s="1544"/>
      <c r="E1458" s="1544"/>
      <c r="R1458" s="1545"/>
      <c r="S1458" s="1545"/>
      <c r="T1458" s="1545"/>
      <c r="U1458" s="1545"/>
      <c r="V1458" s="1545"/>
      <c r="W1458" s="1545"/>
      <c r="X1458" s="1545"/>
      <c r="Y1458" s="1545"/>
    </row>
    <row r="1459" spans="1:25">
      <c r="A1459" s="1544"/>
      <c r="B1459" s="1544"/>
      <c r="C1459" s="1544"/>
      <c r="D1459" s="1544"/>
      <c r="E1459" s="1544"/>
      <c r="R1459" s="1545"/>
      <c r="S1459" s="1545"/>
      <c r="T1459" s="1545"/>
      <c r="U1459" s="1545"/>
      <c r="V1459" s="1545"/>
      <c r="W1459" s="1545"/>
      <c r="X1459" s="1545"/>
      <c r="Y1459" s="1545"/>
    </row>
    <row r="1460" spans="1:25">
      <c r="A1460" s="1544"/>
      <c r="B1460" s="1544"/>
      <c r="C1460" s="1544"/>
      <c r="D1460" s="1544"/>
      <c r="E1460" s="1544"/>
      <c r="R1460" s="1545"/>
      <c r="S1460" s="1545"/>
      <c r="T1460" s="1545"/>
      <c r="U1460" s="1545"/>
      <c r="V1460" s="1545"/>
      <c r="W1460" s="1545"/>
      <c r="X1460" s="1545"/>
      <c r="Y1460" s="1545"/>
    </row>
    <row r="1461" spans="1:25">
      <c r="A1461" s="1544"/>
      <c r="B1461" s="1544"/>
      <c r="C1461" s="1544"/>
      <c r="D1461" s="1544"/>
      <c r="E1461" s="1544"/>
      <c r="R1461" s="1545"/>
      <c r="S1461" s="1545"/>
      <c r="T1461" s="1545"/>
      <c r="U1461" s="1545"/>
      <c r="V1461" s="1545"/>
      <c r="W1461" s="1545"/>
      <c r="X1461" s="1545"/>
      <c r="Y1461" s="1545"/>
    </row>
    <row r="1462" spans="1:25">
      <c r="A1462" s="1544"/>
      <c r="B1462" s="1544"/>
      <c r="C1462" s="1544"/>
      <c r="D1462" s="1544"/>
      <c r="E1462" s="1544"/>
      <c r="R1462" s="1545"/>
      <c r="S1462" s="1545"/>
      <c r="T1462" s="1545"/>
      <c r="U1462" s="1545"/>
      <c r="V1462" s="1545"/>
      <c r="W1462" s="1545"/>
      <c r="X1462" s="1545"/>
      <c r="Y1462" s="1545"/>
    </row>
    <row r="1463" spans="1:25">
      <c r="A1463" s="1544"/>
      <c r="B1463" s="1544"/>
      <c r="C1463" s="1544"/>
      <c r="D1463" s="1544"/>
      <c r="E1463" s="1544"/>
      <c r="R1463" s="1545"/>
      <c r="S1463" s="1545"/>
      <c r="T1463" s="1545"/>
      <c r="U1463" s="1545"/>
      <c r="V1463" s="1545"/>
      <c r="W1463" s="1545"/>
      <c r="X1463" s="1545"/>
      <c r="Y1463" s="1545"/>
    </row>
    <row r="1464" spans="1:25">
      <c r="A1464" s="1544"/>
      <c r="B1464" s="1544"/>
      <c r="C1464" s="1544"/>
      <c r="D1464" s="1544"/>
      <c r="E1464" s="1544"/>
      <c r="R1464" s="1545"/>
      <c r="S1464" s="1545"/>
      <c r="T1464" s="1545"/>
      <c r="U1464" s="1545"/>
      <c r="V1464" s="1545"/>
      <c r="W1464" s="1545"/>
      <c r="X1464" s="1545"/>
      <c r="Y1464" s="1545"/>
    </row>
    <row r="1465" spans="1:25">
      <c r="A1465" s="1544"/>
      <c r="B1465" s="1544"/>
      <c r="C1465" s="1544"/>
      <c r="D1465" s="1544"/>
      <c r="E1465" s="1544"/>
      <c r="R1465" s="1545"/>
      <c r="S1465" s="1545"/>
      <c r="T1465" s="1545"/>
      <c r="U1465" s="1545"/>
      <c r="V1465" s="1545"/>
      <c r="W1465" s="1545"/>
      <c r="X1465" s="1545"/>
      <c r="Y1465" s="1545"/>
    </row>
    <row r="1466" spans="1:25">
      <c r="A1466" s="1544"/>
      <c r="B1466" s="1544"/>
      <c r="C1466" s="1544"/>
      <c r="D1466" s="1544"/>
      <c r="E1466" s="1544"/>
      <c r="R1466" s="1545"/>
      <c r="S1466" s="1545"/>
      <c r="T1466" s="1545"/>
      <c r="U1466" s="1545"/>
      <c r="V1466" s="1545"/>
      <c r="W1466" s="1545"/>
      <c r="X1466" s="1545"/>
      <c r="Y1466" s="1545"/>
    </row>
    <row r="1467" spans="1:25">
      <c r="A1467" s="1544"/>
      <c r="B1467" s="1544"/>
      <c r="C1467" s="1544"/>
      <c r="D1467" s="1544"/>
      <c r="E1467" s="1544"/>
      <c r="R1467" s="1545"/>
      <c r="S1467" s="1545"/>
      <c r="T1467" s="1545"/>
      <c r="U1467" s="1545"/>
      <c r="V1467" s="1545"/>
      <c r="W1467" s="1545"/>
      <c r="X1467" s="1545"/>
      <c r="Y1467" s="1545"/>
    </row>
    <row r="1468" spans="1:25">
      <c r="A1468" s="1544"/>
      <c r="B1468" s="1544"/>
      <c r="C1468" s="1544"/>
      <c r="D1468" s="1544"/>
      <c r="E1468" s="1544"/>
      <c r="R1468" s="1545"/>
      <c r="S1468" s="1545"/>
      <c r="T1468" s="1545"/>
      <c r="U1468" s="1545"/>
      <c r="V1468" s="1545"/>
      <c r="W1468" s="1545"/>
      <c r="X1468" s="1545"/>
      <c r="Y1468" s="1545"/>
    </row>
    <row r="1469" spans="1:25">
      <c r="A1469" s="1544"/>
      <c r="B1469" s="1544"/>
      <c r="C1469" s="1544"/>
      <c r="D1469" s="1544"/>
      <c r="E1469" s="1544"/>
      <c r="R1469" s="1545"/>
      <c r="S1469" s="1545"/>
      <c r="T1469" s="1545"/>
      <c r="U1469" s="1545"/>
      <c r="V1469" s="1545"/>
      <c r="W1469" s="1545"/>
      <c r="X1469" s="1545"/>
      <c r="Y1469" s="1545"/>
    </row>
    <row r="1470" spans="1:25">
      <c r="A1470" s="1544"/>
      <c r="B1470" s="1544"/>
      <c r="C1470" s="1544"/>
      <c r="D1470" s="1544"/>
      <c r="E1470" s="1544"/>
      <c r="R1470" s="1545"/>
      <c r="S1470" s="1545"/>
      <c r="T1470" s="1545"/>
      <c r="U1470" s="1545"/>
      <c r="V1470" s="1545"/>
      <c r="W1470" s="1545"/>
      <c r="X1470" s="1545"/>
      <c r="Y1470" s="1545"/>
    </row>
    <row r="1471" spans="1:25">
      <c r="A1471" s="1544"/>
      <c r="B1471" s="1544"/>
      <c r="C1471" s="1544"/>
      <c r="D1471" s="1544"/>
      <c r="E1471" s="1544"/>
      <c r="R1471" s="1545"/>
      <c r="S1471" s="1545"/>
      <c r="T1471" s="1545"/>
      <c r="U1471" s="1545"/>
      <c r="V1471" s="1545"/>
      <c r="W1471" s="1545"/>
      <c r="X1471" s="1545"/>
      <c r="Y1471" s="1545"/>
    </row>
    <row r="1472" spans="1:25">
      <c r="A1472" s="1544"/>
      <c r="B1472" s="1544"/>
      <c r="C1472" s="1544"/>
      <c r="D1472" s="1544"/>
      <c r="E1472" s="1544"/>
      <c r="R1472" s="1545"/>
      <c r="S1472" s="1545"/>
      <c r="T1472" s="1545"/>
      <c r="U1472" s="1545"/>
      <c r="V1472" s="1545"/>
      <c r="W1472" s="1545"/>
      <c r="X1472" s="1545"/>
      <c r="Y1472" s="1545"/>
    </row>
    <row r="1473" spans="1:25">
      <c r="A1473" s="1544"/>
      <c r="B1473" s="1544"/>
      <c r="C1473" s="1544"/>
      <c r="D1473" s="1544"/>
      <c r="E1473" s="1544"/>
      <c r="R1473" s="1545"/>
      <c r="S1473" s="1545"/>
      <c r="T1473" s="1545"/>
      <c r="U1473" s="1545"/>
      <c r="V1473" s="1545"/>
      <c r="W1473" s="1545"/>
      <c r="X1473" s="1545"/>
      <c r="Y1473" s="1545"/>
    </row>
    <row r="1474" spans="1:25">
      <c r="A1474" s="1544"/>
      <c r="B1474" s="1544"/>
      <c r="C1474" s="1544"/>
      <c r="D1474" s="1544"/>
      <c r="E1474" s="1544"/>
      <c r="R1474" s="1545"/>
      <c r="S1474" s="1545"/>
      <c r="T1474" s="1545"/>
      <c r="U1474" s="1545"/>
      <c r="V1474" s="1545"/>
      <c r="W1474" s="1545"/>
      <c r="X1474" s="1545"/>
      <c r="Y1474" s="1545"/>
    </row>
    <row r="1475" spans="1:25">
      <c r="A1475" s="1544"/>
      <c r="B1475" s="1544"/>
      <c r="C1475" s="1544"/>
      <c r="D1475" s="1544"/>
      <c r="E1475" s="1544"/>
      <c r="R1475" s="1545"/>
      <c r="S1475" s="1545"/>
      <c r="T1475" s="1545"/>
      <c r="U1475" s="1545"/>
      <c r="V1475" s="1545"/>
      <c r="W1475" s="1545"/>
      <c r="X1475" s="1545"/>
      <c r="Y1475" s="1545"/>
    </row>
    <row r="1476" spans="1:25">
      <c r="A1476" s="1544"/>
      <c r="B1476" s="1544"/>
      <c r="C1476" s="1544"/>
      <c r="D1476" s="1544"/>
      <c r="E1476" s="1544"/>
      <c r="R1476" s="1545"/>
      <c r="S1476" s="1545"/>
      <c r="T1476" s="1545"/>
      <c r="U1476" s="1545"/>
      <c r="V1476" s="1545"/>
      <c r="W1476" s="1545"/>
      <c r="X1476" s="1545"/>
      <c r="Y1476" s="1545"/>
    </row>
    <row r="1477" spans="1:25">
      <c r="A1477" s="1544"/>
      <c r="B1477" s="1544"/>
      <c r="C1477" s="1544"/>
      <c r="D1477" s="1544"/>
      <c r="E1477" s="1544"/>
      <c r="R1477" s="1545"/>
      <c r="S1477" s="1545"/>
      <c r="T1477" s="1545"/>
      <c r="U1477" s="1545"/>
      <c r="V1477" s="1545"/>
      <c r="W1477" s="1545"/>
      <c r="X1477" s="1545"/>
      <c r="Y1477" s="1545"/>
    </row>
    <row r="1478" spans="1:25">
      <c r="A1478" s="1544"/>
      <c r="B1478" s="1544"/>
      <c r="C1478" s="1544"/>
      <c r="D1478" s="1544"/>
      <c r="E1478" s="1544"/>
      <c r="R1478" s="1545"/>
      <c r="S1478" s="1545"/>
      <c r="T1478" s="1545"/>
      <c r="U1478" s="1545"/>
      <c r="V1478" s="1545"/>
      <c r="W1478" s="1545"/>
      <c r="X1478" s="1545"/>
      <c r="Y1478" s="1545"/>
    </row>
    <row r="1479" spans="1:25">
      <c r="A1479" s="1544"/>
      <c r="B1479" s="1544"/>
      <c r="C1479" s="1544"/>
      <c r="D1479" s="1544"/>
      <c r="E1479" s="1544"/>
      <c r="R1479" s="1545"/>
      <c r="S1479" s="1545"/>
      <c r="T1479" s="1545"/>
      <c r="U1479" s="1545"/>
      <c r="V1479" s="1545"/>
      <c r="W1479" s="1545"/>
      <c r="X1479" s="1545"/>
      <c r="Y1479" s="1545"/>
    </row>
    <row r="1480" spans="1:25">
      <c r="A1480" s="1544"/>
      <c r="B1480" s="1544"/>
      <c r="C1480" s="1544"/>
      <c r="D1480" s="1544"/>
      <c r="E1480" s="1544"/>
      <c r="R1480" s="1545"/>
      <c r="S1480" s="1545"/>
      <c r="T1480" s="1545"/>
      <c r="U1480" s="1545"/>
      <c r="V1480" s="1545"/>
      <c r="W1480" s="1545"/>
      <c r="X1480" s="1545"/>
      <c r="Y1480" s="1545"/>
    </row>
    <row r="1481" spans="1:25">
      <c r="A1481" s="1544"/>
      <c r="B1481" s="1544"/>
      <c r="C1481" s="1544"/>
      <c r="D1481" s="1544"/>
      <c r="E1481" s="1544"/>
      <c r="R1481" s="1545"/>
      <c r="S1481" s="1545"/>
      <c r="T1481" s="1545"/>
      <c r="U1481" s="1545"/>
      <c r="V1481" s="1545"/>
      <c r="W1481" s="1545"/>
      <c r="X1481" s="1545"/>
      <c r="Y1481" s="1545"/>
    </row>
    <row r="1482" spans="1:25">
      <c r="A1482" s="1544"/>
      <c r="B1482" s="1544"/>
      <c r="C1482" s="1544"/>
      <c r="D1482" s="1544"/>
      <c r="E1482" s="1544"/>
      <c r="R1482" s="1545"/>
      <c r="S1482" s="1545"/>
      <c r="T1482" s="1545"/>
      <c r="U1482" s="1545"/>
      <c r="V1482" s="1545"/>
      <c r="W1482" s="1545"/>
      <c r="X1482" s="1545"/>
      <c r="Y1482" s="1545"/>
    </row>
    <row r="1483" spans="1:25">
      <c r="A1483" s="1544"/>
      <c r="B1483" s="1544"/>
      <c r="C1483" s="1544"/>
      <c r="D1483" s="1544"/>
      <c r="E1483" s="1544"/>
      <c r="R1483" s="1545"/>
      <c r="S1483" s="1545"/>
      <c r="T1483" s="1545"/>
      <c r="U1483" s="1545"/>
      <c r="V1483" s="1545"/>
      <c r="W1483" s="1545"/>
      <c r="X1483" s="1545"/>
      <c r="Y1483" s="1545"/>
    </row>
    <row r="1484" spans="1:25">
      <c r="A1484" s="1544"/>
      <c r="B1484" s="1544"/>
      <c r="C1484" s="1544"/>
      <c r="D1484" s="1544"/>
      <c r="E1484" s="1544"/>
      <c r="R1484" s="1545"/>
      <c r="S1484" s="1545"/>
      <c r="T1484" s="1545"/>
      <c r="U1484" s="1545"/>
      <c r="V1484" s="1545"/>
      <c r="W1484" s="1545"/>
      <c r="X1484" s="1545"/>
      <c r="Y1484" s="1545"/>
    </row>
    <row r="1485" spans="1:25">
      <c r="A1485" s="1544"/>
      <c r="B1485" s="1544"/>
      <c r="C1485" s="1544"/>
      <c r="D1485" s="1544"/>
      <c r="E1485" s="1544"/>
      <c r="R1485" s="1545"/>
      <c r="S1485" s="1545"/>
      <c r="T1485" s="1545"/>
      <c r="U1485" s="1545"/>
      <c r="V1485" s="1545"/>
      <c r="W1485" s="1545"/>
      <c r="X1485" s="1545"/>
      <c r="Y1485" s="1545"/>
    </row>
    <row r="1486" spans="1:25">
      <c r="A1486" s="1544"/>
      <c r="B1486" s="1544"/>
      <c r="C1486" s="1544"/>
      <c r="D1486" s="1544"/>
      <c r="E1486" s="1544"/>
      <c r="R1486" s="1545"/>
      <c r="S1486" s="1545"/>
      <c r="T1486" s="1545"/>
      <c r="U1486" s="1545"/>
      <c r="V1486" s="1545"/>
      <c r="W1486" s="1545"/>
      <c r="X1486" s="1545"/>
      <c r="Y1486" s="1545"/>
    </row>
    <row r="1487" spans="1:25">
      <c r="A1487" s="1544"/>
      <c r="B1487" s="1544"/>
      <c r="C1487" s="1544"/>
      <c r="D1487" s="1544"/>
      <c r="E1487" s="1544"/>
      <c r="R1487" s="1545"/>
      <c r="S1487" s="1545"/>
      <c r="T1487" s="1545"/>
      <c r="U1487" s="1545"/>
      <c r="V1487" s="1545"/>
      <c r="W1487" s="1545"/>
      <c r="X1487" s="1545"/>
      <c r="Y1487" s="1545"/>
    </row>
    <row r="1488" spans="1:25">
      <c r="A1488" s="1544"/>
      <c r="B1488" s="1544"/>
      <c r="C1488" s="1544"/>
      <c r="D1488" s="1544"/>
      <c r="E1488" s="1544"/>
      <c r="R1488" s="1545"/>
      <c r="S1488" s="1545"/>
      <c r="T1488" s="1545"/>
      <c r="U1488" s="1545"/>
      <c r="V1488" s="1545"/>
      <c r="W1488" s="1545"/>
      <c r="X1488" s="1545"/>
      <c r="Y1488" s="1545"/>
    </row>
    <row r="1489" spans="1:25">
      <c r="A1489" s="1544"/>
      <c r="B1489" s="1544"/>
      <c r="C1489" s="1544"/>
      <c r="D1489" s="1544"/>
      <c r="E1489" s="1544"/>
      <c r="R1489" s="1545"/>
      <c r="S1489" s="1545"/>
      <c r="T1489" s="1545"/>
      <c r="U1489" s="1545"/>
      <c r="V1489" s="1545"/>
      <c r="W1489" s="1545"/>
      <c r="X1489" s="1545"/>
      <c r="Y1489" s="1545"/>
    </row>
    <row r="1490" spans="1:25">
      <c r="A1490" s="1544"/>
      <c r="B1490" s="1544"/>
      <c r="C1490" s="1544"/>
      <c r="D1490" s="1544"/>
      <c r="E1490" s="1544"/>
      <c r="R1490" s="1545"/>
      <c r="S1490" s="1545"/>
      <c r="T1490" s="1545"/>
      <c r="U1490" s="1545"/>
      <c r="V1490" s="1545"/>
      <c r="W1490" s="1545"/>
      <c r="X1490" s="1545"/>
      <c r="Y1490" s="1545"/>
    </row>
    <row r="1491" spans="1:25">
      <c r="A1491" s="1544"/>
      <c r="B1491" s="1544"/>
      <c r="C1491" s="1544"/>
      <c r="D1491" s="1544"/>
      <c r="E1491" s="1544"/>
      <c r="R1491" s="1545"/>
      <c r="S1491" s="1545"/>
      <c r="T1491" s="1545"/>
      <c r="U1491" s="1545"/>
      <c r="V1491" s="1545"/>
      <c r="W1491" s="1545"/>
      <c r="X1491" s="1545"/>
      <c r="Y1491" s="1545"/>
    </row>
    <row r="1492" spans="1:25">
      <c r="A1492" s="1544"/>
      <c r="B1492" s="1544"/>
      <c r="C1492" s="1544"/>
      <c r="D1492" s="1544"/>
      <c r="E1492" s="1544"/>
      <c r="R1492" s="1545"/>
      <c r="S1492" s="1545"/>
      <c r="T1492" s="1545"/>
      <c r="U1492" s="1545"/>
      <c r="V1492" s="1545"/>
      <c r="W1492" s="1545"/>
      <c r="X1492" s="1545"/>
      <c r="Y1492" s="1545"/>
    </row>
    <row r="1493" spans="1:25">
      <c r="A1493" s="1544"/>
      <c r="B1493" s="1544"/>
      <c r="C1493" s="1544"/>
      <c r="D1493" s="1544"/>
      <c r="E1493" s="1544"/>
      <c r="R1493" s="1545"/>
      <c r="S1493" s="1545"/>
      <c r="T1493" s="1545"/>
      <c r="U1493" s="1545"/>
      <c r="V1493" s="1545"/>
      <c r="W1493" s="1545"/>
      <c r="X1493" s="1545"/>
      <c r="Y1493" s="1545"/>
    </row>
    <row r="1494" spans="1:25">
      <c r="A1494" s="1544"/>
      <c r="B1494" s="1544"/>
      <c r="C1494" s="1544"/>
      <c r="D1494" s="1544"/>
      <c r="E1494" s="1544"/>
      <c r="R1494" s="1545"/>
      <c r="S1494" s="1545"/>
      <c r="T1494" s="1545"/>
      <c r="U1494" s="1545"/>
      <c r="V1494" s="1545"/>
      <c r="W1494" s="1545"/>
      <c r="X1494" s="1545"/>
      <c r="Y1494" s="1545"/>
    </row>
    <row r="1495" spans="1:25">
      <c r="A1495" s="1544"/>
      <c r="B1495" s="1544"/>
      <c r="C1495" s="1544"/>
      <c r="D1495" s="1544"/>
      <c r="E1495" s="1544"/>
      <c r="R1495" s="1545"/>
      <c r="S1495" s="1545"/>
      <c r="T1495" s="1545"/>
      <c r="U1495" s="1545"/>
      <c r="V1495" s="1545"/>
      <c r="W1495" s="1545"/>
      <c r="X1495" s="1545"/>
      <c r="Y1495" s="1545"/>
    </row>
    <row r="1496" spans="1:25">
      <c r="A1496" s="1544"/>
      <c r="B1496" s="1544"/>
      <c r="C1496" s="1544"/>
      <c r="D1496" s="1544"/>
      <c r="E1496" s="1544"/>
      <c r="R1496" s="1545"/>
      <c r="S1496" s="1545"/>
      <c r="T1496" s="1545"/>
      <c r="U1496" s="1545"/>
      <c r="V1496" s="1545"/>
      <c r="W1496" s="1545"/>
      <c r="X1496" s="1545"/>
      <c r="Y1496" s="1545"/>
    </row>
    <row r="1497" spans="1:25">
      <c r="A1497" s="1544"/>
      <c r="B1497" s="1544"/>
      <c r="C1497" s="1544"/>
      <c r="D1497" s="1544"/>
      <c r="E1497" s="1544"/>
      <c r="R1497" s="1545"/>
      <c r="S1497" s="1545"/>
      <c r="T1497" s="1545"/>
      <c r="U1497" s="1545"/>
      <c r="V1497" s="1545"/>
      <c r="W1497" s="1545"/>
      <c r="X1497" s="1545"/>
      <c r="Y1497" s="1545"/>
    </row>
    <row r="1498" spans="1:25">
      <c r="A1498" s="1544"/>
      <c r="B1498" s="1544"/>
      <c r="C1498" s="1544"/>
      <c r="D1498" s="1544"/>
      <c r="E1498" s="1544"/>
      <c r="R1498" s="1545"/>
      <c r="S1498" s="1545"/>
      <c r="T1498" s="1545"/>
      <c r="U1498" s="1545"/>
      <c r="V1498" s="1545"/>
      <c r="W1498" s="1545"/>
      <c r="X1498" s="1545"/>
      <c r="Y1498" s="1545"/>
    </row>
    <row r="1499" spans="1:25">
      <c r="A1499" s="1544"/>
      <c r="B1499" s="1544"/>
      <c r="C1499" s="1544"/>
      <c r="D1499" s="1544"/>
      <c r="E1499" s="1544"/>
      <c r="R1499" s="1545"/>
      <c r="S1499" s="1545"/>
      <c r="T1499" s="1545"/>
      <c r="U1499" s="1545"/>
      <c r="V1499" s="1545"/>
      <c r="W1499" s="1545"/>
      <c r="X1499" s="1545"/>
      <c r="Y1499" s="1545"/>
    </row>
    <row r="1500" spans="1:25">
      <c r="A1500" s="1544"/>
      <c r="B1500" s="1544"/>
      <c r="C1500" s="1544"/>
      <c r="D1500" s="1544"/>
      <c r="E1500" s="1544"/>
      <c r="R1500" s="1545"/>
      <c r="S1500" s="1545"/>
      <c r="T1500" s="1545"/>
      <c r="U1500" s="1545"/>
      <c r="V1500" s="1545"/>
      <c r="W1500" s="1545"/>
      <c r="X1500" s="1545"/>
      <c r="Y1500" s="1545"/>
    </row>
    <row r="1501" spans="1:25">
      <c r="A1501" s="1544"/>
      <c r="B1501" s="1544"/>
      <c r="C1501" s="1544"/>
      <c r="D1501" s="1544"/>
      <c r="E1501" s="1544"/>
      <c r="R1501" s="1545"/>
      <c r="S1501" s="1545"/>
      <c r="T1501" s="1545"/>
      <c r="U1501" s="1545"/>
      <c r="V1501" s="1545"/>
      <c r="W1501" s="1545"/>
      <c r="X1501" s="1545"/>
      <c r="Y1501" s="1545"/>
    </row>
    <row r="1502" spans="1:25">
      <c r="A1502" s="1544"/>
      <c r="B1502" s="1544"/>
      <c r="C1502" s="1544"/>
      <c r="D1502" s="1544"/>
      <c r="E1502" s="1544"/>
      <c r="R1502" s="1545"/>
      <c r="S1502" s="1545"/>
      <c r="T1502" s="1545"/>
      <c r="U1502" s="1545"/>
      <c r="V1502" s="1545"/>
      <c r="W1502" s="1545"/>
      <c r="X1502" s="1545"/>
      <c r="Y1502" s="1545"/>
    </row>
    <row r="1503" spans="1:25">
      <c r="A1503" s="1544"/>
      <c r="B1503" s="1544"/>
      <c r="C1503" s="1544"/>
      <c r="D1503" s="1544"/>
      <c r="E1503" s="1544"/>
      <c r="R1503" s="1545"/>
      <c r="S1503" s="1545"/>
      <c r="T1503" s="1545"/>
      <c r="U1503" s="1545"/>
      <c r="V1503" s="1545"/>
      <c r="W1503" s="1545"/>
      <c r="X1503" s="1545"/>
      <c r="Y1503" s="1545"/>
    </row>
    <row r="1504" spans="1:25">
      <c r="A1504" s="1544"/>
      <c r="B1504" s="1544"/>
      <c r="C1504" s="1544"/>
      <c r="D1504" s="1544"/>
      <c r="E1504" s="1544"/>
      <c r="R1504" s="1545"/>
      <c r="S1504" s="1545"/>
      <c r="T1504" s="1545"/>
      <c r="U1504" s="1545"/>
      <c r="V1504" s="1545"/>
      <c r="W1504" s="1545"/>
      <c r="X1504" s="1545"/>
      <c r="Y1504" s="1545"/>
    </row>
    <row r="1505" spans="1:25">
      <c r="A1505" s="1544"/>
      <c r="B1505" s="1544"/>
      <c r="C1505" s="1544"/>
      <c r="D1505" s="1544"/>
      <c r="E1505" s="1544"/>
      <c r="R1505" s="1545"/>
      <c r="S1505" s="1545"/>
      <c r="T1505" s="1545"/>
      <c r="U1505" s="1545"/>
      <c r="V1505" s="1545"/>
      <c r="W1505" s="1545"/>
      <c r="X1505" s="1545"/>
      <c r="Y1505" s="1545"/>
    </row>
    <row r="1506" spans="1:25">
      <c r="A1506" s="1544"/>
      <c r="B1506" s="1544"/>
      <c r="C1506" s="1544"/>
      <c r="D1506" s="1544"/>
      <c r="E1506" s="1544"/>
      <c r="R1506" s="1545"/>
      <c r="S1506" s="1545"/>
      <c r="T1506" s="1545"/>
      <c r="U1506" s="1545"/>
      <c r="V1506" s="1545"/>
      <c r="W1506" s="1545"/>
      <c r="X1506" s="1545"/>
      <c r="Y1506" s="1545"/>
    </row>
    <row r="1507" spans="1:25">
      <c r="A1507" s="1544"/>
      <c r="B1507" s="1544"/>
      <c r="C1507" s="1544"/>
      <c r="D1507" s="1544"/>
      <c r="E1507" s="1544"/>
      <c r="R1507" s="1545"/>
      <c r="S1507" s="1545"/>
      <c r="T1507" s="1545"/>
      <c r="U1507" s="1545"/>
      <c r="V1507" s="1545"/>
      <c r="W1507" s="1545"/>
      <c r="X1507" s="1545"/>
      <c r="Y1507" s="1545"/>
    </row>
    <row r="1508" spans="1:25">
      <c r="A1508" s="1544"/>
      <c r="B1508" s="1544"/>
      <c r="C1508" s="1544"/>
      <c r="D1508" s="1544"/>
      <c r="E1508" s="1544"/>
      <c r="R1508" s="1545"/>
      <c r="S1508" s="1545"/>
      <c r="T1508" s="1545"/>
      <c r="U1508" s="1545"/>
      <c r="V1508" s="1545"/>
      <c r="W1508" s="1545"/>
      <c r="X1508" s="1545"/>
      <c r="Y1508" s="1545"/>
    </row>
    <row r="1509" spans="1:25">
      <c r="A1509" s="1544"/>
      <c r="B1509" s="1544"/>
      <c r="C1509" s="1544"/>
      <c r="D1509" s="1544"/>
      <c r="E1509" s="1544"/>
      <c r="R1509" s="1545"/>
      <c r="S1509" s="1545"/>
      <c r="T1509" s="1545"/>
      <c r="U1509" s="1545"/>
      <c r="V1509" s="1545"/>
      <c r="W1509" s="1545"/>
      <c r="X1509" s="1545"/>
      <c r="Y1509" s="1545"/>
    </row>
    <row r="1510" spans="1:25">
      <c r="A1510" s="1544"/>
      <c r="B1510" s="1544"/>
      <c r="C1510" s="1544"/>
      <c r="D1510" s="1544"/>
      <c r="E1510" s="1544"/>
      <c r="R1510" s="1545"/>
      <c r="S1510" s="1545"/>
      <c r="T1510" s="1545"/>
      <c r="U1510" s="1545"/>
      <c r="V1510" s="1545"/>
      <c r="W1510" s="1545"/>
      <c r="X1510" s="1545"/>
      <c r="Y1510" s="1545"/>
    </row>
    <row r="1511" spans="1:25">
      <c r="A1511" s="1544"/>
      <c r="B1511" s="1544"/>
      <c r="C1511" s="1544"/>
      <c r="D1511" s="1544"/>
      <c r="E1511" s="1544"/>
      <c r="R1511" s="1545"/>
      <c r="S1511" s="1545"/>
      <c r="T1511" s="1545"/>
      <c r="U1511" s="1545"/>
      <c r="V1511" s="1545"/>
      <c r="W1511" s="1545"/>
      <c r="X1511" s="1545"/>
      <c r="Y1511" s="1545"/>
    </row>
    <row r="1512" spans="1:25">
      <c r="A1512" s="1544"/>
      <c r="B1512" s="1544"/>
      <c r="C1512" s="1544"/>
      <c r="D1512" s="1544"/>
      <c r="E1512" s="1544"/>
      <c r="R1512" s="1545"/>
      <c r="S1512" s="1545"/>
      <c r="T1512" s="1545"/>
      <c r="U1512" s="1545"/>
      <c r="V1512" s="1545"/>
      <c r="W1512" s="1545"/>
      <c r="X1512" s="1545"/>
      <c r="Y1512" s="1545"/>
    </row>
    <row r="1513" spans="1:25">
      <c r="A1513" s="1544"/>
      <c r="B1513" s="1544"/>
      <c r="C1513" s="1544"/>
      <c r="D1513" s="1544"/>
      <c r="E1513" s="1544"/>
      <c r="R1513" s="1545"/>
      <c r="S1513" s="1545"/>
      <c r="T1513" s="1545"/>
      <c r="U1513" s="1545"/>
      <c r="V1513" s="1545"/>
      <c r="W1513" s="1545"/>
      <c r="X1513" s="1545"/>
      <c r="Y1513" s="1545"/>
    </row>
    <row r="1514" spans="1:25">
      <c r="A1514" s="1544"/>
      <c r="B1514" s="1544"/>
      <c r="C1514" s="1544"/>
      <c r="D1514" s="1544"/>
      <c r="E1514" s="1544"/>
      <c r="R1514" s="1545"/>
      <c r="S1514" s="1545"/>
      <c r="T1514" s="1545"/>
      <c r="U1514" s="1545"/>
      <c r="V1514" s="1545"/>
      <c r="W1514" s="1545"/>
      <c r="X1514" s="1545"/>
      <c r="Y1514" s="1545"/>
    </row>
    <row r="1515" spans="1:25">
      <c r="A1515" s="1544"/>
      <c r="B1515" s="1544"/>
      <c r="C1515" s="1544"/>
      <c r="D1515" s="1544"/>
      <c r="E1515" s="1544"/>
      <c r="R1515" s="1545"/>
      <c r="S1515" s="1545"/>
      <c r="T1515" s="1545"/>
      <c r="U1515" s="1545"/>
      <c r="V1515" s="1545"/>
      <c r="W1515" s="1545"/>
      <c r="X1515" s="1545"/>
      <c r="Y1515" s="1545"/>
    </row>
    <row r="1516" spans="1:25">
      <c r="A1516" s="1544"/>
      <c r="B1516" s="1544"/>
      <c r="C1516" s="1544"/>
      <c r="D1516" s="1544"/>
      <c r="E1516" s="1544"/>
      <c r="R1516" s="1545"/>
      <c r="S1516" s="1545"/>
      <c r="T1516" s="1545"/>
      <c r="U1516" s="1545"/>
      <c r="V1516" s="1545"/>
      <c r="W1516" s="1545"/>
      <c r="X1516" s="1545"/>
      <c r="Y1516" s="1545"/>
    </row>
    <row r="1517" spans="1:25">
      <c r="A1517" s="1544"/>
      <c r="B1517" s="1544"/>
      <c r="C1517" s="1544"/>
      <c r="D1517" s="1544"/>
      <c r="E1517" s="1544"/>
      <c r="R1517" s="1545"/>
      <c r="S1517" s="1545"/>
      <c r="T1517" s="1545"/>
      <c r="U1517" s="1545"/>
      <c r="V1517" s="1545"/>
      <c r="W1517" s="1545"/>
      <c r="X1517" s="1545"/>
      <c r="Y1517" s="1545"/>
    </row>
    <row r="1518" spans="1:25">
      <c r="A1518" s="1544"/>
      <c r="B1518" s="1544"/>
      <c r="C1518" s="1544"/>
      <c r="D1518" s="1544"/>
      <c r="E1518" s="1544"/>
      <c r="R1518" s="1545"/>
      <c r="S1518" s="1545"/>
      <c r="T1518" s="1545"/>
      <c r="U1518" s="1545"/>
      <c r="V1518" s="1545"/>
      <c r="W1518" s="1545"/>
      <c r="X1518" s="1545"/>
      <c r="Y1518" s="1545"/>
    </row>
    <row r="1519" spans="1:25">
      <c r="A1519" s="1544"/>
      <c r="B1519" s="1544"/>
      <c r="C1519" s="1544"/>
      <c r="D1519" s="1544"/>
      <c r="E1519" s="1544"/>
      <c r="R1519" s="1545"/>
      <c r="S1519" s="1545"/>
      <c r="T1519" s="1545"/>
      <c r="U1519" s="1545"/>
      <c r="V1519" s="1545"/>
      <c r="W1519" s="1545"/>
      <c r="X1519" s="1545"/>
      <c r="Y1519" s="1545"/>
    </row>
    <row r="1520" spans="1:25">
      <c r="A1520" s="1544"/>
      <c r="B1520" s="1544"/>
      <c r="C1520" s="1544"/>
      <c r="D1520" s="1544"/>
      <c r="E1520" s="1544"/>
      <c r="R1520" s="1545"/>
      <c r="S1520" s="1545"/>
      <c r="T1520" s="1545"/>
      <c r="U1520" s="1545"/>
      <c r="V1520" s="1545"/>
      <c r="W1520" s="1545"/>
      <c r="X1520" s="1545"/>
      <c r="Y1520" s="1545"/>
    </row>
    <row r="1521" spans="1:25">
      <c r="A1521" s="1544"/>
      <c r="B1521" s="1544"/>
      <c r="C1521" s="1544"/>
      <c r="D1521" s="1544"/>
      <c r="E1521" s="1544"/>
      <c r="R1521" s="1545"/>
      <c r="S1521" s="1545"/>
      <c r="T1521" s="1545"/>
      <c r="U1521" s="1545"/>
      <c r="V1521" s="1545"/>
      <c r="W1521" s="1545"/>
      <c r="X1521" s="1545"/>
      <c r="Y1521" s="1545"/>
    </row>
    <row r="1522" spans="1:25">
      <c r="A1522" s="1544"/>
      <c r="B1522" s="1544"/>
      <c r="C1522" s="1544"/>
      <c r="D1522" s="1544"/>
      <c r="E1522" s="1544"/>
      <c r="R1522" s="1545"/>
      <c r="S1522" s="1545"/>
      <c r="T1522" s="1545"/>
      <c r="U1522" s="1545"/>
      <c r="V1522" s="1545"/>
      <c r="W1522" s="1545"/>
      <c r="X1522" s="1545"/>
      <c r="Y1522" s="1545"/>
    </row>
    <row r="1523" spans="1:25">
      <c r="A1523" s="1544"/>
      <c r="B1523" s="1544"/>
      <c r="C1523" s="1544"/>
      <c r="D1523" s="1544"/>
      <c r="E1523" s="1544"/>
      <c r="R1523" s="1545"/>
      <c r="S1523" s="1545"/>
      <c r="T1523" s="1545"/>
      <c r="U1523" s="1545"/>
      <c r="V1523" s="1545"/>
      <c r="W1523" s="1545"/>
      <c r="X1523" s="1545"/>
      <c r="Y1523" s="1545"/>
    </row>
    <row r="1524" spans="1:25">
      <c r="A1524" s="1544"/>
      <c r="B1524" s="1544"/>
      <c r="C1524" s="1544"/>
      <c r="D1524" s="1544"/>
      <c r="E1524" s="1544"/>
      <c r="R1524" s="1545"/>
      <c r="S1524" s="1545"/>
      <c r="T1524" s="1545"/>
      <c r="U1524" s="1545"/>
      <c r="V1524" s="1545"/>
      <c r="W1524" s="1545"/>
      <c r="X1524" s="1545"/>
      <c r="Y1524" s="1545"/>
    </row>
    <row r="1525" spans="1:25">
      <c r="A1525" s="1544"/>
      <c r="B1525" s="1544"/>
      <c r="C1525" s="1544"/>
      <c r="D1525" s="1544"/>
      <c r="E1525" s="1544"/>
      <c r="R1525" s="1545"/>
      <c r="S1525" s="1545"/>
      <c r="T1525" s="1545"/>
      <c r="U1525" s="1545"/>
      <c r="V1525" s="1545"/>
      <c r="W1525" s="1545"/>
      <c r="X1525" s="1545"/>
      <c r="Y1525" s="1545"/>
    </row>
    <row r="1526" spans="1:25">
      <c r="A1526" s="1544"/>
      <c r="B1526" s="1544"/>
      <c r="C1526" s="1544"/>
      <c r="D1526" s="1544"/>
      <c r="E1526" s="1544"/>
      <c r="R1526" s="1545"/>
      <c r="S1526" s="1545"/>
      <c r="T1526" s="1545"/>
      <c r="U1526" s="1545"/>
      <c r="V1526" s="1545"/>
      <c r="W1526" s="1545"/>
      <c r="X1526" s="1545"/>
      <c r="Y1526" s="1545"/>
    </row>
    <row r="1527" spans="1:25">
      <c r="E1527" s="1544"/>
      <c r="R1527" s="1545"/>
      <c r="S1527" s="1545"/>
      <c r="T1527" s="1545"/>
      <c r="U1527" s="1545"/>
      <c r="V1527" s="1545"/>
      <c r="W1527" s="1545"/>
      <c r="X1527" s="1545"/>
      <c r="Y1527" s="1545"/>
    </row>
    <row r="1528" spans="1:25">
      <c r="E1528" s="1544"/>
      <c r="R1528" s="1545"/>
      <c r="S1528" s="1545"/>
      <c r="T1528" s="1545"/>
      <c r="U1528" s="1545"/>
      <c r="V1528" s="1545"/>
      <c r="W1528" s="1545"/>
      <c r="X1528" s="1545"/>
      <c r="Y1528" s="1545"/>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disablePrompts="1"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D36" r:id="rId4"/>
    <hyperlink ref="D43" r:id="rId5"/>
    <hyperlink ref="B50" r:id="rId6"/>
    <hyperlink ref="D50" r:id="rId7"/>
    <hyperlink ref="B58" r:id="rId8"/>
    <hyperlink ref="D58" r:id="rId9"/>
    <hyperlink ref="B65" r:id="rId10"/>
    <hyperlink ref="B72" r:id="rId11"/>
    <hyperlink ref="B78" r:id="rId12"/>
    <hyperlink ref="D65" r:id="rId13"/>
  </hyperlinks>
  <pageMargins left="0.75" right="0.27" top="1" bottom="1" header="0.5" footer="0.5"/>
  <pageSetup scale="66" fitToWidth="0" orientation="portrait" r:id="rId1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defaultRowHeight="12.75"/>
  <sheetData>
    <row r="1" spans="1:12">
      <c r="A1" s="1227" t="s">
        <v>2001</v>
      </c>
    </row>
    <row r="2" spans="1:12">
      <c r="A2" s="2491" t="s">
        <v>1883</v>
      </c>
      <c r="B2" s="2492"/>
      <c r="C2" s="2492"/>
      <c r="D2" s="2492"/>
      <c r="E2" s="2492"/>
      <c r="F2" s="2492"/>
      <c r="G2" s="2492"/>
      <c r="H2" s="2492"/>
      <c r="I2" s="2492"/>
      <c r="J2" s="2493"/>
      <c r="K2" s="2"/>
      <c r="L2" s="2"/>
    </row>
    <row r="3" spans="1:12">
      <c r="A3" s="41" t="s">
        <v>1830</v>
      </c>
      <c r="B3" s="49"/>
      <c r="C3" s="49"/>
      <c r="D3" s="49"/>
      <c r="E3" s="42"/>
      <c r="F3" s="42"/>
      <c r="G3" s="42"/>
      <c r="H3" s="42"/>
      <c r="I3" s="42"/>
      <c r="J3" s="43"/>
      <c r="K3" s="2"/>
      <c r="L3" s="2"/>
    </row>
    <row r="4" spans="1:12">
      <c r="A4" s="44" t="s">
        <v>714</v>
      </c>
      <c r="B4" s="50"/>
      <c r="C4" s="50"/>
      <c r="D4" s="50"/>
      <c r="E4" s="45"/>
      <c r="F4" s="45"/>
      <c r="G4" s="45"/>
      <c r="H4" s="45"/>
      <c r="I4" s="45"/>
      <c r="J4" s="46"/>
      <c r="K4" s="2"/>
      <c r="L4" s="2"/>
    </row>
    <row r="5" spans="1:12">
      <c r="A5" s="44" t="s">
        <v>1885</v>
      </c>
      <c r="B5" s="50"/>
      <c r="C5" s="50"/>
      <c r="D5" s="50"/>
      <c r="E5" s="45"/>
      <c r="F5" s="45"/>
      <c r="G5" s="45"/>
      <c r="H5" s="45"/>
      <c r="I5" s="45"/>
      <c r="J5" s="46"/>
      <c r="K5" s="2"/>
      <c r="L5" s="2"/>
    </row>
    <row r="6" spans="1:12">
      <c r="A6" s="44" t="s">
        <v>1884</v>
      </c>
      <c r="B6" s="50"/>
      <c r="C6" s="50"/>
      <c r="D6" s="50"/>
      <c r="E6" s="45"/>
      <c r="F6" s="45"/>
      <c r="G6" s="45"/>
      <c r="H6" s="45"/>
      <c r="I6" s="45"/>
      <c r="J6" s="46"/>
      <c r="K6" s="2"/>
      <c r="L6" s="2"/>
    </row>
    <row r="7" spans="1:12">
      <c r="A7" s="44" t="s">
        <v>1838</v>
      </c>
      <c r="B7" s="50"/>
      <c r="C7" s="50"/>
      <c r="D7" s="50"/>
      <c r="E7" s="45"/>
      <c r="F7" s="45"/>
      <c r="G7" s="45"/>
      <c r="H7" s="45"/>
      <c r="I7" s="45"/>
      <c r="J7" s="46"/>
      <c r="K7" s="2"/>
      <c r="L7" s="2"/>
    </row>
    <row r="8" spans="1:12">
      <c r="A8" s="2491" t="s">
        <v>1831</v>
      </c>
      <c r="B8" s="2492"/>
      <c r="C8" s="2492"/>
      <c r="D8" s="2492"/>
      <c r="E8" s="2492"/>
      <c r="F8" s="2492"/>
      <c r="G8" s="2492"/>
      <c r="H8" s="2492"/>
      <c r="I8" s="2492"/>
      <c r="J8" s="2493"/>
      <c r="K8" s="2"/>
      <c r="L8" s="2"/>
    </row>
    <row r="9" spans="1:12">
      <c r="A9" s="47" t="s">
        <v>1832</v>
      </c>
      <c r="B9" s="40" t="s">
        <v>1849</v>
      </c>
      <c r="C9" s="40" t="s">
        <v>1850</v>
      </c>
      <c r="D9" s="40" t="s">
        <v>1851</v>
      </c>
      <c r="E9" s="2494" t="s">
        <v>1833</v>
      </c>
      <c r="F9" s="2495"/>
      <c r="G9" s="2495"/>
      <c r="H9" s="2496"/>
      <c r="I9" s="48" t="s">
        <v>1834</v>
      </c>
      <c r="J9" s="48" t="s">
        <v>1668</v>
      </c>
      <c r="K9" s="48" t="s">
        <v>1874</v>
      </c>
      <c r="L9" s="48" t="s">
        <v>1875</v>
      </c>
    </row>
    <row r="10" spans="1:12">
      <c r="A10" s="21">
        <v>3</v>
      </c>
      <c r="B10" s="21" t="s">
        <v>1835</v>
      </c>
      <c r="C10" s="21" t="s">
        <v>1835</v>
      </c>
      <c r="D10" s="21" t="s">
        <v>1835</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c r="A11" s="4">
        <v>3</v>
      </c>
      <c r="B11" s="4" t="s">
        <v>1835</v>
      </c>
      <c r="C11" s="4" t="s">
        <v>1835</v>
      </c>
      <c r="D11" s="4" t="s">
        <v>1835</v>
      </c>
      <c r="E11" s="10" t="str">
        <f t="shared" si="0"/>
        <v>Fully completed</v>
      </c>
      <c r="F11" s="6"/>
      <c r="G11" s="6"/>
      <c r="H11" s="18"/>
      <c r="I11" s="52">
        <v>0.06</v>
      </c>
      <c r="J11" s="64">
        <f t="shared" si="1"/>
        <v>5.9</v>
      </c>
      <c r="K11" s="4">
        <v>3</v>
      </c>
      <c r="L11" s="60">
        <f t="shared" si="2"/>
        <v>18</v>
      </c>
    </row>
    <row r="12" spans="1:12">
      <c r="A12" s="4">
        <v>3</v>
      </c>
      <c r="B12" s="4" t="s">
        <v>1835</v>
      </c>
      <c r="C12" s="4" t="s">
        <v>1835</v>
      </c>
      <c r="D12" s="4" t="s">
        <v>1835</v>
      </c>
      <c r="E12" s="10" t="str">
        <f t="shared" si="0"/>
        <v>Fully completed</v>
      </c>
      <c r="F12" s="6"/>
      <c r="G12" s="6"/>
      <c r="H12" s="18"/>
      <c r="I12" s="52">
        <v>0.03</v>
      </c>
      <c r="J12" s="64">
        <f t="shared" si="1"/>
        <v>2.95</v>
      </c>
      <c r="K12" s="4">
        <v>3</v>
      </c>
      <c r="L12" s="60">
        <f t="shared" si="2"/>
        <v>9</v>
      </c>
    </row>
    <row r="13" spans="1:12">
      <c r="A13" s="4">
        <v>3</v>
      </c>
      <c r="B13" s="4" t="s">
        <v>1835</v>
      </c>
      <c r="C13" s="4" t="s">
        <v>1835</v>
      </c>
      <c r="D13" s="4" t="s">
        <v>1835</v>
      </c>
      <c r="E13" s="10" t="str">
        <f t="shared" si="0"/>
        <v>Fully completed</v>
      </c>
      <c r="F13" s="6"/>
      <c r="G13" s="6"/>
      <c r="H13" s="18"/>
      <c r="I13" s="52">
        <v>0.04</v>
      </c>
      <c r="J13" s="64">
        <f t="shared" si="1"/>
        <v>3.93</v>
      </c>
      <c r="K13" s="4">
        <v>3</v>
      </c>
      <c r="L13" s="60">
        <f t="shared" si="2"/>
        <v>12</v>
      </c>
    </row>
    <row r="14" spans="1:12">
      <c r="A14" s="4">
        <v>3</v>
      </c>
      <c r="B14" s="4" t="s">
        <v>1835</v>
      </c>
      <c r="C14" s="4" t="s">
        <v>1835</v>
      </c>
      <c r="D14" s="4" t="s">
        <v>1835</v>
      </c>
      <c r="E14" s="10" t="str">
        <f t="shared" si="0"/>
        <v>Fully completed</v>
      </c>
      <c r="F14" s="6"/>
      <c r="G14" s="6"/>
      <c r="H14" s="18"/>
      <c r="I14" s="52">
        <v>0.06</v>
      </c>
      <c r="J14" s="64">
        <f t="shared" si="1"/>
        <v>5.9</v>
      </c>
      <c r="K14" s="4">
        <v>3</v>
      </c>
      <c r="L14" s="60">
        <f t="shared" si="2"/>
        <v>18</v>
      </c>
    </row>
    <row r="15" spans="1:12">
      <c r="A15" s="4">
        <v>3</v>
      </c>
      <c r="B15" s="4" t="s">
        <v>1835</v>
      </c>
      <c r="C15" s="4" t="s">
        <v>1835</v>
      </c>
      <c r="D15" s="4" t="s">
        <v>1835</v>
      </c>
      <c r="E15" s="10" t="str">
        <f t="shared" si="0"/>
        <v>Fully completed</v>
      </c>
      <c r="F15" s="6"/>
      <c r="G15" s="6"/>
      <c r="H15" s="18"/>
      <c r="I15" s="52">
        <v>0.03</v>
      </c>
      <c r="J15" s="64">
        <f t="shared" si="1"/>
        <v>2.95</v>
      </c>
      <c r="K15" s="4">
        <v>3</v>
      </c>
      <c r="L15" s="60">
        <f t="shared" si="2"/>
        <v>9</v>
      </c>
    </row>
    <row r="16" spans="1:12">
      <c r="A16" s="4">
        <v>3</v>
      </c>
      <c r="B16" s="4" t="s">
        <v>1835</v>
      </c>
      <c r="C16" s="4" t="s">
        <v>1835</v>
      </c>
      <c r="D16" s="4" t="s">
        <v>1835</v>
      </c>
      <c r="E16" s="10" t="str">
        <f t="shared" si="0"/>
        <v>Fully completed</v>
      </c>
      <c r="F16" s="6"/>
      <c r="G16" s="6"/>
      <c r="H16" s="18"/>
      <c r="I16" s="52">
        <v>0.04</v>
      </c>
      <c r="J16" s="64">
        <f t="shared" si="1"/>
        <v>3.93</v>
      </c>
      <c r="K16" s="4">
        <v>3</v>
      </c>
      <c r="L16" s="60">
        <f t="shared" si="2"/>
        <v>12</v>
      </c>
    </row>
    <row r="17" spans="1:12">
      <c r="A17" s="4">
        <v>2</v>
      </c>
      <c r="B17" s="4" t="s">
        <v>1835</v>
      </c>
      <c r="C17" s="4" t="s">
        <v>1835</v>
      </c>
      <c r="D17" s="4" t="s">
        <v>1835</v>
      </c>
      <c r="E17" s="10" t="str">
        <f t="shared" si="0"/>
        <v>Substantially completed with missing information</v>
      </c>
      <c r="F17" s="6"/>
      <c r="G17" s="6"/>
      <c r="H17" s="18"/>
      <c r="I17" s="52">
        <v>0.03</v>
      </c>
      <c r="J17" s="64">
        <f t="shared" si="1"/>
        <v>1.97</v>
      </c>
      <c r="K17" s="4">
        <v>3</v>
      </c>
      <c r="L17" s="60">
        <f t="shared" si="2"/>
        <v>9</v>
      </c>
    </row>
    <row r="18" spans="1:12">
      <c r="A18" s="4">
        <v>2</v>
      </c>
      <c r="B18" s="4" t="s">
        <v>1836</v>
      </c>
      <c r="C18" s="4" t="s">
        <v>1836</v>
      </c>
      <c r="D18" s="24" t="s">
        <v>1835</v>
      </c>
      <c r="E18" s="10" t="str">
        <f t="shared" si="0"/>
        <v>Substantially completed with missing information</v>
      </c>
      <c r="F18" s="6"/>
      <c r="G18" s="6"/>
      <c r="H18" s="18"/>
      <c r="I18" s="52">
        <v>0.02</v>
      </c>
      <c r="J18" s="64">
        <f t="shared" si="1"/>
        <v>1.31</v>
      </c>
      <c r="K18" s="4">
        <v>3</v>
      </c>
      <c r="L18" s="60">
        <f t="shared" si="2"/>
        <v>6</v>
      </c>
    </row>
    <row r="19" spans="1:12">
      <c r="A19" s="22">
        <v>1</v>
      </c>
      <c r="B19" s="22" t="s">
        <v>1836</v>
      </c>
      <c r="C19" s="25" t="s">
        <v>1835</v>
      </c>
      <c r="D19" s="25" t="s">
        <v>1835</v>
      </c>
      <c r="E19" s="11" t="str">
        <f t="shared" si="0"/>
        <v>Presented but with numerous information gaps</v>
      </c>
      <c r="F19" s="19"/>
      <c r="G19" s="19"/>
      <c r="H19" s="20"/>
      <c r="I19" s="53">
        <v>0.03</v>
      </c>
      <c r="J19" s="65">
        <f t="shared" si="1"/>
        <v>0.98</v>
      </c>
      <c r="K19" s="4">
        <v>3</v>
      </c>
      <c r="L19" s="60">
        <f t="shared" si="2"/>
        <v>9</v>
      </c>
    </row>
    <row r="20" spans="1:12">
      <c r="A20" s="9"/>
      <c r="B20" s="9"/>
      <c r="C20" s="9"/>
      <c r="D20" s="9"/>
      <c r="E20" s="2"/>
      <c r="F20" s="2"/>
      <c r="G20" s="2"/>
      <c r="H20" s="51" t="s">
        <v>1837</v>
      </c>
      <c r="I20" s="7">
        <f>SUM(I10:I19)</f>
        <v>0.35</v>
      </c>
      <c r="J20" s="62">
        <f>SUM(J10:J19)</f>
        <v>30.8</v>
      </c>
      <c r="K20" s="12"/>
      <c r="L20" s="60"/>
    </row>
    <row r="21" spans="1:12">
      <c r="A21" s="21">
        <v>3</v>
      </c>
      <c r="B21" s="21" t="s">
        <v>1835</v>
      </c>
      <c r="C21" s="23" t="s">
        <v>1835</v>
      </c>
      <c r="D21" s="23" t="s">
        <v>1835</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c r="A22" s="4">
        <v>1</v>
      </c>
      <c r="B22" s="4" t="s">
        <v>1836</v>
      </c>
      <c r="C22" s="4" t="s">
        <v>1836</v>
      </c>
      <c r="D22" s="24" t="s">
        <v>1835</v>
      </c>
      <c r="E22" s="10" t="str">
        <f t="shared" si="3"/>
        <v>Presented but with numerous information gaps</v>
      </c>
      <c r="F22" s="6"/>
      <c r="G22" s="6"/>
      <c r="H22" s="18"/>
      <c r="I22" s="52">
        <v>0.01</v>
      </c>
      <c r="J22" s="64">
        <f t="shared" si="4"/>
        <v>0.33</v>
      </c>
      <c r="K22" s="4">
        <v>3</v>
      </c>
      <c r="L22" s="60">
        <f t="shared" si="5"/>
        <v>3</v>
      </c>
    </row>
    <row r="23" spans="1:12">
      <c r="A23" s="4">
        <v>3</v>
      </c>
      <c r="B23" s="4" t="s">
        <v>1835</v>
      </c>
      <c r="C23" s="4" t="s">
        <v>1835</v>
      </c>
      <c r="D23" s="24" t="s">
        <v>1835</v>
      </c>
      <c r="E23" s="10" t="str">
        <f t="shared" si="3"/>
        <v>Fully completed</v>
      </c>
      <c r="F23" s="6"/>
      <c r="G23" s="6"/>
      <c r="H23" s="18"/>
      <c r="I23" s="52">
        <v>0.02</v>
      </c>
      <c r="J23" s="64">
        <f t="shared" si="4"/>
        <v>1.97</v>
      </c>
      <c r="K23" s="4">
        <v>3</v>
      </c>
      <c r="L23" s="60">
        <f t="shared" si="5"/>
        <v>6</v>
      </c>
    </row>
    <row r="24" spans="1:12">
      <c r="A24" s="4">
        <v>3</v>
      </c>
      <c r="B24" s="4" t="s">
        <v>1836</v>
      </c>
      <c r="C24" s="24" t="s">
        <v>1835</v>
      </c>
      <c r="D24" s="24" t="s">
        <v>1835</v>
      </c>
      <c r="E24" s="10" t="str">
        <f t="shared" si="3"/>
        <v>Fully completed</v>
      </c>
      <c r="F24" s="6"/>
      <c r="G24" s="6"/>
      <c r="H24" s="18"/>
      <c r="I24" s="52">
        <v>0.01</v>
      </c>
      <c r="J24" s="64">
        <f t="shared" si="4"/>
        <v>0.98</v>
      </c>
      <c r="K24" s="4">
        <v>3</v>
      </c>
      <c r="L24" s="60">
        <f t="shared" si="5"/>
        <v>3</v>
      </c>
    </row>
    <row r="25" spans="1:12">
      <c r="A25" s="4">
        <v>3</v>
      </c>
      <c r="B25" s="4" t="s">
        <v>1836</v>
      </c>
      <c r="C25" s="24" t="s">
        <v>1835</v>
      </c>
      <c r="D25" s="24" t="s">
        <v>1835</v>
      </c>
      <c r="E25" s="10" t="str">
        <f t="shared" si="3"/>
        <v>Fully completed</v>
      </c>
      <c r="F25" s="6"/>
      <c r="G25" s="6"/>
      <c r="H25" s="18"/>
      <c r="I25" s="52">
        <v>0.01</v>
      </c>
      <c r="J25" s="64">
        <f t="shared" si="4"/>
        <v>0.98</v>
      </c>
      <c r="K25" s="4">
        <v>3</v>
      </c>
      <c r="L25" s="60">
        <f t="shared" si="5"/>
        <v>3</v>
      </c>
    </row>
    <row r="26" spans="1:12">
      <c r="A26" s="4">
        <v>3</v>
      </c>
      <c r="B26" s="4" t="s">
        <v>1836</v>
      </c>
      <c r="C26" s="24" t="s">
        <v>1835</v>
      </c>
      <c r="D26" s="24" t="s">
        <v>1835</v>
      </c>
      <c r="E26" s="10" t="str">
        <f t="shared" si="3"/>
        <v>Fully completed</v>
      </c>
      <c r="F26" s="6"/>
      <c r="G26" s="6"/>
      <c r="H26" s="18"/>
      <c r="I26" s="52">
        <v>0.01</v>
      </c>
      <c r="J26" s="64">
        <f t="shared" si="4"/>
        <v>0.98</v>
      </c>
      <c r="K26" s="4">
        <v>3</v>
      </c>
      <c r="L26" s="60">
        <f t="shared" si="5"/>
        <v>3</v>
      </c>
    </row>
    <row r="27" spans="1:12">
      <c r="A27" s="4">
        <v>0</v>
      </c>
      <c r="B27" s="4" t="s">
        <v>1836</v>
      </c>
      <c r="C27" s="24" t="s">
        <v>1835</v>
      </c>
      <c r="D27" s="24" t="s">
        <v>1835</v>
      </c>
      <c r="E27" s="10" t="str">
        <f t="shared" si="3"/>
        <v>Not presented</v>
      </c>
      <c r="F27" s="6"/>
      <c r="G27" s="6"/>
      <c r="H27" s="18"/>
      <c r="I27" s="52">
        <v>0.01</v>
      </c>
      <c r="J27" s="64">
        <f t="shared" si="4"/>
        <v>0</v>
      </c>
      <c r="K27" s="4">
        <v>3</v>
      </c>
      <c r="L27" s="60">
        <f t="shared" si="5"/>
        <v>3</v>
      </c>
    </row>
    <row r="28" spans="1:12">
      <c r="A28" s="4">
        <v>2</v>
      </c>
      <c r="B28" s="4" t="s">
        <v>1835</v>
      </c>
      <c r="C28" s="4" t="s">
        <v>1835</v>
      </c>
      <c r="D28" s="4" t="s">
        <v>1835</v>
      </c>
      <c r="E28" s="10" t="str">
        <f t="shared" si="3"/>
        <v>Substantially completed with missing information</v>
      </c>
      <c r="F28" s="6"/>
      <c r="G28" s="6"/>
      <c r="H28" s="18"/>
      <c r="I28" s="52">
        <v>0.01</v>
      </c>
      <c r="J28" s="64">
        <f t="shared" si="4"/>
        <v>0.66</v>
      </c>
      <c r="K28" s="4">
        <v>3</v>
      </c>
      <c r="L28" s="60">
        <f t="shared" si="5"/>
        <v>3</v>
      </c>
    </row>
    <row r="29" spans="1:12">
      <c r="A29" s="4">
        <v>3</v>
      </c>
      <c r="B29" s="4" t="s">
        <v>1836</v>
      </c>
      <c r="C29" s="24" t="s">
        <v>1836</v>
      </c>
      <c r="D29" s="4" t="s">
        <v>1835</v>
      </c>
      <c r="E29" s="10" t="str">
        <f t="shared" si="3"/>
        <v>Fully completed</v>
      </c>
      <c r="F29" s="6"/>
      <c r="G29" s="6"/>
      <c r="H29" s="18"/>
      <c r="I29" s="52">
        <v>0.01</v>
      </c>
      <c r="J29" s="64">
        <f t="shared" si="4"/>
        <v>0.98</v>
      </c>
      <c r="K29" s="4">
        <v>3</v>
      </c>
      <c r="L29" s="60">
        <f t="shared" si="5"/>
        <v>3</v>
      </c>
    </row>
    <row r="30" spans="1:12">
      <c r="A30" s="4">
        <v>2</v>
      </c>
      <c r="B30" s="4" t="s">
        <v>1835</v>
      </c>
      <c r="C30" s="4" t="s">
        <v>1835</v>
      </c>
      <c r="D30" s="4" t="s">
        <v>1835</v>
      </c>
      <c r="E30" s="10" t="str">
        <f t="shared" si="3"/>
        <v>Substantially completed with missing information</v>
      </c>
      <c r="F30" s="6"/>
      <c r="G30" s="6"/>
      <c r="H30" s="18"/>
      <c r="I30" s="52">
        <v>0.03</v>
      </c>
      <c r="J30" s="64">
        <f t="shared" si="4"/>
        <v>1.97</v>
      </c>
      <c r="K30" s="4">
        <v>3</v>
      </c>
      <c r="L30" s="60">
        <f t="shared" si="5"/>
        <v>9</v>
      </c>
    </row>
    <row r="31" spans="1:12">
      <c r="A31" s="4">
        <v>3</v>
      </c>
      <c r="B31" s="4" t="s">
        <v>1835</v>
      </c>
      <c r="C31" s="4" t="s">
        <v>1835</v>
      </c>
      <c r="D31" s="4" t="s">
        <v>1835</v>
      </c>
      <c r="E31" s="10" t="str">
        <f t="shared" si="3"/>
        <v>Fully completed</v>
      </c>
      <c r="F31" s="6"/>
      <c r="G31" s="6"/>
      <c r="H31" s="18"/>
      <c r="I31" s="52">
        <v>0.01</v>
      </c>
      <c r="J31" s="64">
        <f t="shared" si="4"/>
        <v>0.98</v>
      </c>
      <c r="K31" s="4">
        <v>3</v>
      </c>
      <c r="L31" s="60">
        <f t="shared" si="5"/>
        <v>3</v>
      </c>
    </row>
    <row r="32" spans="1:12">
      <c r="A32" s="4">
        <v>3</v>
      </c>
      <c r="B32" s="4" t="s">
        <v>1835</v>
      </c>
      <c r="C32" s="4" t="s">
        <v>1835</v>
      </c>
      <c r="D32" s="4" t="s">
        <v>1835</v>
      </c>
      <c r="E32" s="10" t="str">
        <f t="shared" si="3"/>
        <v>Fully completed</v>
      </c>
      <c r="F32" s="6"/>
      <c r="G32" s="6"/>
      <c r="H32" s="18"/>
      <c r="I32" s="52">
        <v>0.01</v>
      </c>
      <c r="J32" s="64">
        <f t="shared" si="4"/>
        <v>0.98</v>
      </c>
      <c r="K32" s="4">
        <v>3</v>
      </c>
      <c r="L32" s="60">
        <f t="shared" si="5"/>
        <v>3</v>
      </c>
    </row>
    <row r="33" spans="1:12">
      <c r="A33" s="4">
        <v>3</v>
      </c>
      <c r="B33" s="4" t="s">
        <v>1835</v>
      </c>
      <c r="C33" s="4" t="s">
        <v>1835</v>
      </c>
      <c r="D33" s="4" t="s">
        <v>1835</v>
      </c>
      <c r="E33" s="10" t="str">
        <f t="shared" si="3"/>
        <v>Fully completed</v>
      </c>
      <c r="F33" s="6"/>
      <c r="G33" s="6"/>
      <c r="H33" s="18"/>
      <c r="I33" s="52">
        <v>0.01</v>
      </c>
      <c r="J33" s="64">
        <f t="shared" si="4"/>
        <v>0.98</v>
      </c>
      <c r="K33" s="4">
        <v>3</v>
      </c>
      <c r="L33" s="60">
        <f t="shared" si="5"/>
        <v>3</v>
      </c>
    </row>
    <row r="34" spans="1:12">
      <c r="A34" s="4">
        <v>0</v>
      </c>
      <c r="B34" s="4" t="s">
        <v>1835</v>
      </c>
      <c r="C34" s="4" t="s">
        <v>1835</v>
      </c>
      <c r="D34" s="4" t="s">
        <v>1835</v>
      </c>
      <c r="E34" s="10" t="str">
        <f t="shared" si="3"/>
        <v>Not presented</v>
      </c>
      <c r="F34" s="6"/>
      <c r="G34" s="6"/>
      <c r="H34" s="18"/>
      <c r="I34" s="52">
        <v>0.02</v>
      </c>
      <c r="J34" s="64">
        <f t="shared" si="4"/>
        <v>0</v>
      </c>
      <c r="K34" s="4">
        <v>3</v>
      </c>
      <c r="L34" s="60">
        <f t="shared" si="5"/>
        <v>6</v>
      </c>
    </row>
    <row r="35" spans="1:12">
      <c r="A35" s="4">
        <v>0</v>
      </c>
      <c r="B35" s="4" t="s">
        <v>1836</v>
      </c>
      <c r="C35" s="24" t="s">
        <v>1835</v>
      </c>
      <c r="D35" s="24" t="s">
        <v>1835</v>
      </c>
      <c r="E35" s="10" t="str">
        <f t="shared" si="3"/>
        <v>Not presented</v>
      </c>
      <c r="F35" s="6"/>
      <c r="G35" s="6"/>
      <c r="H35" s="18"/>
      <c r="I35" s="52">
        <v>0.02</v>
      </c>
      <c r="J35" s="64">
        <f t="shared" si="4"/>
        <v>0</v>
      </c>
      <c r="K35" s="4">
        <v>3</v>
      </c>
      <c r="L35" s="60">
        <f t="shared" si="5"/>
        <v>6</v>
      </c>
    </row>
    <row r="36" spans="1:12">
      <c r="A36" s="4"/>
      <c r="B36" s="4"/>
      <c r="C36" s="24"/>
      <c r="D36" s="24"/>
      <c r="E36" s="10"/>
      <c r="F36" s="6"/>
      <c r="G36" s="6"/>
      <c r="H36" s="18"/>
      <c r="I36" s="52"/>
      <c r="J36" s="64"/>
      <c r="K36" s="4"/>
      <c r="L36" s="60"/>
    </row>
    <row r="37" spans="1:12">
      <c r="A37" s="4">
        <v>0</v>
      </c>
      <c r="B37" s="4" t="s">
        <v>1836</v>
      </c>
      <c r="C37" s="24" t="s">
        <v>1835</v>
      </c>
      <c r="D37" s="24" t="s">
        <v>1835</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c r="A38" s="4">
        <v>3</v>
      </c>
      <c r="B38" s="4" t="s">
        <v>1835</v>
      </c>
      <c r="C38" s="4" t="s">
        <v>1835</v>
      </c>
      <c r="D38" s="4" t="s">
        <v>1835</v>
      </c>
      <c r="E38" s="10" t="str">
        <f t="shared" si="6"/>
        <v>Fully completed</v>
      </c>
      <c r="F38" s="6"/>
      <c r="G38" s="6"/>
      <c r="H38" s="18"/>
      <c r="I38" s="52">
        <v>0.01</v>
      </c>
      <c r="J38" s="64">
        <f t="shared" si="7"/>
        <v>0.98</v>
      </c>
      <c r="K38" s="4">
        <v>3</v>
      </c>
      <c r="L38" s="60">
        <f t="shared" si="8"/>
        <v>3</v>
      </c>
    </row>
    <row r="39" spans="1:12">
      <c r="A39" s="4">
        <v>2</v>
      </c>
      <c r="B39" s="4" t="s">
        <v>1835</v>
      </c>
      <c r="C39" s="4" t="s">
        <v>1835</v>
      </c>
      <c r="D39" s="4" t="s">
        <v>1835</v>
      </c>
      <c r="E39" s="10" t="str">
        <f t="shared" si="6"/>
        <v>Substantially completed with missing information</v>
      </c>
      <c r="F39" s="6"/>
      <c r="G39" s="6"/>
      <c r="H39" s="18"/>
      <c r="I39" s="52">
        <v>0.01</v>
      </c>
      <c r="J39" s="64">
        <f t="shared" si="7"/>
        <v>0.66</v>
      </c>
      <c r="K39" s="4">
        <v>3</v>
      </c>
      <c r="L39" s="60">
        <f t="shared" si="8"/>
        <v>3</v>
      </c>
    </row>
    <row r="40" spans="1:12">
      <c r="A40" s="4">
        <v>1</v>
      </c>
      <c r="B40" s="4" t="s">
        <v>1836</v>
      </c>
      <c r="C40" s="24" t="s">
        <v>1835</v>
      </c>
      <c r="D40" s="24" t="s">
        <v>1835</v>
      </c>
      <c r="E40" s="10" t="str">
        <f t="shared" si="6"/>
        <v>Presented but with numerous information gaps</v>
      </c>
      <c r="F40" s="6"/>
      <c r="G40" s="6"/>
      <c r="H40" s="18"/>
      <c r="I40" s="52">
        <v>0.01</v>
      </c>
      <c r="J40" s="64">
        <f t="shared" si="7"/>
        <v>0.33</v>
      </c>
      <c r="K40" s="4">
        <v>3</v>
      </c>
      <c r="L40" s="60">
        <f t="shared" si="8"/>
        <v>3</v>
      </c>
    </row>
    <row r="41" spans="1:12">
      <c r="A41" s="4">
        <v>3</v>
      </c>
      <c r="B41" s="4" t="s">
        <v>1835</v>
      </c>
      <c r="C41" s="4" t="s">
        <v>1835</v>
      </c>
      <c r="D41" s="4" t="s">
        <v>1835</v>
      </c>
      <c r="E41" s="10" t="str">
        <f t="shared" si="6"/>
        <v>Fully completed</v>
      </c>
      <c r="F41" s="6"/>
      <c r="G41" s="6"/>
      <c r="H41" s="18"/>
      <c r="I41" s="52">
        <v>0.01</v>
      </c>
      <c r="J41" s="64">
        <f t="shared" si="7"/>
        <v>0.98</v>
      </c>
      <c r="K41" s="4">
        <v>3</v>
      </c>
      <c r="L41" s="60">
        <f t="shared" si="8"/>
        <v>3</v>
      </c>
    </row>
    <row r="42" spans="1:12">
      <c r="A42" s="4">
        <v>3</v>
      </c>
      <c r="B42" s="4" t="s">
        <v>1835</v>
      </c>
      <c r="C42" s="4" t="s">
        <v>1835</v>
      </c>
      <c r="D42" s="4" t="s">
        <v>1835</v>
      </c>
      <c r="E42" s="10" t="str">
        <f t="shared" si="6"/>
        <v>Fully completed</v>
      </c>
      <c r="F42" s="6"/>
      <c r="G42" s="6"/>
      <c r="H42" s="18"/>
      <c r="I42" s="52">
        <v>0.01</v>
      </c>
      <c r="J42" s="64">
        <f t="shared" si="7"/>
        <v>0.98</v>
      </c>
      <c r="K42" s="4">
        <v>3</v>
      </c>
      <c r="L42" s="60">
        <f t="shared" si="8"/>
        <v>3</v>
      </c>
    </row>
    <row r="43" spans="1:12">
      <c r="A43" s="4">
        <v>3</v>
      </c>
      <c r="B43" s="4" t="s">
        <v>1835</v>
      </c>
      <c r="C43" s="4" t="s">
        <v>1835</v>
      </c>
      <c r="D43" s="4" t="s">
        <v>1835</v>
      </c>
      <c r="E43" s="10" t="str">
        <f t="shared" si="6"/>
        <v>Fully completed</v>
      </c>
      <c r="F43" s="6"/>
      <c r="G43" s="6"/>
      <c r="H43" s="18"/>
      <c r="I43" s="52">
        <v>0.01</v>
      </c>
      <c r="J43" s="64">
        <f t="shared" si="7"/>
        <v>0.98</v>
      </c>
      <c r="K43" s="4">
        <v>3</v>
      </c>
      <c r="L43" s="60">
        <f t="shared" si="8"/>
        <v>3</v>
      </c>
    </row>
    <row r="44" spans="1:12">
      <c r="A44" s="4">
        <v>3</v>
      </c>
      <c r="B44" s="4" t="s">
        <v>1835</v>
      </c>
      <c r="C44" s="4" t="s">
        <v>1835</v>
      </c>
      <c r="D44" s="4" t="s">
        <v>1835</v>
      </c>
      <c r="E44" s="10" t="str">
        <f t="shared" si="6"/>
        <v>Fully completed</v>
      </c>
      <c r="F44" s="6"/>
      <c r="G44" s="6"/>
      <c r="H44" s="18"/>
      <c r="I44" s="52">
        <v>0.01</v>
      </c>
      <c r="J44" s="64">
        <f t="shared" si="7"/>
        <v>0.98</v>
      </c>
      <c r="K44" s="4">
        <v>3</v>
      </c>
      <c r="L44" s="60">
        <f t="shared" si="8"/>
        <v>3</v>
      </c>
    </row>
    <row r="45" spans="1:12">
      <c r="A45" s="4">
        <v>1</v>
      </c>
      <c r="B45" s="4" t="s">
        <v>1835</v>
      </c>
      <c r="C45" s="4" t="s">
        <v>1835</v>
      </c>
      <c r="D45" s="4" t="s">
        <v>1835</v>
      </c>
      <c r="E45" s="10" t="str">
        <f t="shared" si="6"/>
        <v>Presented but with numerous information gaps</v>
      </c>
      <c r="F45" s="6"/>
      <c r="G45" s="6"/>
      <c r="H45" s="18"/>
      <c r="I45" s="52">
        <v>0.01</v>
      </c>
      <c r="J45" s="64">
        <f t="shared" si="7"/>
        <v>0.33</v>
      </c>
      <c r="K45" s="4">
        <v>3</v>
      </c>
      <c r="L45" s="60">
        <f t="shared" si="8"/>
        <v>3</v>
      </c>
    </row>
    <row r="46" spans="1:12">
      <c r="A46" s="4">
        <v>0</v>
      </c>
      <c r="B46" s="4" t="s">
        <v>1835</v>
      </c>
      <c r="C46" s="4" t="s">
        <v>1835</v>
      </c>
      <c r="D46" s="4" t="s">
        <v>1835</v>
      </c>
      <c r="E46" s="10" t="str">
        <f t="shared" si="6"/>
        <v>Not presented</v>
      </c>
      <c r="F46" s="6"/>
      <c r="G46" s="6"/>
      <c r="H46" s="18"/>
      <c r="I46" s="52">
        <v>0.01</v>
      </c>
      <c r="J46" s="64">
        <f t="shared" si="7"/>
        <v>0</v>
      </c>
      <c r="K46" s="4">
        <v>3</v>
      </c>
      <c r="L46" s="60">
        <f t="shared" si="8"/>
        <v>3</v>
      </c>
    </row>
    <row r="47" spans="1:12">
      <c r="A47" s="4">
        <v>0</v>
      </c>
      <c r="B47" s="4" t="s">
        <v>1836</v>
      </c>
      <c r="C47" s="24" t="s">
        <v>1835</v>
      </c>
      <c r="D47" s="24" t="s">
        <v>1835</v>
      </c>
      <c r="E47" s="10" t="str">
        <f t="shared" si="6"/>
        <v>Not presented</v>
      </c>
      <c r="F47" s="6"/>
      <c r="G47" s="6"/>
      <c r="H47" s="18"/>
      <c r="I47" s="52">
        <v>0.01</v>
      </c>
      <c r="J47" s="64">
        <f t="shared" si="7"/>
        <v>0</v>
      </c>
      <c r="K47" s="4">
        <v>3</v>
      </c>
      <c r="L47" s="60">
        <f t="shared" si="8"/>
        <v>3</v>
      </c>
    </row>
    <row r="48" spans="1:12">
      <c r="A48" s="4">
        <v>0</v>
      </c>
      <c r="B48" s="4" t="s">
        <v>1836</v>
      </c>
      <c r="C48" s="24" t="s">
        <v>1835</v>
      </c>
      <c r="D48" s="24" t="s">
        <v>1835</v>
      </c>
      <c r="E48" s="10" t="str">
        <f t="shared" si="6"/>
        <v>Not presented</v>
      </c>
      <c r="F48" s="6"/>
      <c r="G48" s="6"/>
      <c r="H48" s="18"/>
      <c r="I48" s="52">
        <v>0.01</v>
      </c>
      <c r="J48" s="64">
        <f t="shared" si="7"/>
        <v>0</v>
      </c>
      <c r="K48" s="4">
        <v>3</v>
      </c>
      <c r="L48" s="60">
        <f t="shared" si="8"/>
        <v>3</v>
      </c>
    </row>
    <row r="49" spans="1:12">
      <c r="A49" s="4">
        <v>0</v>
      </c>
      <c r="B49" s="4" t="s">
        <v>1836</v>
      </c>
      <c r="C49" s="24" t="s">
        <v>1835</v>
      </c>
      <c r="D49" s="24" t="s">
        <v>1835</v>
      </c>
      <c r="E49" s="10" t="str">
        <f t="shared" si="6"/>
        <v>Not presented</v>
      </c>
      <c r="F49" s="6"/>
      <c r="G49" s="6"/>
      <c r="H49" s="18"/>
      <c r="I49" s="52">
        <v>0.02</v>
      </c>
      <c r="J49" s="64">
        <f t="shared" si="7"/>
        <v>0</v>
      </c>
      <c r="K49" s="4">
        <v>3</v>
      </c>
      <c r="L49" s="60">
        <f t="shared" si="8"/>
        <v>6</v>
      </c>
    </row>
    <row r="50" spans="1:12">
      <c r="A50" s="4">
        <v>2</v>
      </c>
      <c r="B50" s="4" t="s">
        <v>1836</v>
      </c>
      <c r="C50" s="24" t="s">
        <v>1835</v>
      </c>
      <c r="D50" s="24" t="s">
        <v>1835</v>
      </c>
      <c r="E50" s="10" t="str">
        <f t="shared" si="6"/>
        <v>Substantially completed with missing information</v>
      </c>
      <c r="F50" s="6"/>
      <c r="G50" s="6"/>
      <c r="H50" s="18"/>
      <c r="I50" s="52">
        <v>0.01</v>
      </c>
      <c r="J50" s="64">
        <f t="shared" si="7"/>
        <v>0.66</v>
      </c>
      <c r="K50" s="4">
        <v>3</v>
      </c>
      <c r="L50" s="60">
        <f t="shared" si="8"/>
        <v>3</v>
      </c>
    </row>
    <row r="51" spans="1:12">
      <c r="A51" s="4">
        <v>1</v>
      </c>
      <c r="B51" s="4" t="s">
        <v>1836</v>
      </c>
      <c r="C51" s="24" t="s">
        <v>1835</v>
      </c>
      <c r="D51" s="24" t="s">
        <v>1835</v>
      </c>
      <c r="E51" s="10" t="str">
        <f t="shared" si="6"/>
        <v>Presented but with numerous information gaps</v>
      </c>
      <c r="F51" s="6"/>
      <c r="G51" s="6"/>
      <c r="H51" s="18"/>
      <c r="I51" s="52">
        <v>0.02</v>
      </c>
      <c r="J51" s="64">
        <f t="shared" si="7"/>
        <v>0.66</v>
      </c>
      <c r="K51" s="4">
        <v>3</v>
      </c>
      <c r="L51" s="60">
        <f t="shared" si="8"/>
        <v>6</v>
      </c>
    </row>
    <row r="52" spans="1:12">
      <c r="A52" s="4">
        <v>0</v>
      </c>
      <c r="B52" s="4" t="s">
        <v>1835</v>
      </c>
      <c r="C52" s="4" t="s">
        <v>1835</v>
      </c>
      <c r="D52" s="4" t="s">
        <v>1835</v>
      </c>
      <c r="E52" s="10" t="str">
        <f t="shared" si="6"/>
        <v>Not presented</v>
      </c>
      <c r="F52" s="6"/>
      <c r="G52" s="6"/>
      <c r="H52" s="18"/>
      <c r="I52" s="52">
        <v>0.01</v>
      </c>
      <c r="J52" s="64">
        <f t="shared" si="7"/>
        <v>0</v>
      </c>
      <c r="K52" s="4">
        <v>3</v>
      </c>
      <c r="L52" s="60">
        <f t="shared" si="8"/>
        <v>3</v>
      </c>
    </row>
    <row r="53" spans="1:12">
      <c r="A53" s="22">
        <v>0</v>
      </c>
      <c r="B53" s="22" t="s">
        <v>1836</v>
      </c>
      <c r="C53" s="25" t="s">
        <v>1835</v>
      </c>
      <c r="D53" s="25" t="s">
        <v>1835</v>
      </c>
      <c r="E53" s="11" t="str">
        <f t="shared" si="6"/>
        <v>Not presented</v>
      </c>
      <c r="F53" s="19"/>
      <c r="G53" s="19"/>
      <c r="H53" s="20"/>
      <c r="I53" s="53">
        <v>0.02</v>
      </c>
      <c r="J53" s="65">
        <f t="shared" si="7"/>
        <v>0</v>
      </c>
      <c r="K53" s="4">
        <v>3</v>
      </c>
      <c r="L53" s="60">
        <f t="shared" si="8"/>
        <v>6</v>
      </c>
    </row>
    <row r="54" spans="1:12">
      <c r="A54" s="9"/>
      <c r="B54" s="9"/>
      <c r="C54" s="9"/>
      <c r="D54" s="9"/>
      <c r="E54" s="2"/>
      <c r="F54" s="2"/>
      <c r="G54" s="2"/>
      <c r="H54" s="51" t="s">
        <v>1837</v>
      </c>
      <c r="I54" s="7">
        <f>SUM(I21:I53)</f>
        <v>0.41000000000000014</v>
      </c>
      <c r="J54" s="62">
        <f>SUM(J21:J53)</f>
        <v>21.300000000000004</v>
      </c>
      <c r="K54" s="12"/>
      <c r="L54" s="60"/>
    </row>
    <row r="55" spans="1:12">
      <c r="A55" s="9"/>
      <c r="B55" s="9"/>
      <c r="C55" s="9"/>
      <c r="D55" s="9"/>
      <c r="E55" s="2"/>
      <c r="F55" s="2"/>
      <c r="G55" s="2"/>
      <c r="H55" s="51"/>
      <c r="I55" s="136"/>
      <c r="J55" s="137"/>
      <c r="K55" s="12"/>
      <c r="L55" s="60"/>
    </row>
    <row r="56" spans="1:12">
      <c r="A56" s="21">
        <v>3</v>
      </c>
      <c r="B56" s="21" t="s">
        <v>1835</v>
      </c>
      <c r="C56" s="21" t="s">
        <v>1835</v>
      </c>
      <c r="D56" s="21" t="s">
        <v>1835</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c r="A57" s="4">
        <v>3</v>
      </c>
      <c r="B57" s="4" t="s">
        <v>1835</v>
      </c>
      <c r="C57" s="4" t="s">
        <v>1835</v>
      </c>
      <c r="D57" s="4" t="s">
        <v>1835</v>
      </c>
      <c r="E57" s="10" t="str">
        <f t="shared" si="9"/>
        <v>Fully completed</v>
      </c>
      <c r="F57" s="6"/>
      <c r="G57" s="6"/>
      <c r="H57" s="18"/>
      <c r="I57" s="52">
        <v>0.01</v>
      </c>
      <c r="J57" s="4">
        <f t="shared" si="10"/>
        <v>0.98</v>
      </c>
      <c r="K57" s="4">
        <v>3</v>
      </c>
      <c r="L57" s="60">
        <f t="shared" si="11"/>
        <v>3</v>
      </c>
    </row>
    <row r="58" spans="1:12">
      <c r="A58" s="4">
        <v>3</v>
      </c>
      <c r="B58" s="4" t="s">
        <v>1835</v>
      </c>
      <c r="C58" s="4" t="s">
        <v>1835</v>
      </c>
      <c r="D58" s="4" t="s">
        <v>1835</v>
      </c>
      <c r="E58" s="10" t="str">
        <f t="shared" si="9"/>
        <v>Fully completed</v>
      </c>
      <c r="F58" s="6"/>
      <c r="G58" s="6"/>
      <c r="H58" s="18"/>
      <c r="I58" s="52">
        <v>0.01</v>
      </c>
      <c r="J58" s="4">
        <f t="shared" si="10"/>
        <v>0.98</v>
      </c>
      <c r="K58" s="4">
        <v>3</v>
      </c>
      <c r="L58" s="60">
        <f t="shared" si="11"/>
        <v>3</v>
      </c>
    </row>
    <row r="59" spans="1:12">
      <c r="A59" s="4">
        <v>3</v>
      </c>
      <c r="B59" s="4" t="s">
        <v>1836</v>
      </c>
      <c r="C59" s="4" t="s">
        <v>1836</v>
      </c>
      <c r="D59" s="4" t="s">
        <v>1836</v>
      </c>
      <c r="E59" s="10" t="str">
        <f t="shared" si="9"/>
        <v>Fully completed</v>
      </c>
      <c r="F59" s="6"/>
      <c r="G59" s="6"/>
      <c r="H59" s="18"/>
      <c r="I59" s="56">
        <v>5.0000000000000001E-3</v>
      </c>
      <c r="J59" s="4">
        <f t="shared" si="10"/>
        <v>0.49</v>
      </c>
      <c r="K59" s="4">
        <v>3</v>
      </c>
      <c r="L59" s="60">
        <f t="shared" si="11"/>
        <v>2</v>
      </c>
    </row>
    <row r="60" spans="1:12">
      <c r="A60" s="4">
        <v>3</v>
      </c>
      <c r="B60" s="4" t="s">
        <v>1835</v>
      </c>
      <c r="C60" s="4" t="s">
        <v>1835</v>
      </c>
      <c r="D60" s="4" t="s">
        <v>1835</v>
      </c>
      <c r="E60" s="10" t="str">
        <f t="shared" si="9"/>
        <v>Fully completed</v>
      </c>
      <c r="F60" s="6"/>
      <c r="G60" s="6"/>
      <c r="H60" s="18"/>
      <c r="I60" s="52">
        <v>0.01</v>
      </c>
      <c r="J60" s="4">
        <f t="shared" si="10"/>
        <v>0.98</v>
      </c>
      <c r="K60" s="4">
        <v>3</v>
      </c>
      <c r="L60" s="60">
        <f t="shared" si="11"/>
        <v>3</v>
      </c>
    </row>
    <row r="61" spans="1:12">
      <c r="A61" s="4">
        <v>3</v>
      </c>
      <c r="B61" s="4" t="s">
        <v>1836</v>
      </c>
      <c r="C61" s="4" t="s">
        <v>1836</v>
      </c>
      <c r="D61" s="4" t="s">
        <v>1836</v>
      </c>
      <c r="E61" s="10" t="str">
        <f t="shared" si="9"/>
        <v>Fully completed</v>
      </c>
      <c r="F61" s="6"/>
      <c r="G61" s="6"/>
      <c r="H61" s="18"/>
      <c r="I61" s="56">
        <v>5.0000000000000001E-3</v>
      </c>
      <c r="J61" s="4">
        <f t="shared" si="10"/>
        <v>0.49</v>
      </c>
      <c r="K61" s="4">
        <v>3</v>
      </c>
      <c r="L61" s="60">
        <f t="shared" si="11"/>
        <v>2</v>
      </c>
    </row>
    <row r="62" spans="1:12">
      <c r="A62" s="4">
        <v>3</v>
      </c>
      <c r="B62" s="4" t="s">
        <v>1835</v>
      </c>
      <c r="C62" s="4" t="s">
        <v>1835</v>
      </c>
      <c r="D62" s="4" t="s">
        <v>1835</v>
      </c>
      <c r="E62" s="10" t="str">
        <f t="shared" si="9"/>
        <v>Fully completed</v>
      </c>
      <c r="F62" s="6"/>
      <c r="G62" s="6"/>
      <c r="H62" s="18"/>
      <c r="I62" s="52">
        <v>0.01</v>
      </c>
      <c r="J62" s="4">
        <f t="shared" si="10"/>
        <v>0.98</v>
      </c>
      <c r="K62" s="4">
        <v>3</v>
      </c>
      <c r="L62" s="60">
        <f t="shared" si="11"/>
        <v>3</v>
      </c>
    </row>
    <row r="63" spans="1:12">
      <c r="A63" s="4">
        <v>3</v>
      </c>
      <c r="B63" s="4" t="s">
        <v>1836</v>
      </c>
      <c r="C63" s="4" t="s">
        <v>1836</v>
      </c>
      <c r="D63" s="4" t="s">
        <v>1836</v>
      </c>
      <c r="E63" s="10" t="str">
        <f t="shared" si="9"/>
        <v>Fully completed</v>
      </c>
      <c r="F63" s="6"/>
      <c r="G63" s="6"/>
      <c r="H63" s="18"/>
      <c r="I63" s="56">
        <v>5.0000000000000001E-3</v>
      </c>
      <c r="J63" s="4">
        <f t="shared" si="10"/>
        <v>0.49</v>
      </c>
      <c r="K63" s="4">
        <v>3</v>
      </c>
      <c r="L63" s="60">
        <f t="shared" si="11"/>
        <v>2</v>
      </c>
    </row>
    <row r="64" spans="1:12">
      <c r="A64" s="4">
        <v>3</v>
      </c>
      <c r="B64" s="4" t="s">
        <v>1836</v>
      </c>
      <c r="C64" s="4" t="s">
        <v>1836</v>
      </c>
      <c r="D64" s="4" t="s">
        <v>1836</v>
      </c>
      <c r="E64" s="10" t="str">
        <f t="shared" si="9"/>
        <v>Fully completed</v>
      </c>
      <c r="F64" s="6"/>
      <c r="G64" s="6"/>
      <c r="H64" s="18"/>
      <c r="I64" s="56">
        <v>5.0000000000000001E-3</v>
      </c>
      <c r="J64" s="4">
        <f t="shared" si="10"/>
        <v>0.49</v>
      </c>
      <c r="K64" s="4">
        <v>3</v>
      </c>
      <c r="L64" s="60">
        <f t="shared" si="11"/>
        <v>2</v>
      </c>
    </row>
    <row r="65" spans="1:12">
      <c r="A65" s="4">
        <v>3</v>
      </c>
      <c r="B65" s="4" t="s">
        <v>1835</v>
      </c>
      <c r="C65" s="4" t="s">
        <v>1835</v>
      </c>
      <c r="D65" s="4" t="s">
        <v>1835</v>
      </c>
      <c r="E65" s="10" t="str">
        <f t="shared" si="9"/>
        <v>Fully completed</v>
      </c>
      <c r="F65" s="6"/>
      <c r="G65" s="6"/>
      <c r="H65" s="18"/>
      <c r="I65" s="52">
        <v>0.01</v>
      </c>
      <c r="J65" s="4">
        <f t="shared" si="10"/>
        <v>0.98</v>
      </c>
      <c r="K65" s="4">
        <v>3</v>
      </c>
      <c r="L65" s="60">
        <f t="shared" si="11"/>
        <v>3</v>
      </c>
    </row>
    <row r="66" spans="1:12">
      <c r="A66" s="4">
        <v>3</v>
      </c>
      <c r="B66" s="4" t="s">
        <v>1836</v>
      </c>
      <c r="C66" s="4" t="s">
        <v>1836</v>
      </c>
      <c r="D66" s="4" t="s">
        <v>1836</v>
      </c>
      <c r="E66" s="10" t="str">
        <f t="shared" si="9"/>
        <v>Fully completed</v>
      </c>
      <c r="F66" s="6"/>
      <c r="G66" s="6"/>
      <c r="H66" s="18"/>
      <c r="I66" s="56">
        <v>5.0000000000000001E-3</v>
      </c>
      <c r="J66" s="4">
        <f t="shared" si="10"/>
        <v>0.49</v>
      </c>
      <c r="K66" s="4">
        <v>3</v>
      </c>
      <c r="L66" s="60">
        <f t="shared" si="11"/>
        <v>2</v>
      </c>
    </row>
    <row r="67" spans="1:12">
      <c r="A67" s="4">
        <v>3</v>
      </c>
      <c r="B67" s="4" t="s">
        <v>1836</v>
      </c>
      <c r="C67" s="4" t="s">
        <v>1836</v>
      </c>
      <c r="D67" s="4" t="s">
        <v>1836</v>
      </c>
      <c r="E67" s="10" t="str">
        <f t="shared" si="9"/>
        <v>Fully completed</v>
      </c>
      <c r="F67" s="6"/>
      <c r="G67" s="6"/>
      <c r="H67" s="18"/>
      <c r="I67" s="56">
        <v>5.0000000000000001E-3</v>
      </c>
      <c r="J67" s="4">
        <f t="shared" si="10"/>
        <v>0.49</v>
      </c>
      <c r="K67" s="4">
        <v>3</v>
      </c>
      <c r="L67" s="60">
        <f t="shared" si="11"/>
        <v>2</v>
      </c>
    </row>
    <row r="68" spans="1:12">
      <c r="A68" s="4">
        <v>3</v>
      </c>
      <c r="B68" s="4" t="s">
        <v>1836</v>
      </c>
      <c r="C68" s="4" t="s">
        <v>1836</v>
      </c>
      <c r="D68" s="4" t="s">
        <v>1836</v>
      </c>
      <c r="E68" s="10" t="str">
        <f t="shared" si="9"/>
        <v>Fully completed</v>
      </c>
      <c r="F68" s="6"/>
      <c r="G68" s="6"/>
      <c r="H68" s="18"/>
      <c r="I68" s="56">
        <v>5.0000000000000001E-3</v>
      </c>
      <c r="J68" s="4">
        <f t="shared" si="10"/>
        <v>0.49</v>
      </c>
      <c r="K68" s="4">
        <v>3</v>
      </c>
      <c r="L68" s="60">
        <f t="shared" si="11"/>
        <v>2</v>
      </c>
    </row>
    <row r="69" spans="1:12">
      <c r="A69" s="4">
        <v>3</v>
      </c>
      <c r="B69" s="4" t="s">
        <v>1836</v>
      </c>
      <c r="C69" s="4" t="s">
        <v>1836</v>
      </c>
      <c r="D69" s="4" t="s">
        <v>1836</v>
      </c>
      <c r="E69" s="10" t="str">
        <f t="shared" si="9"/>
        <v>Fully completed</v>
      </c>
      <c r="F69" s="6"/>
      <c r="G69" s="6"/>
      <c r="H69" s="18"/>
      <c r="I69" s="56">
        <v>5.0000000000000001E-3</v>
      </c>
      <c r="J69" s="4">
        <f t="shared" si="10"/>
        <v>0.49</v>
      </c>
      <c r="K69" s="4">
        <v>3</v>
      </c>
      <c r="L69" s="60">
        <f t="shared" si="11"/>
        <v>2</v>
      </c>
    </row>
    <row r="70" spans="1:12">
      <c r="A70" s="4">
        <v>3</v>
      </c>
      <c r="B70" s="4" t="s">
        <v>1836</v>
      </c>
      <c r="C70" s="4" t="s">
        <v>1836</v>
      </c>
      <c r="D70" s="4" t="s">
        <v>1836</v>
      </c>
      <c r="E70" s="10" t="str">
        <f t="shared" si="9"/>
        <v>Fully completed</v>
      </c>
      <c r="F70" s="6"/>
      <c r="G70" s="6"/>
      <c r="H70" s="18"/>
      <c r="I70" s="56">
        <v>5.0000000000000001E-3</v>
      </c>
      <c r="J70" s="4">
        <f t="shared" si="10"/>
        <v>0.49</v>
      </c>
      <c r="K70" s="4">
        <v>3</v>
      </c>
      <c r="L70" s="60">
        <f t="shared" si="11"/>
        <v>2</v>
      </c>
    </row>
    <row r="71" spans="1:12">
      <c r="A71" s="4">
        <v>3</v>
      </c>
      <c r="B71" s="4" t="s">
        <v>1835</v>
      </c>
      <c r="C71" s="4" t="s">
        <v>1835</v>
      </c>
      <c r="D71" s="4" t="s">
        <v>1835</v>
      </c>
      <c r="E71" s="10" t="str">
        <f t="shared" si="9"/>
        <v>Fully completed</v>
      </c>
      <c r="F71" s="6"/>
      <c r="G71" s="6"/>
      <c r="H71" s="18"/>
      <c r="I71" s="52">
        <v>0.01</v>
      </c>
      <c r="J71" s="4">
        <f t="shared" si="10"/>
        <v>0.98</v>
      </c>
      <c r="K71" s="4">
        <v>3</v>
      </c>
      <c r="L71" s="60">
        <f t="shared" si="11"/>
        <v>3</v>
      </c>
    </row>
    <row r="72" spans="1:12">
      <c r="A72" s="4">
        <v>1</v>
      </c>
      <c r="B72" s="4" t="s">
        <v>1835</v>
      </c>
      <c r="C72" s="4" t="s">
        <v>1835</v>
      </c>
      <c r="D72" s="4" t="s">
        <v>1835</v>
      </c>
      <c r="E72" s="10" t="str">
        <f t="shared" si="9"/>
        <v>Presented but with numerous information gaps</v>
      </c>
      <c r="F72" s="6"/>
      <c r="G72" s="6"/>
      <c r="H72" s="18"/>
      <c r="I72" s="58">
        <v>7.4999999999999997E-3</v>
      </c>
      <c r="J72" s="4">
        <f t="shared" si="10"/>
        <v>0.25</v>
      </c>
      <c r="K72" s="4">
        <v>3</v>
      </c>
      <c r="L72" s="60">
        <f t="shared" si="11"/>
        <v>2</v>
      </c>
    </row>
    <row r="73" spans="1:12">
      <c r="A73" s="4">
        <v>2</v>
      </c>
      <c r="B73" s="4" t="s">
        <v>1835</v>
      </c>
      <c r="C73" s="4" t="s">
        <v>1835</v>
      </c>
      <c r="D73" s="4" t="s">
        <v>1835</v>
      </c>
      <c r="E73" s="10" t="str">
        <f t="shared" si="9"/>
        <v>Substantially completed with missing information</v>
      </c>
      <c r="F73" s="6"/>
      <c r="G73" s="6"/>
      <c r="H73" s="18"/>
      <c r="I73" s="58">
        <v>7.4999999999999997E-3</v>
      </c>
      <c r="J73" s="4">
        <f t="shared" si="10"/>
        <v>0.49</v>
      </c>
      <c r="K73" s="4">
        <v>3</v>
      </c>
      <c r="L73" s="60">
        <f t="shared" si="11"/>
        <v>2</v>
      </c>
    </row>
    <row r="74" spans="1:12">
      <c r="A74" s="4">
        <v>3</v>
      </c>
      <c r="B74" s="4" t="s">
        <v>1836</v>
      </c>
      <c r="C74" s="4" t="s">
        <v>1836</v>
      </c>
      <c r="D74" s="4" t="s">
        <v>1836</v>
      </c>
      <c r="E74" s="10" t="str">
        <f t="shared" si="9"/>
        <v>Fully completed</v>
      </c>
      <c r="F74" s="6"/>
      <c r="G74" s="6"/>
      <c r="H74" s="18"/>
      <c r="I74" s="56">
        <v>5.0000000000000001E-3</v>
      </c>
      <c r="J74" s="4">
        <f t="shared" si="10"/>
        <v>0.49</v>
      </c>
      <c r="K74" s="4">
        <v>3</v>
      </c>
      <c r="L74" s="60">
        <f t="shared" si="11"/>
        <v>2</v>
      </c>
    </row>
    <row r="75" spans="1:12">
      <c r="A75" s="22">
        <v>3</v>
      </c>
      <c r="B75" s="22" t="s">
        <v>1835</v>
      </c>
      <c r="C75" s="22" t="s">
        <v>1835</v>
      </c>
      <c r="D75" s="22" t="s">
        <v>1835</v>
      </c>
      <c r="E75" s="11" t="str">
        <f t="shared" si="9"/>
        <v>Fully completed</v>
      </c>
      <c r="F75" s="19"/>
      <c r="G75" s="19"/>
      <c r="H75" s="20"/>
      <c r="I75" s="57">
        <v>1.4999999999999999E-2</v>
      </c>
      <c r="J75" s="22">
        <f t="shared" si="10"/>
        <v>1.48</v>
      </c>
      <c r="K75" s="4">
        <v>3</v>
      </c>
      <c r="L75" s="60">
        <f t="shared" si="11"/>
        <v>5</v>
      </c>
    </row>
    <row r="76" spans="1:12">
      <c r="A76" s="5"/>
      <c r="B76" s="5"/>
      <c r="C76" s="5"/>
      <c r="D76" s="5"/>
      <c r="E76" s="6"/>
      <c r="F76" s="6"/>
      <c r="G76" s="6"/>
      <c r="H76" s="51" t="s">
        <v>1670</v>
      </c>
      <c r="I76" s="67">
        <f>SUM(I56:I75)</f>
        <v>0.15000000000000002</v>
      </c>
      <c r="J76" s="62">
        <f>SUM(J56:J75)</f>
        <v>13.980000000000004</v>
      </c>
      <c r="K76" s="12"/>
      <c r="L76" s="63">
        <f>SUM(L10:L75)</f>
        <v>278</v>
      </c>
    </row>
    <row r="77" spans="1:12">
      <c r="A77" s="9"/>
      <c r="B77" s="9"/>
      <c r="C77" s="9"/>
      <c r="D77" s="9"/>
      <c r="E77" s="2"/>
      <c r="F77" s="2"/>
      <c r="G77" s="2"/>
      <c r="H77" s="51" t="s">
        <v>1667</v>
      </c>
      <c r="I77" s="59">
        <f>I20+I54+I76</f>
        <v>0.91000000000000014</v>
      </c>
      <c r="J77" s="62">
        <f>J20+J54+J76</f>
        <v>66.080000000000013</v>
      </c>
      <c r="K77" s="38"/>
      <c r="L77" s="38">
        <v>3.05</v>
      </c>
    </row>
    <row r="78" spans="1:12">
      <c r="A78" s="9"/>
      <c r="B78" s="9"/>
      <c r="C78" s="9"/>
      <c r="D78" s="9"/>
      <c r="E78" s="2"/>
      <c r="F78" s="2"/>
      <c r="G78" s="2"/>
      <c r="H78" s="51"/>
      <c r="I78" s="2"/>
      <c r="J78" s="2"/>
      <c r="K78" s="2"/>
      <c r="L78" s="2"/>
    </row>
    <row r="79" spans="1:12">
      <c r="A79" s="9"/>
      <c r="B79" s="9"/>
      <c r="C79" s="9"/>
      <c r="D79" s="9"/>
      <c r="E79" s="2"/>
      <c r="F79" s="2"/>
      <c r="G79" s="2"/>
      <c r="H79" s="51" t="s">
        <v>1669</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workbookViewId="0">
      <pane xSplit="1" ySplit="3" topLeftCell="B37" activePane="bottomRight" state="frozen"/>
      <selection activeCell="A35" sqref="A35"/>
      <selection pane="topRight" activeCell="A35" sqref="A35"/>
      <selection pane="bottomLeft" activeCell="A35" sqref="A35"/>
      <selection pane="bottomRight" activeCell="E6" sqref="E6"/>
    </sheetView>
  </sheetViews>
  <sheetFormatPr defaultRowHeight="12.75"/>
  <cols>
    <col min="1" max="1" width="30.7109375" style="150" customWidth="1"/>
    <col min="2" max="11" width="9" style="150" customWidth="1"/>
    <col min="12" max="14" width="7.7109375" style="150" customWidth="1"/>
    <col min="15" max="16384" width="9.140625" style="150"/>
  </cols>
  <sheetData>
    <row r="1" spans="1:12" ht="13.5" customHeight="1">
      <c r="A1" s="2417" t="str">
        <f>muni&amp;" - "&amp;Approve1</f>
        <v>KZN225 Msunduzi - Table A1 Budget Summary</v>
      </c>
      <c r="B1" s="2418"/>
      <c r="C1" s="2418"/>
      <c r="D1" s="149"/>
      <c r="E1" s="149"/>
      <c r="F1" s="149"/>
      <c r="G1" s="149"/>
      <c r="H1" s="149"/>
      <c r="I1" s="149"/>
      <c r="J1" s="149"/>
      <c r="K1" s="149"/>
    </row>
    <row r="2" spans="1:12" ht="28.5" customHeight="1">
      <c r="A2" s="1029" t="str">
        <f>desc</f>
        <v>Description</v>
      </c>
      <c r="B2" s="145" t="str">
        <f>head1b</f>
        <v>2007/8</v>
      </c>
      <c r="C2" s="151" t="str">
        <f>head1A</f>
        <v>2008/9</v>
      </c>
      <c r="D2" s="147" t="str">
        <f>Head1</f>
        <v>2009/10</v>
      </c>
      <c r="E2" s="2415" t="str">
        <f>Head2</f>
        <v>Current Year 2010/11</v>
      </c>
      <c r="F2" s="2416"/>
      <c r="G2" s="2416"/>
      <c r="H2" s="2416"/>
      <c r="I2" s="2412" t="str">
        <f>Head3</f>
        <v>2011/12 Medium Term Revenue &amp; Expenditure Framework</v>
      </c>
      <c r="J2" s="2413"/>
      <c r="K2" s="2414"/>
    </row>
    <row r="3" spans="1:12" ht="25.5">
      <c r="A3" s="1201" t="s">
        <v>34</v>
      </c>
      <c r="B3" s="300" t="str">
        <f>Head5</f>
        <v>Audited Outcome</v>
      </c>
      <c r="C3" s="393" t="str">
        <f>Head5</f>
        <v>Audited Outcome</v>
      </c>
      <c r="D3" s="394" t="str">
        <f>Head5</f>
        <v>Audited Outcome</v>
      </c>
      <c r="E3" s="300" t="str">
        <f>Head6</f>
        <v>Original Budget</v>
      </c>
      <c r="F3" s="393" t="str">
        <f>Head7</f>
        <v>Adjusted Budget</v>
      </c>
      <c r="G3" s="394" t="str">
        <f>Head8</f>
        <v>Full Year Forecast</v>
      </c>
      <c r="H3" s="392" t="str">
        <f>Head5b</f>
        <v>Pre-audit outcome</v>
      </c>
      <c r="I3" s="300" t="str">
        <f>Head9</f>
        <v>Budget Year 2011/12</v>
      </c>
      <c r="J3" s="393" t="str">
        <f>Head10</f>
        <v>Budget Year +1 2012/13</v>
      </c>
      <c r="K3" s="394" t="str">
        <f>Head11</f>
        <v>Budget Year +2 2013/14</v>
      </c>
    </row>
    <row r="4" spans="1:12" ht="11.25" customHeight="1">
      <c r="A4" s="933" t="s">
        <v>1500</v>
      </c>
      <c r="B4" s="159"/>
      <c r="C4" s="160"/>
      <c r="D4" s="161"/>
      <c r="E4" s="159"/>
      <c r="F4" s="160"/>
      <c r="G4" s="161"/>
      <c r="H4" s="162"/>
      <c r="I4" s="159"/>
      <c r="J4" s="160"/>
      <c r="K4" s="161"/>
    </row>
    <row r="5" spans="1:12" ht="11.25" customHeight="1">
      <c r="A5" s="914" t="s">
        <v>572</v>
      </c>
      <c r="B5" s="1168">
        <f>'A4-FinPerf RE'!C5+'A4-FinPerf RE'!C6</f>
        <v>368633300</v>
      </c>
      <c r="C5" s="208">
        <f>'A4-FinPerf RE'!D5+'A4-FinPerf RE'!D6</f>
        <v>390304888</v>
      </c>
      <c r="D5" s="571">
        <f>'A4-FinPerf RE'!E5+'A4-FinPerf RE'!E6</f>
        <v>440315112</v>
      </c>
      <c r="E5" s="212">
        <f>'A4-FinPerf RE'!F5+'A4-FinPerf RE'!F6</f>
        <v>581147490</v>
      </c>
      <c r="F5" s="208">
        <f>'A4-FinPerf RE'!G5+'A4-FinPerf RE'!G6</f>
        <v>459202011</v>
      </c>
      <c r="G5" s="572">
        <f>'A4-FinPerf RE'!H5+'A4-FinPerf RE'!H6</f>
        <v>459202011</v>
      </c>
      <c r="H5" s="211">
        <f>'A4-FinPerf RE'!I5+'A4-FinPerf RE'!I6</f>
        <v>459202011</v>
      </c>
      <c r="I5" s="212">
        <f>'A4-FinPerf RE'!J5+'A4-FinPerf RE'!J6</f>
        <v>516812266</v>
      </c>
      <c r="J5" s="208">
        <f>'A4-FinPerf RE'!K5+'A4-FinPerf RE'!K6</f>
        <v>544203316.29799998</v>
      </c>
      <c r="K5" s="572">
        <f>'A4-FinPerf RE'!L5+'A4-FinPerf RE'!L6</f>
        <v>574134498.27938998</v>
      </c>
      <c r="L5" s="373"/>
    </row>
    <row r="6" spans="1:12" ht="11.25" customHeight="1">
      <c r="A6" s="914" t="s">
        <v>1761</v>
      </c>
      <c r="B6" s="208">
        <f>SUM('A4-FinPerf RE'!C7:C11)</f>
        <v>832006585</v>
      </c>
      <c r="C6" s="208">
        <f>SUM('A4-FinPerf RE'!D7:D11)</f>
        <v>894794794</v>
      </c>
      <c r="D6" s="571">
        <f>SUM('A4-FinPerf RE'!E7:E11)</f>
        <v>1159390660</v>
      </c>
      <c r="E6" s="212">
        <f>SUM('A4-FinPerf RE'!F7:F11)</f>
        <v>1352680237</v>
      </c>
      <c r="F6" s="208">
        <f>SUM('A4-FinPerf RE'!G7:G11)</f>
        <v>1478195953</v>
      </c>
      <c r="G6" s="572">
        <f>SUM('A4-FinPerf RE'!H7:H11)</f>
        <v>1478195951</v>
      </c>
      <c r="H6" s="211">
        <f>SUM('A4-FinPerf RE'!I7:I11)</f>
        <v>1478195949</v>
      </c>
      <c r="I6" s="212">
        <f>SUM('A4-FinPerf RE'!J7:J11)</f>
        <v>1669786183</v>
      </c>
      <c r="J6" s="208">
        <f>SUM('A4-FinPerf RE'!K7:K11)</f>
        <v>1761374513</v>
      </c>
      <c r="K6" s="572">
        <f>SUM('A4-FinPerf RE'!L7:L11)</f>
        <v>1862625535</v>
      </c>
    </row>
    <row r="7" spans="1:12" ht="11.25" customHeight="1">
      <c r="A7" s="914" t="s">
        <v>531</v>
      </c>
      <c r="B7" s="208">
        <f>'A4-FinPerf RE'!C13</f>
        <v>29320951</v>
      </c>
      <c r="C7" s="208">
        <f>'A4-FinPerf RE'!D13</f>
        <v>10019004</v>
      </c>
      <c r="D7" s="571">
        <f>'A4-FinPerf RE'!E13</f>
        <v>5453509</v>
      </c>
      <c r="E7" s="212">
        <f>'A4-FinPerf RE'!F13</f>
        <v>4076994</v>
      </c>
      <c r="F7" s="208">
        <f>'A4-FinPerf RE'!G13</f>
        <v>4076994</v>
      </c>
      <c r="G7" s="572">
        <f>'A4-FinPerf RE'!H13</f>
        <v>4076994</v>
      </c>
      <c r="H7" s="211">
        <f>'A4-FinPerf RE'!I13</f>
        <v>4076994</v>
      </c>
      <c r="I7" s="212">
        <f>'A4-FinPerf RE'!J13</f>
        <v>15800000</v>
      </c>
      <c r="J7" s="208">
        <f>'A4-FinPerf RE'!K13</f>
        <v>16637400</v>
      </c>
      <c r="K7" s="572">
        <f>'A4-FinPerf RE'!L13</f>
        <v>17552457</v>
      </c>
    </row>
    <row r="8" spans="1:12" ht="11.25" customHeight="1">
      <c r="A8" s="914" t="s">
        <v>35</v>
      </c>
      <c r="B8" s="208">
        <f>'A4-FinPerf RE'!C19</f>
        <v>168610501</v>
      </c>
      <c r="C8" s="208">
        <f>'A4-FinPerf RE'!D19</f>
        <v>181063344</v>
      </c>
      <c r="D8" s="571">
        <f>'A4-FinPerf RE'!E19</f>
        <v>276021934</v>
      </c>
      <c r="E8" s="212">
        <f>'A4-FinPerf RE'!F19</f>
        <v>299334000</v>
      </c>
      <c r="F8" s="208">
        <f>'A4-FinPerf RE'!G19</f>
        <v>322506865</v>
      </c>
      <c r="G8" s="572">
        <f>'A4-FinPerf RE'!H19</f>
        <v>322506865</v>
      </c>
      <c r="H8" s="211">
        <f>'A4-FinPerf RE'!I19</f>
        <v>322506865</v>
      </c>
      <c r="I8" s="212">
        <f>'A4-FinPerf RE'!J19</f>
        <v>326131000</v>
      </c>
      <c r="J8" s="208">
        <f>'A4-FinPerf RE'!K19</f>
        <v>365712160</v>
      </c>
      <c r="K8" s="572">
        <f>'A4-FinPerf RE'!L19</f>
        <v>399129300</v>
      </c>
    </row>
    <row r="9" spans="1:12" ht="11.25" customHeight="1">
      <c r="A9" s="914" t="s">
        <v>211</v>
      </c>
      <c r="B9" s="208">
        <f>'A4-FinPerf RE'!C12+'A4-FinPerf RE'!C14+'A4-FinPerf RE'!C15+'A4-FinPerf RE'!C16+'A4-FinPerf RE'!C17+'A4-FinPerf RE'!C18+'A4-FinPerf RE'!C20+'A4-FinPerf RE'!C21</f>
        <v>500666122</v>
      </c>
      <c r="C9" s="208">
        <f>'A4-FinPerf RE'!D12+'A4-FinPerf RE'!D14+'A4-FinPerf RE'!D15+'A4-FinPerf RE'!D16+'A4-FinPerf RE'!D17+'A4-FinPerf RE'!D18+'A4-FinPerf RE'!D20+'A4-FinPerf RE'!D21</f>
        <v>355115793</v>
      </c>
      <c r="D9" s="571">
        <f>'A4-FinPerf RE'!E12+'A4-FinPerf RE'!E14+'A4-FinPerf RE'!E15+'A4-FinPerf RE'!E16+'A4-FinPerf RE'!E17+'A4-FinPerf RE'!E18+'A4-FinPerf RE'!E20+'A4-FinPerf RE'!E21</f>
        <v>897794782</v>
      </c>
      <c r="E9" s="212">
        <f>'A4-FinPerf RE'!F12+'A4-FinPerf RE'!F14+'A4-FinPerf RE'!F15+'A4-FinPerf RE'!F16+'A4-FinPerf RE'!F17+'A4-FinPerf RE'!F18+'A4-FinPerf RE'!F20+'A4-FinPerf RE'!F21</f>
        <v>151170009</v>
      </c>
      <c r="F9" s="208">
        <f>'A4-FinPerf RE'!G12+'A4-FinPerf RE'!G14+'A4-FinPerf RE'!G15+'A4-FinPerf RE'!G16+'A4-FinPerf RE'!G17+'A4-FinPerf RE'!G18+'A4-FinPerf RE'!G20+'A4-FinPerf RE'!G21</f>
        <v>771586339</v>
      </c>
      <c r="G9" s="572">
        <f>'A4-FinPerf RE'!H12+'A4-FinPerf RE'!H14+'A4-FinPerf RE'!H15+'A4-FinPerf RE'!H16+'A4-FinPerf RE'!H17+'A4-FinPerf RE'!H18+'A4-FinPerf RE'!H20+'A4-FinPerf RE'!H21</f>
        <v>771586339</v>
      </c>
      <c r="H9" s="211">
        <f>'A4-FinPerf RE'!I12+'A4-FinPerf RE'!I14+'A4-FinPerf RE'!I15+'A4-FinPerf RE'!I16+'A4-FinPerf RE'!I17+'A4-FinPerf RE'!I18+'A4-FinPerf RE'!I20+'A4-FinPerf RE'!I21</f>
        <v>771586339</v>
      </c>
      <c r="I9" s="212">
        <f>'A4-FinPerf RE'!J12+'A4-FinPerf RE'!J14+'A4-FinPerf RE'!J15+'A4-FinPerf RE'!J16+'A4-FinPerf RE'!J17+'A4-FinPerf RE'!J18+'A4-FinPerf RE'!J20+'A4-FinPerf RE'!J21</f>
        <v>810666735</v>
      </c>
      <c r="J9" s="208">
        <f>'A4-FinPerf RE'!K12+'A4-FinPerf RE'!K14+'A4-FinPerf RE'!K15+'A4-FinPerf RE'!K16+'A4-FinPerf RE'!K17+'A4-FinPerf RE'!K18+'A4-FinPerf RE'!K20+'A4-FinPerf RE'!K21</f>
        <v>863280542.33099997</v>
      </c>
      <c r="K9" s="572">
        <f>'A4-FinPerf RE'!L12+'A4-FinPerf RE'!L14+'A4-FinPerf RE'!L15+'A4-FinPerf RE'!L16+'A4-FinPerf RE'!L17+'A4-FinPerf RE'!L18+'A4-FinPerf RE'!L20+'A4-FinPerf RE'!L21</f>
        <v>858249613.26420498</v>
      </c>
    </row>
    <row r="10" spans="1:12" ht="25.5" customHeight="1">
      <c r="A10" s="298" t="str">
        <f>'A4-FinPerf RE'!A22</f>
        <v>Total Revenue (excluding capital transfers and contributions)</v>
      </c>
      <c r="B10" s="1387">
        <f t="shared" ref="B10:K10" si="0">SUM(B5:B9)</f>
        <v>1899237459</v>
      </c>
      <c r="C10" s="1387">
        <f t="shared" si="0"/>
        <v>1831297823</v>
      </c>
      <c r="D10" s="1388">
        <f t="shared" si="0"/>
        <v>2778975997</v>
      </c>
      <c r="E10" s="1386">
        <f t="shared" si="0"/>
        <v>2388408730</v>
      </c>
      <c r="F10" s="1387">
        <f t="shared" si="0"/>
        <v>3035568162</v>
      </c>
      <c r="G10" s="1389">
        <f t="shared" si="0"/>
        <v>3035568160</v>
      </c>
      <c r="H10" s="1390">
        <f t="shared" si="0"/>
        <v>3035568158</v>
      </c>
      <c r="I10" s="1386">
        <f t="shared" si="0"/>
        <v>3339196184</v>
      </c>
      <c r="J10" s="1387">
        <f t="shared" si="0"/>
        <v>3551207931.6289997</v>
      </c>
      <c r="K10" s="1389">
        <f t="shared" si="0"/>
        <v>3711691403.5435948</v>
      </c>
    </row>
    <row r="11" spans="1:12" ht="11.25" customHeight="1">
      <c r="A11" s="914" t="s">
        <v>523</v>
      </c>
      <c r="B11" s="208">
        <f>'A4-FinPerf RE'!C25</f>
        <v>500859237</v>
      </c>
      <c r="C11" s="208">
        <f>'A4-FinPerf RE'!D25</f>
        <v>521274564</v>
      </c>
      <c r="D11" s="571">
        <f>'A4-FinPerf RE'!E25</f>
        <v>660086556</v>
      </c>
      <c r="E11" s="212">
        <f>'A4-FinPerf RE'!F25</f>
        <v>598014000</v>
      </c>
      <c r="F11" s="208">
        <f>'A4-FinPerf RE'!G25</f>
        <v>637530471</v>
      </c>
      <c r="G11" s="572">
        <f>'A4-FinPerf RE'!H25</f>
        <v>637530471</v>
      </c>
      <c r="H11" s="211">
        <f>'A4-FinPerf RE'!I25</f>
        <v>637530471</v>
      </c>
      <c r="I11" s="212">
        <f>'A4-FinPerf RE'!J25</f>
        <v>657095980</v>
      </c>
      <c r="J11" s="208">
        <f>'A4-FinPerf RE'!K25</f>
        <v>739478438</v>
      </c>
      <c r="K11" s="572">
        <f>'A4-FinPerf RE'!L25</f>
        <v>790949818</v>
      </c>
    </row>
    <row r="12" spans="1:12" ht="11.25" customHeight="1">
      <c r="A12" s="914" t="s">
        <v>561</v>
      </c>
      <c r="B12" s="208">
        <f>'A4-FinPerf RE'!C26</f>
        <v>15503082</v>
      </c>
      <c r="C12" s="208">
        <f>'A4-FinPerf RE'!D26</f>
        <v>15467145</v>
      </c>
      <c r="D12" s="571">
        <f>'A4-FinPerf RE'!E26</f>
        <v>19383701</v>
      </c>
      <c r="E12" s="212">
        <f>'A4-FinPerf RE'!F26</f>
        <v>19355784</v>
      </c>
      <c r="F12" s="208">
        <f>'A4-FinPerf RE'!G26</f>
        <v>19355784</v>
      </c>
      <c r="G12" s="572">
        <f>'A4-FinPerf RE'!H26</f>
        <v>19355784</v>
      </c>
      <c r="H12" s="211">
        <f>'A4-FinPerf RE'!I26</f>
        <v>19355784</v>
      </c>
      <c r="I12" s="212">
        <f>'A4-FinPerf RE'!J26</f>
        <v>20954246</v>
      </c>
      <c r="J12" s="208">
        <f>'A4-FinPerf RE'!K26</f>
        <v>22064821</v>
      </c>
      <c r="K12" s="572">
        <f>'A4-FinPerf RE'!L26</f>
        <v>23278386</v>
      </c>
    </row>
    <row r="13" spans="1:12" ht="11.25" customHeight="1">
      <c r="A13" s="914" t="s">
        <v>1633</v>
      </c>
      <c r="B13" s="208">
        <f>'A4-FinPerf RE'!C28</f>
        <v>96408758</v>
      </c>
      <c r="C13" s="208">
        <f>'A4-FinPerf RE'!D28</f>
        <v>50736350</v>
      </c>
      <c r="D13" s="571">
        <f>'A4-FinPerf RE'!E28</f>
        <v>123646386</v>
      </c>
      <c r="E13" s="212">
        <f>'A4-FinPerf RE'!F28</f>
        <v>115834000</v>
      </c>
      <c r="F13" s="208">
        <f>'A4-FinPerf RE'!G28</f>
        <v>105634674</v>
      </c>
      <c r="G13" s="572">
        <f>'A4-FinPerf RE'!H28</f>
        <v>105634674</v>
      </c>
      <c r="H13" s="211">
        <f>'A4-FinPerf RE'!I28</f>
        <v>105634674</v>
      </c>
      <c r="I13" s="212">
        <f>'A4-FinPerf RE'!J28</f>
        <v>124711874</v>
      </c>
      <c r="J13" s="208">
        <f>'A4-FinPerf RE'!K28</f>
        <v>85999663</v>
      </c>
      <c r="K13" s="572">
        <f>'A4-FinPerf RE'!L28</f>
        <v>91593636</v>
      </c>
    </row>
    <row r="14" spans="1:12" ht="11.25" customHeight="1">
      <c r="A14" s="914" t="s">
        <v>1702</v>
      </c>
      <c r="B14" s="208">
        <f>'A4-FinPerf RE'!C29</f>
        <v>50194080</v>
      </c>
      <c r="C14" s="208">
        <f>'A4-FinPerf RE'!D29</f>
        <v>55028233</v>
      </c>
      <c r="D14" s="571">
        <f>'A4-FinPerf RE'!E29</f>
        <v>73753994</v>
      </c>
      <c r="E14" s="212">
        <f>'A4-FinPerf RE'!F29</f>
        <v>69096888</v>
      </c>
      <c r="F14" s="208">
        <f>'A4-FinPerf RE'!G29</f>
        <v>68948580</v>
      </c>
      <c r="G14" s="572">
        <f>'A4-FinPerf RE'!H29</f>
        <v>68948580</v>
      </c>
      <c r="H14" s="211">
        <f>'A4-FinPerf RE'!I29</f>
        <v>68948580</v>
      </c>
      <c r="I14" s="212">
        <f>'A4-FinPerf RE'!J29</f>
        <v>57747139</v>
      </c>
      <c r="J14" s="208">
        <f>'A4-FinPerf RE'!K29</f>
        <v>60807737</v>
      </c>
      <c r="K14" s="572">
        <f>'A4-FinPerf RE'!L29</f>
        <v>64152163</v>
      </c>
    </row>
    <row r="15" spans="1:12" ht="11.25" customHeight="1">
      <c r="A15" s="914" t="s">
        <v>530</v>
      </c>
      <c r="B15" s="208">
        <f>'A4-FinPerf RE'!C30+'A4-FinPerf RE'!C31</f>
        <v>515449656</v>
      </c>
      <c r="C15" s="208">
        <f>'A4-FinPerf RE'!D30+'A4-FinPerf RE'!D31</f>
        <v>598699231</v>
      </c>
      <c r="D15" s="571">
        <f>'A4-FinPerf RE'!E30+'A4-FinPerf RE'!E31</f>
        <v>804979363</v>
      </c>
      <c r="E15" s="212">
        <f>'A4-FinPerf RE'!F30+'A4-FinPerf RE'!F31</f>
        <v>891254044</v>
      </c>
      <c r="F15" s="208">
        <f>'A4-FinPerf RE'!G30+'A4-FinPerf RE'!G31</f>
        <v>1002983616</v>
      </c>
      <c r="G15" s="572">
        <f>'A4-FinPerf RE'!H30+'A4-FinPerf RE'!H31</f>
        <v>1002983616</v>
      </c>
      <c r="H15" s="211">
        <f>'A4-FinPerf RE'!I30+'A4-FinPerf RE'!I31</f>
        <v>1002983616</v>
      </c>
      <c r="I15" s="212">
        <f>'A4-FinPerf RE'!J30+'A4-FinPerf RE'!J31</f>
        <v>1243499897</v>
      </c>
      <c r="J15" s="208">
        <f>'A4-FinPerf RE'!K30+'A4-FinPerf RE'!K31</f>
        <v>1309405392.1859999</v>
      </c>
      <c r="K15" s="572">
        <f>'A4-FinPerf RE'!L30+'A4-FinPerf RE'!L31</f>
        <v>1381422688.3612299</v>
      </c>
    </row>
    <row r="16" spans="1:12" ht="11.25" customHeight="1">
      <c r="A16" s="1620" t="s">
        <v>848</v>
      </c>
      <c r="B16" s="208">
        <f>'A4-FinPerf RE'!C33</f>
        <v>3699167</v>
      </c>
      <c r="C16" s="208">
        <f>'A4-FinPerf RE'!D33</f>
        <v>4392550</v>
      </c>
      <c r="D16" s="571">
        <f>'A4-FinPerf RE'!E33</f>
        <v>4342416</v>
      </c>
      <c r="E16" s="212">
        <f>'A4-FinPerf RE'!F33</f>
        <v>4300000</v>
      </c>
      <c r="F16" s="208">
        <f>'A4-FinPerf RE'!G33</f>
        <v>4300000</v>
      </c>
      <c r="G16" s="572">
        <f>'A4-FinPerf RE'!H33</f>
        <v>4300000</v>
      </c>
      <c r="H16" s="211">
        <f>'A4-FinPerf RE'!I33</f>
        <v>4300000</v>
      </c>
      <c r="I16" s="212">
        <f>'A4-FinPerf RE'!J33</f>
        <v>4500000</v>
      </c>
      <c r="J16" s="208">
        <f>'A4-FinPerf RE'!K33</f>
        <v>4716000</v>
      </c>
      <c r="K16" s="572">
        <f>'A4-FinPerf RE'!L33</f>
        <v>4942368</v>
      </c>
    </row>
    <row r="17" spans="1:12" ht="11.25" customHeight="1">
      <c r="A17" s="914" t="s">
        <v>1039</v>
      </c>
      <c r="B17" s="208">
        <f>'A4-FinPerf RE'!C27+'A4-FinPerf RE'!C32+'A4-FinPerf RE'!C34+'A4-FinPerf RE'!C35</f>
        <v>414102683</v>
      </c>
      <c r="C17" s="208">
        <f>'A4-FinPerf RE'!D27+'A4-FinPerf RE'!D32+'A4-FinPerf RE'!D34+'A4-FinPerf RE'!D35</f>
        <v>581671943</v>
      </c>
      <c r="D17" s="571">
        <f>'A4-FinPerf RE'!E27+'A4-FinPerf RE'!E32+'A4-FinPerf RE'!E34+'A4-FinPerf RE'!E35</f>
        <v>1404081652</v>
      </c>
      <c r="E17" s="212">
        <f>'A4-FinPerf RE'!F27+'A4-FinPerf RE'!F32+'A4-FinPerf RE'!F34+'A4-FinPerf RE'!F35</f>
        <v>690441113</v>
      </c>
      <c r="F17" s="208">
        <f>'A4-FinPerf RE'!G27+'A4-FinPerf RE'!G32+'A4-FinPerf RE'!G34+'A4-FinPerf RE'!G35</f>
        <v>1196701544</v>
      </c>
      <c r="G17" s="572">
        <f>'A4-FinPerf RE'!H27+'A4-FinPerf RE'!H32+'A4-FinPerf RE'!H34+'A4-FinPerf RE'!H35</f>
        <v>1196701544</v>
      </c>
      <c r="H17" s="211">
        <f>'A4-FinPerf RE'!I27+'A4-FinPerf RE'!I32+'A4-FinPerf RE'!I34+'A4-FinPerf RE'!I35</f>
        <v>1196701544</v>
      </c>
      <c r="I17" s="212">
        <f>'A4-FinPerf RE'!J27+'A4-FinPerf RE'!J32+'A4-FinPerf RE'!J34+'A4-FinPerf RE'!J35</f>
        <v>1230597112</v>
      </c>
      <c r="J17" s="208">
        <f>'A4-FinPerf RE'!K27+'A4-FinPerf RE'!K32+'A4-FinPerf RE'!K34+'A4-FinPerf RE'!K35</f>
        <v>1328636064</v>
      </c>
      <c r="K17" s="572">
        <f>'A4-FinPerf RE'!L27+'A4-FinPerf RE'!L32+'A4-FinPerf RE'!L34+'A4-FinPerf RE'!L35</f>
        <v>1355242421</v>
      </c>
    </row>
    <row r="18" spans="1:12" ht="11.25" customHeight="1">
      <c r="A18" s="915" t="str">
        <f>'A4-FinPerf RE'!A36</f>
        <v>Total Expenditure</v>
      </c>
      <c r="B18" s="1363">
        <f>SUM(B11:B17)</f>
        <v>1596216663</v>
      </c>
      <c r="C18" s="1364">
        <f t="shared" ref="C18:K18" si="1">SUM(C11:C17)</f>
        <v>1827270016</v>
      </c>
      <c r="D18" s="1365">
        <f t="shared" si="1"/>
        <v>3090274068</v>
      </c>
      <c r="E18" s="1363">
        <f t="shared" si="1"/>
        <v>2388295829</v>
      </c>
      <c r="F18" s="1364">
        <f t="shared" si="1"/>
        <v>3035454669</v>
      </c>
      <c r="G18" s="1366">
        <f t="shared" si="1"/>
        <v>3035454669</v>
      </c>
      <c r="H18" s="1367">
        <f t="shared" si="1"/>
        <v>3035454669</v>
      </c>
      <c r="I18" s="1363">
        <f t="shared" si="1"/>
        <v>3339106248</v>
      </c>
      <c r="J18" s="1364">
        <f t="shared" si="1"/>
        <v>3551108115.1859999</v>
      </c>
      <c r="K18" s="1366">
        <f t="shared" si="1"/>
        <v>3711581480.3612299</v>
      </c>
    </row>
    <row r="19" spans="1:12" ht="11.25" customHeight="1">
      <c r="A19" s="915" t="str">
        <f>'A4-FinPerf RE'!A38</f>
        <v>Surplus/(Deficit)</v>
      </c>
      <c r="B19" s="1359">
        <f t="shared" ref="B19:K19" si="2">B10-B18</f>
        <v>303020796</v>
      </c>
      <c r="C19" s="368">
        <f t="shared" si="2"/>
        <v>4027807</v>
      </c>
      <c r="D19" s="1360">
        <f t="shared" si="2"/>
        <v>-311298071</v>
      </c>
      <c r="E19" s="1359">
        <f t="shared" si="2"/>
        <v>112901</v>
      </c>
      <c r="F19" s="368">
        <f t="shared" si="2"/>
        <v>113493</v>
      </c>
      <c r="G19" s="1361">
        <f t="shared" si="2"/>
        <v>113491</v>
      </c>
      <c r="H19" s="1362">
        <f t="shared" si="2"/>
        <v>113489</v>
      </c>
      <c r="I19" s="1359">
        <f t="shared" si="2"/>
        <v>89936</v>
      </c>
      <c r="J19" s="368">
        <f t="shared" si="2"/>
        <v>99816.442999839783</v>
      </c>
      <c r="K19" s="1361">
        <f t="shared" si="2"/>
        <v>109923.18236494064</v>
      </c>
    </row>
    <row r="20" spans="1:12" ht="11.25" customHeight="1">
      <c r="A20" s="914" t="str">
        <f>'A4-FinPerf RE'!A39</f>
        <v>Transfers recognised - capital</v>
      </c>
      <c r="B20" s="212">
        <f>'A4-FinPerf RE'!C39</f>
        <v>47844353</v>
      </c>
      <c r="C20" s="208">
        <f>'A4-FinPerf RE'!D39</f>
        <v>97770614</v>
      </c>
      <c r="D20" s="571">
        <f>'A4-FinPerf RE'!E39</f>
        <v>78407238</v>
      </c>
      <c r="E20" s="212">
        <f>'A4-FinPerf RE'!F39</f>
        <v>136513266</v>
      </c>
      <c r="F20" s="208">
        <f>'A4-FinPerf RE'!G39</f>
        <v>126513266</v>
      </c>
      <c r="G20" s="572">
        <f>'A4-FinPerf RE'!H39</f>
        <v>126513266</v>
      </c>
      <c r="H20" s="211">
        <f>'A4-FinPerf RE'!I39</f>
        <v>126513266</v>
      </c>
      <c r="I20" s="212">
        <f>'A4-FinPerf RE'!J39</f>
        <v>411313300</v>
      </c>
      <c r="J20" s="208">
        <f>'A4-FinPerf RE'!K39</f>
        <v>310819300</v>
      </c>
      <c r="K20" s="572">
        <f>'A4-FinPerf RE'!L39</f>
        <v>214215000</v>
      </c>
      <c r="L20" s="373"/>
    </row>
    <row r="21" spans="1:12" ht="11.25" customHeight="1">
      <c r="A21" s="914" t="s">
        <v>36</v>
      </c>
      <c r="B21" s="1368">
        <f>'A4-FinPerf RE'!C40+'A4-FinPerf RE'!C41</f>
        <v>0</v>
      </c>
      <c r="C21" s="1369">
        <f>'A4-FinPerf RE'!D40+'A4-FinPerf RE'!D41</f>
        <v>0</v>
      </c>
      <c r="D21" s="1370">
        <f>'A4-FinPerf RE'!E40+'A4-FinPerf RE'!E41</f>
        <v>0</v>
      </c>
      <c r="E21" s="1368">
        <f>'A4-FinPerf RE'!F40+'A4-FinPerf RE'!F41</f>
        <v>0</v>
      </c>
      <c r="F21" s="1369">
        <f>'A4-FinPerf RE'!G40+'A4-FinPerf RE'!G41</f>
        <v>0</v>
      </c>
      <c r="G21" s="1371">
        <f>'A4-FinPerf RE'!H40+'A4-FinPerf RE'!H41</f>
        <v>0</v>
      </c>
      <c r="H21" s="1372">
        <f>'A4-FinPerf RE'!I40+'A4-FinPerf RE'!I41</f>
        <v>0</v>
      </c>
      <c r="I21" s="1368">
        <f>'A4-FinPerf RE'!J40+'A4-FinPerf RE'!J41</f>
        <v>0</v>
      </c>
      <c r="J21" s="1369">
        <f>'A4-FinPerf RE'!K40+'A4-FinPerf RE'!K41</f>
        <v>0</v>
      </c>
      <c r="K21" s="1371">
        <f>'A4-FinPerf RE'!L40+'A4-FinPerf RE'!L41</f>
        <v>0</v>
      </c>
      <c r="L21" s="373"/>
    </row>
    <row r="22" spans="1:12" ht="25.5">
      <c r="A22" s="1202" t="str">
        <f>'A4-FinPerf RE'!A42</f>
        <v>Surplus/(Deficit) after capital transfers &amp; contributions</v>
      </c>
      <c r="B22" s="1404">
        <f>B19+SUM(B20:B21)</f>
        <v>350865149</v>
      </c>
      <c r="C22" s="1405">
        <f t="shared" ref="C22:K22" si="3">C19+SUM(C20:C21)</f>
        <v>101798421</v>
      </c>
      <c r="D22" s="1406">
        <f t="shared" si="3"/>
        <v>-232890833</v>
      </c>
      <c r="E22" s="1404">
        <f t="shared" si="3"/>
        <v>136626167</v>
      </c>
      <c r="F22" s="1405">
        <f t="shared" si="3"/>
        <v>126626759</v>
      </c>
      <c r="G22" s="1407">
        <f t="shared" si="3"/>
        <v>126626757</v>
      </c>
      <c r="H22" s="1408">
        <f t="shared" si="3"/>
        <v>126626755</v>
      </c>
      <c r="I22" s="1404">
        <f t="shared" si="3"/>
        <v>411403236</v>
      </c>
      <c r="J22" s="1405">
        <f t="shared" si="3"/>
        <v>310919116.44299984</v>
      </c>
      <c r="K22" s="1407">
        <f t="shared" si="3"/>
        <v>214324923.18236494</v>
      </c>
      <c r="L22" s="373"/>
    </row>
    <row r="23" spans="1:12">
      <c r="A23" s="1203" t="str">
        <f>'A4-FinPerf RE'!A47</f>
        <v>Share of surplus/ (deficit) of associate</v>
      </c>
      <c r="B23" s="208">
        <f>'A4-FinPerf RE'!C47</f>
        <v>0</v>
      </c>
      <c r="C23" s="208">
        <f>'A4-FinPerf RE'!D47</f>
        <v>0</v>
      </c>
      <c r="D23" s="571">
        <f>'A4-FinPerf RE'!E47</f>
        <v>0</v>
      </c>
      <c r="E23" s="212">
        <f>'A4-FinPerf RE'!F47</f>
        <v>0</v>
      </c>
      <c r="F23" s="208">
        <f>'A4-FinPerf RE'!G47</f>
        <v>0</v>
      </c>
      <c r="G23" s="572">
        <f>'A4-FinPerf RE'!H47</f>
        <v>0</v>
      </c>
      <c r="H23" s="211">
        <f>'A4-FinPerf RE'!I47</f>
        <v>0</v>
      </c>
      <c r="I23" s="212">
        <f>'A4-FinPerf RE'!J47</f>
        <v>0</v>
      </c>
      <c r="J23" s="208">
        <f>'A4-FinPerf RE'!K47</f>
        <v>0</v>
      </c>
      <c r="K23" s="572">
        <f>'A4-FinPerf RE'!L47</f>
        <v>0</v>
      </c>
    </row>
    <row r="24" spans="1:12">
      <c r="A24" s="1202" t="str">
        <f>'A4-FinPerf RE'!A48</f>
        <v>Surplus/(Deficit) for the year</v>
      </c>
      <c r="B24" s="1359">
        <f>B22+B23</f>
        <v>350865149</v>
      </c>
      <c r="C24" s="368">
        <f t="shared" ref="C24:K24" si="4">C22+C23</f>
        <v>101798421</v>
      </c>
      <c r="D24" s="1360">
        <f t="shared" si="4"/>
        <v>-232890833</v>
      </c>
      <c r="E24" s="1359">
        <f t="shared" si="4"/>
        <v>136626167</v>
      </c>
      <c r="F24" s="368">
        <f t="shared" si="4"/>
        <v>126626759</v>
      </c>
      <c r="G24" s="1361">
        <f t="shared" si="4"/>
        <v>126626757</v>
      </c>
      <c r="H24" s="1362">
        <f t="shared" si="4"/>
        <v>126626755</v>
      </c>
      <c r="I24" s="1359">
        <f t="shared" si="4"/>
        <v>411403236</v>
      </c>
      <c r="J24" s="368">
        <f t="shared" si="4"/>
        <v>310919116.44299984</v>
      </c>
      <c r="K24" s="1361">
        <f t="shared" si="4"/>
        <v>214324923.18236494</v>
      </c>
    </row>
    <row r="25" spans="1:12" ht="5.0999999999999996" customHeight="1">
      <c r="A25" s="1204"/>
      <c r="B25" s="159"/>
      <c r="C25" s="160"/>
      <c r="D25" s="161"/>
      <c r="E25" s="159"/>
      <c r="F25" s="160"/>
      <c r="G25" s="161"/>
      <c r="H25" s="162"/>
      <c r="I25" s="159"/>
      <c r="J25" s="160"/>
      <c r="K25" s="161"/>
    </row>
    <row r="26" spans="1:12" ht="11.25" customHeight="1">
      <c r="A26" s="911" t="s">
        <v>1153</v>
      </c>
      <c r="B26" s="166"/>
      <c r="C26" s="167"/>
      <c r="D26" s="168"/>
      <c r="E26" s="166"/>
      <c r="F26" s="167"/>
      <c r="G26" s="168"/>
      <c r="H26" s="169"/>
      <c r="I26" s="166"/>
      <c r="J26" s="167"/>
      <c r="K26" s="168"/>
    </row>
    <row r="27" spans="1:12" ht="11.25" customHeight="1">
      <c r="A27" s="915" t="s">
        <v>1649</v>
      </c>
      <c r="B27" s="1168">
        <f>'A5-Capex'!C63</f>
        <v>197074000</v>
      </c>
      <c r="C27" s="208">
        <f>'A5-Capex'!D63</f>
        <v>236817000</v>
      </c>
      <c r="D27" s="571">
        <f>'A5-Capex'!E63</f>
        <v>176033493</v>
      </c>
      <c r="E27" s="212">
        <f>'A5-Capex'!F63</f>
        <v>295937266</v>
      </c>
      <c r="F27" s="208">
        <f>'A5-Capex'!G63</f>
        <v>394548007</v>
      </c>
      <c r="G27" s="572">
        <f>'A5-Capex'!H63</f>
        <v>394548007</v>
      </c>
      <c r="H27" s="211">
        <f>'A5-Capex'!I63</f>
        <v>394548007</v>
      </c>
      <c r="I27" s="212">
        <f>'A5-Capex'!J63</f>
        <v>411313300</v>
      </c>
      <c r="J27" s="208">
        <f>'A5-Capex'!K63</f>
        <v>310819300</v>
      </c>
      <c r="K27" s="572">
        <f>'A5-Capex'!L63</f>
        <v>214215000</v>
      </c>
    </row>
    <row r="28" spans="1:12" ht="11.25" customHeight="1">
      <c r="A28" s="1621" t="s">
        <v>1475</v>
      </c>
      <c r="B28" s="1168">
        <f>'A5-Capex'!C70</f>
        <v>98779133</v>
      </c>
      <c r="C28" s="208">
        <f>'A5-Capex'!D70</f>
        <v>86817000</v>
      </c>
      <c r="D28" s="571">
        <f>'A5-Capex'!E70</f>
        <v>78407237</v>
      </c>
      <c r="E28" s="212">
        <f>'A5-Capex'!F70</f>
        <v>136513266</v>
      </c>
      <c r="F28" s="208">
        <f>'A5-Capex'!G70</f>
        <v>126513266</v>
      </c>
      <c r="G28" s="572">
        <f>'A5-Capex'!H70</f>
        <v>126513266</v>
      </c>
      <c r="H28" s="211">
        <f>'A5-Capex'!I70</f>
        <v>126513266</v>
      </c>
      <c r="I28" s="212">
        <f>'A5-Capex'!J70</f>
        <v>303122000</v>
      </c>
      <c r="J28" s="208">
        <f>'A5-Capex'!K70</f>
        <v>262258000</v>
      </c>
      <c r="K28" s="572">
        <f>'A5-Capex'!L70</f>
        <v>214215000</v>
      </c>
    </row>
    <row r="29" spans="1:12" ht="11.25" customHeight="1">
      <c r="A29" s="914" t="str">
        <f>'A5-Capex'!A71</f>
        <v>Public contributions &amp; donations</v>
      </c>
      <c r="B29" s="1168">
        <f>'A5-Capex'!C71</f>
        <v>0</v>
      </c>
      <c r="C29" s="208">
        <f>'A5-Capex'!D71</f>
        <v>0</v>
      </c>
      <c r="D29" s="571">
        <f>'A5-Capex'!E71</f>
        <v>0</v>
      </c>
      <c r="E29" s="212">
        <f>'A5-Capex'!F71</f>
        <v>0</v>
      </c>
      <c r="F29" s="208">
        <f>'A5-Capex'!G71</f>
        <v>0</v>
      </c>
      <c r="G29" s="572">
        <f>'A5-Capex'!H71</f>
        <v>0</v>
      </c>
      <c r="H29" s="211">
        <f>'A5-Capex'!I71</f>
        <v>0</v>
      </c>
      <c r="I29" s="212">
        <f>'A5-Capex'!J71</f>
        <v>0</v>
      </c>
      <c r="J29" s="208">
        <f>'A5-Capex'!K71</f>
        <v>0</v>
      </c>
      <c r="K29" s="572">
        <f>'A5-Capex'!L71</f>
        <v>0</v>
      </c>
    </row>
    <row r="30" spans="1:12" ht="11.25" customHeight="1">
      <c r="A30" s="914" t="str">
        <f>'A5-Capex'!A72</f>
        <v>Borrowing</v>
      </c>
      <c r="B30" s="1168">
        <f>'A5-Capex'!C72</f>
        <v>98295000</v>
      </c>
      <c r="C30" s="208">
        <f>'A5-Capex'!D72</f>
        <v>150000000</v>
      </c>
      <c r="D30" s="571">
        <f>'A5-Capex'!E72</f>
        <v>97626257</v>
      </c>
      <c r="E30" s="212">
        <f>'A5-Capex'!F72</f>
        <v>159424000</v>
      </c>
      <c r="F30" s="208">
        <f>'A5-Capex'!G72</f>
        <v>268034741</v>
      </c>
      <c r="G30" s="572">
        <f>'A5-Capex'!H72</f>
        <v>268034741</v>
      </c>
      <c r="H30" s="211">
        <f>'A5-Capex'!I72</f>
        <v>268034741</v>
      </c>
      <c r="I30" s="212">
        <f>'A5-Capex'!J72</f>
        <v>108191000</v>
      </c>
      <c r="J30" s="208">
        <f>'A5-Capex'!K72</f>
        <v>48561000</v>
      </c>
      <c r="K30" s="572">
        <f>'A5-Capex'!L72</f>
        <v>0</v>
      </c>
    </row>
    <row r="31" spans="1:12" ht="11.25" customHeight="1">
      <c r="A31" s="914" t="str">
        <f>'A5-Capex'!A73</f>
        <v>Internally generated funds</v>
      </c>
      <c r="B31" s="1168">
        <f>'A5-Capex'!C73</f>
        <v>0</v>
      </c>
      <c r="C31" s="208">
        <f>'A5-Capex'!D73</f>
        <v>0</v>
      </c>
      <c r="D31" s="571">
        <f>'A5-Capex'!E73</f>
        <v>0</v>
      </c>
      <c r="E31" s="212">
        <f>'A5-Capex'!F73</f>
        <v>0</v>
      </c>
      <c r="F31" s="208">
        <f>'A5-Capex'!G73</f>
        <v>0</v>
      </c>
      <c r="G31" s="572">
        <f>'A5-Capex'!H73</f>
        <v>0</v>
      </c>
      <c r="H31" s="211">
        <f>'A5-Capex'!I73</f>
        <v>0</v>
      </c>
      <c r="I31" s="212">
        <f>'A5-Capex'!J73</f>
        <v>0</v>
      </c>
      <c r="J31" s="208">
        <f>'A5-Capex'!K73</f>
        <v>0</v>
      </c>
      <c r="K31" s="572">
        <f>'A5-Capex'!L73</f>
        <v>0</v>
      </c>
    </row>
    <row r="32" spans="1:12" s="247" customFormat="1" ht="11.25" customHeight="1">
      <c r="A32" s="915" t="s">
        <v>416</v>
      </c>
      <c r="B32" s="1168">
        <f t="shared" ref="B32:K32" si="5">SUM(B28:B31)</f>
        <v>197074133</v>
      </c>
      <c r="C32" s="208">
        <f t="shared" si="5"/>
        <v>236817000</v>
      </c>
      <c r="D32" s="571">
        <f t="shared" si="5"/>
        <v>176033494</v>
      </c>
      <c r="E32" s="212">
        <f t="shared" si="5"/>
        <v>295937266</v>
      </c>
      <c r="F32" s="208">
        <f t="shared" si="5"/>
        <v>394548007</v>
      </c>
      <c r="G32" s="572">
        <f t="shared" si="5"/>
        <v>394548007</v>
      </c>
      <c r="H32" s="211">
        <f t="shared" si="5"/>
        <v>394548007</v>
      </c>
      <c r="I32" s="212">
        <f t="shared" si="5"/>
        <v>411313000</v>
      </c>
      <c r="J32" s="208">
        <f t="shared" si="5"/>
        <v>310819000</v>
      </c>
      <c r="K32" s="572">
        <f t="shared" si="5"/>
        <v>214215000</v>
      </c>
    </row>
    <row r="33" spans="1:15" ht="5.0999999999999996" customHeight="1">
      <c r="A33" s="915"/>
      <c r="B33" s="170"/>
      <c r="C33" s="171"/>
      <c r="D33" s="172"/>
      <c r="E33" s="170"/>
      <c r="F33" s="171"/>
      <c r="G33" s="172"/>
      <c r="H33" s="173"/>
      <c r="I33" s="170"/>
      <c r="J33" s="171"/>
      <c r="K33" s="172"/>
      <c r="O33" s="247"/>
    </row>
    <row r="34" spans="1:15" ht="11.25" customHeight="1">
      <c r="A34" s="911" t="s">
        <v>209</v>
      </c>
      <c r="B34" s="166"/>
      <c r="C34" s="167"/>
      <c r="D34" s="168"/>
      <c r="E34" s="166"/>
      <c r="F34" s="167"/>
      <c r="G34" s="168"/>
      <c r="H34" s="169"/>
      <c r="I34" s="166"/>
      <c r="J34" s="167"/>
      <c r="K34" s="168"/>
      <c r="O34" s="247"/>
    </row>
    <row r="35" spans="1:15" ht="11.25" customHeight="1">
      <c r="A35" s="914" t="str">
        <f>'A6-FinPos'!A12</f>
        <v>Total current assets</v>
      </c>
      <c r="B35" s="1168">
        <f>'A6-FinPos'!C12</f>
        <v>620382861</v>
      </c>
      <c r="C35" s="208">
        <f>'A6-FinPos'!D12</f>
        <v>519770000</v>
      </c>
      <c r="D35" s="571">
        <f>'A6-FinPos'!E12</f>
        <v>448389293</v>
      </c>
      <c r="E35" s="212">
        <f>'A6-FinPos'!F12</f>
        <v>769778171</v>
      </c>
      <c r="F35" s="208">
        <f>'A6-FinPos'!G12</f>
        <v>968590531</v>
      </c>
      <c r="G35" s="572">
        <f>'A6-FinPos'!H12</f>
        <v>968590531</v>
      </c>
      <c r="H35" s="211">
        <f>'A6-FinPos'!I12</f>
        <v>968590531</v>
      </c>
      <c r="I35" s="212">
        <f>'A6-FinPos'!J12</f>
        <v>1020913800</v>
      </c>
      <c r="J35" s="208">
        <f>'A6-FinPos'!K12</f>
        <v>1112830788</v>
      </c>
      <c r="K35" s="572">
        <f>'A6-FinPos'!L12</f>
        <v>1202705669</v>
      </c>
      <c r="O35" s="247"/>
    </row>
    <row r="36" spans="1:15" ht="11.25" customHeight="1">
      <c r="A36" s="914" t="str">
        <f>'A6-FinPos'!A24</f>
        <v>Total non current assets</v>
      </c>
      <c r="B36" s="1168">
        <f>'A6-FinPos'!C24</f>
        <v>1250075188</v>
      </c>
      <c r="C36" s="208">
        <f>'A6-FinPos'!D24</f>
        <v>1998380999</v>
      </c>
      <c r="D36" s="571">
        <f>'A6-FinPos'!E24</f>
        <v>6766605320</v>
      </c>
      <c r="E36" s="212">
        <f>'A6-FinPos'!F24</f>
        <v>7582914000</v>
      </c>
      <c r="F36" s="208">
        <f>'A6-FinPos'!G24</f>
        <v>7059315669</v>
      </c>
      <c r="G36" s="572">
        <f>'A6-FinPos'!H24</f>
        <v>7059315669</v>
      </c>
      <c r="H36" s="211">
        <f>'A6-FinPos'!I24</f>
        <v>7059315669</v>
      </c>
      <c r="I36" s="212">
        <f>'A6-FinPos'!J24</f>
        <v>7135925468</v>
      </c>
      <c r="J36" s="208">
        <f>'A6-FinPos'!K24</f>
        <v>7100615865</v>
      </c>
      <c r="K36" s="572">
        <f>'A6-FinPos'!L24</f>
        <v>7014583574</v>
      </c>
      <c r="O36" s="247"/>
    </row>
    <row r="37" spans="1:15" ht="11.25" customHeight="1">
      <c r="A37" s="914" t="str">
        <f>'A6-FinPos'!A34</f>
        <v>Total current liabilities</v>
      </c>
      <c r="B37" s="1168">
        <f>'A6-FinPos'!C34</f>
        <v>503037320</v>
      </c>
      <c r="C37" s="208">
        <f>'A6-FinPos'!D34</f>
        <v>560647397</v>
      </c>
      <c r="D37" s="571">
        <f>'A6-FinPos'!E34</f>
        <v>573842962</v>
      </c>
      <c r="E37" s="212">
        <f>'A6-FinPos'!F34</f>
        <v>442409000</v>
      </c>
      <c r="F37" s="208">
        <f>'A6-FinPos'!G34</f>
        <v>418651273</v>
      </c>
      <c r="G37" s="572">
        <f>'A6-FinPos'!H34</f>
        <v>418651273</v>
      </c>
      <c r="H37" s="211">
        <f>'A6-FinPos'!I34</f>
        <v>418651273</v>
      </c>
      <c r="I37" s="212">
        <f>'A6-FinPos'!J34</f>
        <v>350218041</v>
      </c>
      <c r="J37" s="208">
        <f>'A6-FinPos'!K34</f>
        <v>364496989</v>
      </c>
      <c r="K37" s="572">
        <f>'A6-FinPos'!L34</f>
        <v>379093537</v>
      </c>
      <c r="O37" s="247"/>
    </row>
    <row r="38" spans="1:15" ht="11.25" customHeight="1">
      <c r="A38" s="914" t="str">
        <f>'A6-FinPos'!A39</f>
        <v>Total non current liabilities</v>
      </c>
      <c r="B38" s="1168">
        <f>'A6-FinPos'!C39</f>
        <v>422347673</v>
      </c>
      <c r="C38" s="208">
        <f>'A6-FinPos'!D39</f>
        <v>1253980800</v>
      </c>
      <c r="D38" s="571">
        <f>'A6-FinPos'!E39</f>
        <v>626759868</v>
      </c>
      <c r="E38" s="212">
        <f>'A6-FinPos'!F39</f>
        <v>753038482</v>
      </c>
      <c r="F38" s="208">
        <f>'A6-FinPos'!G39</f>
        <v>587135045</v>
      </c>
      <c r="G38" s="572">
        <f>'A6-FinPos'!H39</f>
        <v>587135045</v>
      </c>
      <c r="H38" s="211">
        <f>'A6-FinPos'!I39</f>
        <v>587135045</v>
      </c>
      <c r="I38" s="212">
        <f>'A6-FinPos'!J39</f>
        <v>541347157</v>
      </c>
      <c r="J38" s="208">
        <f>'A6-FinPos'!K39</f>
        <v>499568017</v>
      </c>
      <c r="K38" s="572">
        <f>'A6-FinPos'!L39</f>
        <v>461632567</v>
      </c>
      <c r="O38" s="247"/>
    </row>
    <row r="39" spans="1:15" ht="11.25" customHeight="1">
      <c r="A39" s="914" t="s">
        <v>37</v>
      </c>
      <c r="B39" s="1168">
        <f>'A6-FinPos'!C48</f>
        <v>945073055</v>
      </c>
      <c r="C39" s="208">
        <f>'A6-FinPos'!D48</f>
        <v>703523183</v>
      </c>
      <c r="D39" s="571">
        <f>'A6-FinPos'!E48</f>
        <v>5226922867.5916004</v>
      </c>
      <c r="E39" s="212">
        <f>'A6-FinPos'!F48</f>
        <v>6650795000</v>
      </c>
      <c r="F39" s="208">
        <f>'A6-FinPos'!G48</f>
        <v>7022120000</v>
      </c>
      <c r="G39" s="572">
        <f>'A6-FinPos'!H48</f>
        <v>7022120000</v>
      </c>
      <c r="H39" s="211">
        <f>'A6-FinPos'!I48</f>
        <v>7022120000</v>
      </c>
      <c r="I39" s="212">
        <f>'A6-FinPos'!J48</f>
        <v>7265274000</v>
      </c>
      <c r="J39" s="208">
        <f>'A6-FinPos'!K48</f>
        <v>7349382000</v>
      </c>
      <c r="K39" s="572">
        <f>'A6-FinPos'!L48</f>
        <v>7376563000</v>
      </c>
      <c r="O39" s="247"/>
    </row>
    <row r="40" spans="1:15" ht="5.0999999999999996" customHeight="1">
      <c r="A40" s="1204"/>
      <c r="B40" s="159"/>
      <c r="C40" s="160"/>
      <c r="D40" s="161"/>
      <c r="E40" s="159"/>
      <c r="F40" s="160"/>
      <c r="G40" s="161"/>
      <c r="H40" s="162"/>
      <c r="I40" s="159"/>
      <c r="J40" s="160"/>
      <c r="K40" s="161"/>
      <c r="O40" s="247"/>
    </row>
    <row r="41" spans="1:15" ht="11.25" customHeight="1">
      <c r="A41" s="911" t="s">
        <v>210</v>
      </c>
      <c r="B41" s="166"/>
      <c r="C41" s="167"/>
      <c r="D41" s="168"/>
      <c r="E41" s="166"/>
      <c r="F41" s="167"/>
      <c r="G41" s="168"/>
      <c r="H41" s="169"/>
      <c r="I41" s="166"/>
      <c r="J41" s="167"/>
      <c r="K41" s="168"/>
      <c r="O41" s="247"/>
    </row>
    <row r="42" spans="1:15" ht="11.25" customHeight="1">
      <c r="A42" s="914" t="s">
        <v>1068</v>
      </c>
      <c r="B42" s="1168">
        <f>'A7-CFlow'!C15</f>
        <v>168120439</v>
      </c>
      <c r="C42" s="208">
        <f>'A7-CFlow'!D15</f>
        <v>455037142</v>
      </c>
      <c r="D42" s="571">
        <f>'A7-CFlow'!E15</f>
        <v>278319901</v>
      </c>
      <c r="E42" s="212">
        <f>'A7-CFlow'!F15</f>
        <v>114390007</v>
      </c>
      <c r="F42" s="208">
        <f>'A7-CFlow'!G15</f>
        <v>101039327</v>
      </c>
      <c r="G42" s="572">
        <f>'A7-CFlow'!H15</f>
        <v>101039327</v>
      </c>
      <c r="H42" s="211">
        <f>'A7-CFlow'!I15</f>
        <v>101039327</v>
      </c>
      <c r="I42" s="212">
        <f>'A7-CFlow'!J15</f>
        <v>290512148</v>
      </c>
      <c r="J42" s="208">
        <f>'A7-CFlow'!K15</f>
        <v>405905136</v>
      </c>
      <c r="K42" s="572">
        <f>'A7-CFlow'!L15</f>
        <v>376204261</v>
      </c>
    </row>
    <row r="43" spans="1:15" ht="11.25" customHeight="1">
      <c r="A43" s="914" t="s">
        <v>1069</v>
      </c>
      <c r="B43" s="1168">
        <f>'A7-CFlow'!C25</f>
        <v>-182353527</v>
      </c>
      <c r="C43" s="208">
        <f>'A7-CFlow'!D25</f>
        <v>-188278902</v>
      </c>
      <c r="D43" s="571">
        <f>'A7-CFlow'!E25</f>
        <v>-327794152</v>
      </c>
      <c r="E43" s="212">
        <f>'A7-CFlow'!F25</f>
        <v>-296371431</v>
      </c>
      <c r="F43" s="208">
        <f>'A7-CFlow'!G25</f>
        <v>0</v>
      </c>
      <c r="G43" s="572">
        <f>'A7-CFlow'!H25</f>
        <v>0</v>
      </c>
      <c r="H43" s="211">
        <f>'A7-CFlow'!I25</f>
        <v>0</v>
      </c>
      <c r="I43" s="212">
        <f>'A7-CFlow'!J25</f>
        <v>-411313300</v>
      </c>
      <c r="J43" s="208">
        <f>'A7-CFlow'!K25</f>
        <v>-310819300</v>
      </c>
      <c r="K43" s="572">
        <f>'A7-CFlow'!L25</f>
        <v>-214215000</v>
      </c>
    </row>
    <row r="44" spans="1:15" ht="11.25" customHeight="1">
      <c r="A44" s="914" t="s">
        <v>1067</v>
      </c>
      <c r="B44" s="1168">
        <f>'A7-CFlow'!C34</f>
        <v>57127776</v>
      </c>
      <c r="C44" s="208">
        <f>'A7-CFlow'!D34</f>
        <v>50845584</v>
      </c>
      <c r="D44" s="571">
        <f>'A7-CFlow'!E34</f>
        <v>156475380</v>
      </c>
      <c r="E44" s="212">
        <f>'A7-CFlow'!F34</f>
        <v>111232158</v>
      </c>
      <c r="F44" s="208">
        <f>'A7-CFlow'!G34</f>
        <v>184525320</v>
      </c>
      <c r="G44" s="572">
        <f>'A7-CFlow'!H34</f>
        <v>184525320</v>
      </c>
      <c r="H44" s="211">
        <f>'A7-CFlow'!I34</f>
        <v>184525320</v>
      </c>
      <c r="I44" s="212">
        <f>'A7-CFlow'!J34</f>
        <v>147309824</v>
      </c>
      <c r="J44" s="208">
        <f>'A7-CFlow'!K34</f>
        <v>111340984</v>
      </c>
      <c r="K44" s="572">
        <f>'A7-CFlow'!L34</f>
        <v>82634662</v>
      </c>
    </row>
    <row r="45" spans="1:15" ht="11.25" customHeight="1">
      <c r="A45" s="915" t="str">
        <f>LEFT('A7-CFlow'!A38,37)</f>
        <v>Cash/cash equivalents at the year end</v>
      </c>
      <c r="B45" s="1168">
        <f>'A7-CFlow'!C38</f>
        <v>42894688</v>
      </c>
      <c r="C45" s="208">
        <f>'A7-CFlow'!D38</f>
        <v>360498512</v>
      </c>
      <c r="D45" s="571">
        <f>'A7-CFlow'!E38</f>
        <v>467499641</v>
      </c>
      <c r="E45" s="212">
        <f>'A7-CFlow'!F38</f>
        <v>94500950</v>
      </c>
      <c r="F45" s="208">
        <f>'A7-CFlow'!G38</f>
        <v>285564647</v>
      </c>
      <c r="G45" s="572">
        <f>'A7-CFlow'!H38</f>
        <v>285564647</v>
      </c>
      <c r="H45" s="211">
        <f>'A7-CFlow'!I38</f>
        <v>285564647</v>
      </c>
      <c r="I45" s="212">
        <f>'A7-CFlow'!J38</f>
        <v>238508672</v>
      </c>
      <c r="J45" s="208">
        <f>'A7-CFlow'!K38</f>
        <v>444935492</v>
      </c>
      <c r="K45" s="572">
        <f>'A7-CFlow'!L38</f>
        <v>689559415</v>
      </c>
    </row>
    <row r="46" spans="1:15" ht="5.0999999999999996" customHeight="1">
      <c r="A46" s="1204"/>
      <c r="B46" s="159"/>
      <c r="C46" s="160"/>
      <c r="D46" s="161"/>
      <c r="E46" s="159"/>
      <c r="F46" s="160"/>
      <c r="G46" s="161"/>
      <c r="H46" s="162"/>
      <c r="I46" s="159"/>
      <c r="J46" s="160"/>
      <c r="K46" s="161"/>
    </row>
    <row r="47" spans="1:15" ht="11.25" customHeight="1">
      <c r="A47" s="911" t="s">
        <v>297</v>
      </c>
      <c r="B47" s="166"/>
      <c r="C47" s="167"/>
      <c r="D47" s="168"/>
      <c r="E47" s="166"/>
      <c r="F47" s="167"/>
      <c r="G47" s="168"/>
      <c r="H47" s="169"/>
      <c r="I47" s="166"/>
      <c r="J47" s="167"/>
      <c r="K47" s="168"/>
    </row>
    <row r="48" spans="1:15" ht="11.25" customHeight="1">
      <c r="A48" s="914" t="str">
        <f>'A8-ResRecon'!A4</f>
        <v>Cash and investments available</v>
      </c>
      <c r="B48" s="1168">
        <f>'A8-ResRecon'!C8</f>
        <v>265780115</v>
      </c>
      <c r="C48" s="208">
        <f>'A8-ResRecon'!D8</f>
        <v>114798000</v>
      </c>
      <c r="D48" s="571">
        <f>'A8-ResRecon'!E8</f>
        <v>139884000</v>
      </c>
      <c r="E48" s="212">
        <f>'A8-ResRecon'!F8</f>
        <v>128266531</v>
      </c>
      <c r="F48" s="208">
        <f>'A8-ResRecon'!G8</f>
        <v>156632531</v>
      </c>
      <c r="G48" s="572">
        <f>'A8-ResRecon'!H8</f>
        <v>156632531</v>
      </c>
      <c r="H48" s="211">
        <f>'A8-ResRecon'!I8</f>
        <v>156632531</v>
      </c>
      <c r="I48" s="212">
        <f>'A8-ResRecon'!J8</f>
        <v>178345000</v>
      </c>
      <c r="J48" s="208">
        <f>'A8-ResRecon'!K8</f>
        <v>184032600</v>
      </c>
      <c r="K48" s="572">
        <f>'A8-ResRecon'!L8</f>
        <v>188469000</v>
      </c>
    </row>
    <row r="49" spans="1:12" ht="11.25" customHeight="1">
      <c r="A49" s="914" t="str">
        <f>'A8-ResRecon'!A10</f>
        <v>Application of cash and investments</v>
      </c>
      <c r="B49" s="1168">
        <f>'A8-ResRecon'!C18</f>
        <v>329589331</v>
      </c>
      <c r="C49" s="208">
        <f>'A8-ResRecon'!D18</f>
        <v>226200343</v>
      </c>
      <c r="D49" s="571">
        <f>'A8-ResRecon'!E18</f>
        <v>446913552</v>
      </c>
      <c r="E49" s="212">
        <f>'A8-ResRecon'!F18</f>
        <v>-16135000</v>
      </c>
      <c r="F49" s="208">
        <f>'A8-ResRecon'!G18</f>
        <v>-93629000</v>
      </c>
      <c r="G49" s="572">
        <f>'A8-ResRecon'!H18</f>
        <v>-93629000</v>
      </c>
      <c r="H49" s="211">
        <f>'A8-ResRecon'!I18</f>
        <v>-93629000</v>
      </c>
      <c r="I49" s="212">
        <f>'A8-ResRecon'!J18</f>
        <v>-263451000</v>
      </c>
      <c r="J49" s="208">
        <f>'A8-ResRecon'!K18</f>
        <v>-399445150</v>
      </c>
      <c r="K49" s="572">
        <f>'A8-ResRecon'!L18</f>
        <v>-458348913</v>
      </c>
    </row>
    <row r="50" spans="1:12" ht="11.25" customHeight="1">
      <c r="A50" s="915" t="s">
        <v>1170</v>
      </c>
      <c r="B50" s="1168">
        <f>B48-B49</f>
        <v>-63809216</v>
      </c>
      <c r="C50" s="208">
        <f t="shared" ref="C50:K50" si="6">C48-C49</f>
        <v>-111402343</v>
      </c>
      <c r="D50" s="571">
        <f t="shared" si="6"/>
        <v>-307029552</v>
      </c>
      <c r="E50" s="212">
        <f t="shared" si="6"/>
        <v>144401531</v>
      </c>
      <c r="F50" s="208">
        <f t="shared" si="6"/>
        <v>250261531</v>
      </c>
      <c r="G50" s="572">
        <f t="shared" si="6"/>
        <v>250261531</v>
      </c>
      <c r="H50" s="211">
        <f t="shared" si="6"/>
        <v>250261531</v>
      </c>
      <c r="I50" s="212">
        <f t="shared" si="6"/>
        <v>441796000</v>
      </c>
      <c r="J50" s="208">
        <f t="shared" si="6"/>
        <v>583477750</v>
      </c>
      <c r="K50" s="572">
        <f t="shared" si="6"/>
        <v>646817913</v>
      </c>
    </row>
    <row r="51" spans="1:12" ht="5.0999999999999996" customHeight="1">
      <c r="A51" s="940"/>
      <c r="B51" s="175"/>
      <c r="C51" s="176"/>
      <c r="D51" s="177"/>
      <c r="E51" s="175"/>
      <c r="F51" s="176"/>
      <c r="G51" s="177"/>
      <c r="H51" s="178"/>
      <c r="I51" s="175"/>
      <c r="J51" s="176"/>
      <c r="K51" s="177"/>
    </row>
    <row r="52" spans="1:12" ht="11.25" customHeight="1">
      <c r="A52" s="1205" t="s">
        <v>1348</v>
      </c>
      <c r="B52" s="159"/>
      <c r="C52" s="160"/>
      <c r="D52" s="161"/>
      <c r="E52" s="159"/>
      <c r="F52" s="160"/>
      <c r="G52" s="161"/>
      <c r="H52" s="162"/>
      <c r="I52" s="159"/>
      <c r="J52" s="160"/>
      <c r="K52" s="161"/>
      <c r="L52" s="373"/>
    </row>
    <row r="53" spans="1:12" ht="11.25" customHeight="1">
      <c r="A53" s="1206" t="s">
        <v>1042</v>
      </c>
      <c r="B53" s="1168">
        <f>'A9-Asset'!C65</f>
        <v>197745457</v>
      </c>
      <c r="C53" s="208">
        <f>'A9-Asset'!D65</f>
        <v>875842636</v>
      </c>
      <c r="D53" s="571">
        <f>'A9-Asset'!E65</f>
        <v>6761807607</v>
      </c>
      <c r="E53" s="212">
        <f>'A9-Asset'!F65</f>
        <v>7039610353</v>
      </c>
      <c r="F53" s="208">
        <f>'A9-Asset'!G65</f>
        <v>7051263674.2799988</v>
      </c>
      <c r="G53" s="572">
        <f>'A9-Asset'!H65</f>
        <v>7051263674.2799988</v>
      </c>
      <c r="H53" s="211">
        <f>'A9-Asset'!I65</f>
        <v>7127366799.2800007</v>
      </c>
      <c r="I53" s="212">
        <f>'A9-Asset'!I65</f>
        <v>7127366799.2800007</v>
      </c>
      <c r="J53" s="208">
        <f>'A9-Asset'!J65</f>
        <v>7091545196.2799997</v>
      </c>
      <c r="K53" s="572">
        <f>'A9-Asset'!K65</f>
        <v>7005000905.2800007</v>
      </c>
      <c r="L53" s="373"/>
    </row>
    <row r="54" spans="1:12" ht="11.25" customHeight="1">
      <c r="A54" s="1206" t="str">
        <f>'A9-Asset'!A68</f>
        <v>Depreciation &amp; asset impairment</v>
      </c>
      <c r="B54" s="1168">
        <f>'A9-Asset'!C68</f>
        <v>96408758</v>
      </c>
      <c r="C54" s="208">
        <f>'A9-Asset'!D68</f>
        <v>50736350</v>
      </c>
      <c r="D54" s="571">
        <f>'A9-Asset'!E68</f>
        <v>123646386</v>
      </c>
      <c r="E54" s="212">
        <f>'A9-Asset'!F68</f>
        <v>115834000</v>
      </c>
      <c r="F54" s="208">
        <f>'A9-Asset'!G68</f>
        <v>105634674</v>
      </c>
      <c r="G54" s="572">
        <f>'A9-Asset'!H68</f>
        <v>105634674</v>
      </c>
      <c r="H54" s="211">
        <f>'A9-Asset'!I68</f>
        <v>124711874</v>
      </c>
      <c r="I54" s="212">
        <f>'A9-Asset'!I68</f>
        <v>124711874</v>
      </c>
      <c r="J54" s="208">
        <f>'A9-Asset'!J68</f>
        <v>85999663</v>
      </c>
      <c r="K54" s="572">
        <f>'A9-Asset'!K68</f>
        <v>91593636</v>
      </c>
      <c r="L54" s="373"/>
    </row>
    <row r="55" spans="1:12" ht="11.25" customHeight="1">
      <c r="A55" s="1206" t="s">
        <v>469</v>
      </c>
      <c r="B55" s="1168">
        <f>'A9-Asset'!C20</f>
        <v>13213941</v>
      </c>
      <c r="C55" s="208">
        <f>'A9-Asset'!D20</f>
        <v>76982173</v>
      </c>
      <c r="D55" s="571">
        <f>'A9-Asset'!E20</f>
        <v>95810000</v>
      </c>
      <c r="E55" s="212">
        <f>'A9-Asset'!F20</f>
        <v>28087000</v>
      </c>
      <c r="F55" s="208">
        <f>'A9-Asset'!G20</f>
        <v>34040673</v>
      </c>
      <c r="G55" s="572">
        <f>'A9-Asset'!H20</f>
        <v>34040673</v>
      </c>
      <c r="H55" s="211">
        <f>'A9-Asset'!I20</f>
        <v>152603300</v>
      </c>
      <c r="I55" s="212">
        <f>'A9-Asset'!I20</f>
        <v>152603300</v>
      </c>
      <c r="J55" s="208">
        <f>'A9-Asset'!J20</f>
        <v>146319300</v>
      </c>
      <c r="K55" s="572">
        <f>'A9-Asset'!K20</f>
        <v>182215000</v>
      </c>
      <c r="L55" s="373"/>
    </row>
    <row r="56" spans="1:12" ht="11.25" customHeight="1">
      <c r="A56" s="1206" t="s">
        <v>470</v>
      </c>
      <c r="B56" s="1168">
        <f>'A9-Asset'!C69</f>
        <v>60481535</v>
      </c>
      <c r="C56" s="208">
        <f>'A9-Asset'!D69</f>
        <v>71701171</v>
      </c>
      <c r="D56" s="571">
        <f>'A9-Asset'!E69</f>
        <v>126447143</v>
      </c>
      <c r="E56" s="212">
        <f>'A9-Asset'!F69</f>
        <v>72509000</v>
      </c>
      <c r="F56" s="208">
        <f>'A9-Asset'!G69</f>
        <v>72509000</v>
      </c>
      <c r="G56" s="572">
        <f>'A9-Asset'!H69</f>
        <v>72509000</v>
      </c>
      <c r="H56" s="211">
        <f>'A9-Asset'!I69</f>
        <v>99213711</v>
      </c>
      <c r="I56" s="212">
        <f>'A9-Asset'!I69</f>
        <v>99213711</v>
      </c>
      <c r="J56" s="208">
        <f>'A9-Asset'!J69</f>
        <v>113409416.12799999</v>
      </c>
      <c r="K56" s="572">
        <f>'A9-Asset'!K69</f>
        <v>118870875.742144</v>
      </c>
      <c r="L56" s="373"/>
    </row>
    <row r="57" spans="1:12" ht="5.0999999999999996" customHeight="1">
      <c r="A57" s="1207"/>
      <c r="B57" s="931"/>
      <c r="C57" s="929"/>
      <c r="D57" s="930"/>
      <c r="E57" s="931"/>
      <c r="F57" s="929"/>
      <c r="G57" s="930"/>
      <c r="H57" s="932"/>
      <c r="I57" s="931"/>
      <c r="J57" s="929"/>
      <c r="K57" s="930"/>
      <c r="L57" s="373"/>
    </row>
    <row r="58" spans="1:12" ht="11.25" customHeight="1">
      <c r="A58" s="1205" t="s">
        <v>871</v>
      </c>
      <c r="B58" s="159"/>
      <c r="C58" s="160"/>
      <c r="D58" s="161"/>
      <c r="E58" s="159"/>
      <c r="F58" s="160"/>
      <c r="G58" s="161"/>
      <c r="H58" s="162"/>
      <c r="I58" s="163"/>
      <c r="J58" s="164"/>
      <c r="K58" s="165"/>
      <c r="L58" s="373"/>
    </row>
    <row r="59" spans="1:12" ht="11.25" customHeight="1">
      <c r="A59" s="1620" t="s">
        <v>873</v>
      </c>
      <c r="B59" s="1168">
        <f>'A10-SerDel'!C59</f>
        <v>59509135</v>
      </c>
      <c r="C59" s="208">
        <f>'A10-SerDel'!D59</f>
        <v>67331565</v>
      </c>
      <c r="D59" s="571">
        <f>'A10-SerDel'!E59</f>
        <v>39245279</v>
      </c>
      <c r="E59" s="212">
        <f>'A10-SerDel'!F59</f>
        <v>145049441.81</v>
      </c>
      <c r="F59" s="208">
        <f>'A10-SerDel'!G59</f>
        <v>17517550</v>
      </c>
      <c r="G59" s="572">
        <f>'A10-SerDel'!H59</f>
        <v>17517550</v>
      </c>
      <c r="H59" s="211">
        <f>'A10-SerDel'!I59</f>
        <v>11188459</v>
      </c>
      <c r="I59" s="212">
        <f>'A10-SerDel'!I59</f>
        <v>11188459</v>
      </c>
      <c r="J59" s="208">
        <f>'A10-SerDel'!J59</f>
        <v>11725505</v>
      </c>
      <c r="K59" s="572">
        <f>'A10-SerDel'!K59</f>
        <v>12288329</v>
      </c>
      <c r="L59" s="373"/>
    </row>
    <row r="60" spans="1:12" ht="11.25" customHeight="1">
      <c r="A60" s="1620" t="s">
        <v>527</v>
      </c>
      <c r="B60" s="1168">
        <f>'A10-SerDel'!C78</f>
        <v>59509135</v>
      </c>
      <c r="C60" s="208">
        <f>'A10-SerDel'!D78</f>
        <v>84854846</v>
      </c>
      <c r="D60" s="571">
        <f>'A10-SerDel'!E78</f>
        <v>71326155</v>
      </c>
      <c r="E60" s="212">
        <f>'A10-SerDel'!F78</f>
        <v>267068936.48000002</v>
      </c>
      <c r="F60" s="208">
        <f>'A10-SerDel'!G78</f>
        <v>267068936.48000002</v>
      </c>
      <c r="G60" s="572">
        <f>'A10-SerDel'!H78</f>
        <v>267068936.48000002</v>
      </c>
      <c r="H60" s="211">
        <f>'A10-SerDel'!I78</f>
        <v>304834902</v>
      </c>
      <c r="I60" s="212">
        <f>'A10-SerDel'!I78</f>
        <v>304834902</v>
      </c>
      <c r="J60" s="208">
        <f>'A10-SerDel'!J78</f>
        <v>339004000</v>
      </c>
      <c r="K60" s="572">
        <f>'A10-SerDel'!K78</f>
        <v>361409000</v>
      </c>
      <c r="L60" s="373"/>
    </row>
    <row r="61" spans="1:12" ht="11.25" customHeight="1">
      <c r="A61" s="1622" t="s">
        <v>872</v>
      </c>
      <c r="B61" s="163"/>
      <c r="C61" s="164"/>
      <c r="D61" s="165"/>
      <c r="E61" s="163"/>
      <c r="F61" s="164"/>
      <c r="G61" s="165"/>
      <c r="H61" s="624"/>
      <c r="I61" s="163"/>
      <c r="J61" s="164"/>
      <c r="K61" s="165"/>
      <c r="L61" s="373"/>
    </row>
    <row r="62" spans="1:12" ht="11.25" customHeight="1">
      <c r="A62" s="1391" t="str">
        <f>'A10-SerDel'!A5</f>
        <v>Water:</v>
      </c>
      <c r="B62" s="614">
        <f>'A10-SerDel'!C14</f>
        <v>5042</v>
      </c>
      <c r="C62" s="612">
        <f>'A10-SerDel'!D14</f>
        <v>49000</v>
      </c>
      <c r="D62" s="613">
        <f>'A10-SerDel'!E14</f>
        <v>2006</v>
      </c>
      <c r="E62" s="614">
        <f>'A10-SerDel'!F14</f>
        <v>5880</v>
      </c>
      <c r="F62" s="612">
        <f>'A10-SerDel'!G14</f>
        <v>5880</v>
      </c>
      <c r="G62" s="613">
        <f>'A10-SerDel'!H14</f>
        <v>5880</v>
      </c>
      <c r="H62" s="616">
        <f>'A10-SerDel'!I14</f>
        <v>521</v>
      </c>
      <c r="I62" s="614">
        <f>'A10-SerDel'!I14</f>
        <v>521</v>
      </c>
      <c r="J62" s="612">
        <f>'A10-SerDel'!J14</f>
        <v>521</v>
      </c>
      <c r="K62" s="613">
        <f>'A10-SerDel'!K14</f>
        <v>521</v>
      </c>
      <c r="L62" s="373"/>
    </row>
    <row r="63" spans="1:12" ht="11.25" customHeight="1">
      <c r="A63" s="1391" t="str">
        <f>'A10-SerDel'!A16</f>
        <v>Sanitation/sewerage:</v>
      </c>
      <c r="B63" s="614">
        <f>'A10-SerDel'!C26</f>
        <v>0</v>
      </c>
      <c r="C63" s="612">
        <f>'A10-SerDel'!D26</f>
        <v>25000</v>
      </c>
      <c r="D63" s="613">
        <f>'A10-SerDel'!E26</f>
        <v>0</v>
      </c>
      <c r="E63" s="614">
        <f>'A10-SerDel'!F26</f>
        <v>0</v>
      </c>
      <c r="F63" s="612">
        <f>'A10-SerDel'!G26</f>
        <v>0</v>
      </c>
      <c r="G63" s="613">
        <f>'A10-SerDel'!H26</f>
        <v>0</v>
      </c>
      <c r="H63" s="616">
        <f>'A10-SerDel'!I26</f>
        <v>0</v>
      </c>
      <c r="I63" s="614">
        <f>'A10-SerDel'!I26</f>
        <v>0</v>
      </c>
      <c r="J63" s="612">
        <f>'A10-SerDel'!J26</f>
        <v>0</v>
      </c>
      <c r="K63" s="613">
        <f>'A10-SerDel'!K26</f>
        <v>0</v>
      </c>
      <c r="L63" s="373"/>
    </row>
    <row r="64" spans="1:12" ht="11.25" customHeight="1">
      <c r="A64" s="1391" t="str">
        <f>'A10-SerDel'!A28</f>
        <v>Energy:</v>
      </c>
      <c r="B64" s="614">
        <f>'A10-SerDel'!C35</f>
        <v>0</v>
      </c>
      <c r="C64" s="612">
        <f>'A10-SerDel'!D35</f>
        <v>0</v>
      </c>
      <c r="D64" s="613">
        <f>'A10-SerDel'!E35</f>
        <v>0</v>
      </c>
      <c r="E64" s="614">
        <f>'A10-SerDel'!F35</f>
        <v>0</v>
      </c>
      <c r="F64" s="612">
        <f>'A10-SerDel'!G35</f>
        <v>0</v>
      </c>
      <c r="G64" s="613">
        <f>'A10-SerDel'!H35</f>
        <v>0</v>
      </c>
      <c r="H64" s="616">
        <f>'A10-SerDel'!I35</f>
        <v>0</v>
      </c>
      <c r="I64" s="614">
        <f>'A10-SerDel'!I35</f>
        <v>0</v>
      </c>
      <c r="J64" s="612">
        <f>'A10-SerDel'!J35</f>
        <v>0</v>
      </c>
      <c r="K64" s="613">
        <f>'A10-SerDel'!K35</f>
        <v>0</v>
      </c>
      <c r="L64" s="373"/>
    </row>
    <row r="65" spans="1:12" ht="11.25" customHeight="1">
      <c r="A65" s="1391" t="str">
        <f>'A10-SerDel'!A37</f>
        <v>Refuse:</v>
      </c>
      <c r="B65" s="614">
        <f>'A10-SerDel'!C45</f>
        <v>54500</v>
      </c>
      <c r="C65" s="612">
        <f>'A10-SerDel'!D45</f>
        <v>40260</v>
      </c>
      <c r="D65" s="613">
        <f>'A10-SerDel'!E45</f>
        <v>58222.5</v>
      </c>
      <c r="E65" s="614">
        <f>'A10-SerDel'!F45</f>
        <v>78820</v>
      </c>
      <c r="F65" s="612">
        <f>'A10-SerDel'!G45</f>
        <v>78820</v>
      </c>
      <c r="G65" s="613">
        <f>'A10-SerDel'!H45</f>
        <v>78820</v>
      </c>
      <c r="H65" s="616">
        <f>'A10-SerDel'!I45</f>
        <v>85000</v>
      </c>
      <c r="I65" s="614">
        <f>'A10-SerDel'!I45</f>
        <v>85000</v>
      </c>
      <c r="J65" s="612">
        <f>'A10-SerDel'!J45</f>
        <v>85000</v>
      </c>
      <c r="K65" s="613">
        <f>'A10-SerDel'!K45</f>
        <v>85000</v>
      </c>
      <c r="L65" s="373"/>
    </row>
    <row r="66" spans="1:12" ht="5.0999999999999996" customHeight="1">
      <c r="A66" s="1207"/>
      <c r="B66" s="931"/>
      <c r="C66" s="929"/>
      <c r="D66" s="930"/>
      <c r="E66" s="931"/>
      <c r="F66" s="929"/>
      <c r="G66" s="930"/>
      <c r="H66" s="932"/>
      <c r="I66" s="931"/>
      <c r="J66" s="929"/>
      <c r="K66" s="930"/>
      <c r="L66" s="373"/>
    </row>
    <row r="67" spans="1:12" ht="4.5" customHeight="1">
      <c r="A67" s="247"/>
      <c r="B67" s="162"/>
      <c r="C67" s="162"/>
      <c r="D67" s="162"/>
      <c r="E67" s="162"/>
      <c r="F67" s="162"/>
      <c r="G67" s="162"/>
      <c r="H67" s="162"/>
      <c r="I67" s="162"/>
      <c r="J67" s="162"/>
      <c r="K67" s="162"/>
    </row>
    <row r="68" spans="1:12">
      <c r="A68" s="179"/>
      <c r="B68" s="179"/>
      <c r="C68" s="179"/>
      <c r="D68" s="179"/>
      <c r="E68" s="179"/>
      <c r="F68" s="179"/>
      <c r="G68" s="179"/>
      <c r="H68" s="179"/>
      <c r="I68" s="179"/>
      <c r="J68" s="179"/>
      <c r="K68" s="179"/>
    </row>
  </sheetData>
  <sheetProtection password="A35B"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115" zoomScaleNormal="115" workbookViewId="0">
      <pane xSplit="2" ySplit="3" topLeftCell="C25" activePane="bottomRight" state="frozen"/>
      <selection activeCell="O37" sqref="A1:IV65536"/>
      <selection pane="topRight" activeCell="O37" sqref="A1:IV65536"/>
      <selection pane="bottomLeft" activeCell="O37" sqref="A1:IV65536"/>
      <selection pane="bottomRight" activeCell="E30" sqref="E30"/>
    </sheetView>
  </sheetViews>
  <sheetFormatPr defaultRowHeight="12.75"/>
  <cols>
    <col min="1" max="1" width="30.7109375" style="150" customWidth="1"/>
    <col min="2" max="2" width="3" style="248" customWidth="1"/>
    <col min="3" max="11" width="9.28515625" style="150" customWidth="1"/>
    <col min="12" max="41" width="9.5703125" style="150" customWidth="1"/>
    <col min="42" max="16384" width="9.140625" style="150"/>
  </cols>
  <sheetData>
    <row r="1" spans="1:18" ht="13.5">
      <c r="A1" s="148" t="str">
        <f>muni&amp;" - "&amp;Approve3</f>
        <v>KZN225 Msunduzi - Table A2 Budgeted Financial Performance (revenue and expenditure by standard classification)</v>
      </c>
      <c r="B1" s="249"/>
      <c r="C1" s="249"/>
      <c r="D1" s="249"/>
      <c r="E1" s="249"/>
      <c r="F1" s="249"/>
      <c r="G1" s="249"/>
      <c r="H1" s="249"/>
      <c r="I1" s="249"/>
      <c r="J1" s="249"/>
      <c r="K1" s="249"/>
    </row>
    <row r="2" spans="1:18" ht="28.5" customHeight="1">
      <c r="A2" s="1001" t="str">
        <f>"Standard Classification "&amp;desc</f>
        <v>Standard Classification Description</v>
      </c>
      <c r="B2" s="422" t="str">
        <f>head27</f>
        <v>Ref</v>
      </c>
      <c r="C2" s="151"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8" ht="25.5">
      <c r="A3" s="181" t="s">
        <v>703</v>
      </c>
      <c r="B3" s="1012">
        <v>1</v>
      </c>
      <c r="C3" s="393" t="str">
        <f>Head5</f>
        <v>Audited Outcome</v>
      </c>
      <c r="D3" s="393"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8" ht="11.25" customHeight="1">
      <c r="A4" s="250" t="s">
        <v>453</v>
      </c>
      <c r="B4" s="183"/>
      <c r="C4" s="185"/>
      <c r="D4" s="185"/>
      <c r="E4" s="186"/>
      <c r="F4" s="187"/>
      <c r="G4" s="185"/>
      <c r="H4" s="184"/>
      <c r="I4" s="188"/>
      <c r="J4" s="185"/>
      <c r="K4" s="186"/>
      <c r="L4" s="373"/>
    </row>
    <row r="5" spans="1:18" ht="11.25" customHeight="1">
      <c r="A5" s="1314" t="s">
        <v>1223</v>
      </c>
      <c r="B5" s="1231"/>
      <c r="C5" s="1168">
        <f>SUM(C6:C8)</f>
        <v>494363811.16000003</v>
      </c>
      <c r="D5" s="1168">
        <f t="shared" ref="D5:K5" si="0">SUM(D6:D8)</f>
        <v>542520347</v>
      </c>
      <c r="E5" s="1454">
        <f t="shared" si="0"/>
        <v>910367681</v>
      </c>
      <c r="F5" s="1172">
        <f t="shared" si="0"/>
        <v>540337318</v>
      </c>
      <c r="G5" s="1168">
        <f t="shared" si="0"/>
        <v>929537147</v>
      </c>
      <c r="H5" s="1455">
        <f t="shared" si="0"/>
        <v>929537147</v>
      </c>
      <c r="I5" s="1456">
        <f t="shared" si="0"/>
        <v>984089832</v>
      </c>
      <c r="J5" s="1168">
        <f t="shared" si="0"/>
        <v>1033784987</v>
      </c>
      <c r="K5" s="1455">
        <f t="shared" si="0"/>
        <v>1090316667</v>
      </c>
      <c r="L5" s="373"/>
      <c r="Q5" s="253"/>
      <c r="R5" s="254"/>
    </row>
    <row r="6" spans="1:18" ht="11.25" customHeight="1">
      <c r="A6" s="1315" t="s">
        <v>144</v>
      </c>
      <c r="B6" s="1231"/>
      <c r="C6" s="1091">
        <f>A2A!C6</f>
        <v>12362.67</v>
      </c>
      <c r="D6" s="1091">
        <f>A2A!D6</f>
        <v>498575</v>
      </c>
      <c r="E6" s="1092">
        <f>A2A!E6</f>
        <v>464567</v>
      </c>
      <c r="F6" s="1093">
        <f>A2A!F6</f>
        <v>0</v>
      </c>
      <c r="G6" s="1091">
        <f>A2A!G6</f>
        <v>196171</v>
      </c>
      <c r="H6" s="1094">
        <f>A2A!H6</f>
        <v>196171</v>
      </c>
      <c r="I6" s="1095">
        <f>A2A!I6</f>
        <v>304077</v>
      </c>
      <c r="J6" s="1091">
        <f>A2A!J6</f>
        <v>320193</v>
      </c>
      <c r="K6" s="1092">
        <f>A2A!K6</f>
        <v>337804</v>
      </c>
      <c r="L6" s="373"/>
      <c r="Q6" s="253"/>
      <c r="R6" s="254"/>
    </row>
    <row r="7" spans="1:18" ht="11.25" customHeight="1">
      <c r="A7" s="1315" t="s">
        <v>145</v>
      </c>
      <c r="B7" s="1231"/>
      <c r="C7" s="1549">
        <f>A2A!C9</f>
        <v>489893266.06</v>
      </c>
      <c r="D7" s="1549">
        <f>A2A!D9</f>
        <v>536866776</v>
      </c>
      <c r="E7" s="1550">
        <f>A2A!E9</f>
        <v>891240927</v>
      </c>
      <c r="F7" s="1551">
        <f>A2A!F9</f>
        <v>511002062</v>
      </c>
      <c r="G7" s="1549">
        <f>A2A!G9</f>
        <v>910798437</v>
      </c>
      <c r="H7" s="1552">
        <f>A2A!H9</f>
        <v>910798437</v>
      </c>
      <c r="I7" s="1553">
        <f>A2A!I9</f>
        <v>967450733</v>
      </c>
      <c r="J7" s="1549">
        <f>A2A!J9</f>
        <v>1018146379</v>
      </c>
      <c r="K7" s="1550">
        <f>A2A!K9</f>
        <v>1073817930</v>
      </c>
      <c r="L7" s="373"/>
      <c r="Q7" s="253"/>
      <c r="R7" s="254"/>
    </row>
    <row r="8" spans="1:18" ht="11.25" customHeight="1">
      <c r="A8" s="1315" t="s">
        <v>146</v>
      </c>
      <c r="B8" s="1231"/>
      <c r="C8" s="1091">
        <f>A2A!C10</f>
        <v>4458182.43</v>
      </c>
      <c r="D8" s="1091">
        <f>A2A!D10</f>
        <v>5154996</v>
      </c>
      <c r="E8" s="1092">
        <f>A2A!E10</f>
        <v>18662187</v>
      </c>
      <c r="F8" s="1093">
        <f>A2A!F10</f>
        <v>29335256</v>
      </c>
      <c r="G8" s="1091">
        <f>A2A!G10</f>
        <v>18542539</v>
      </c>
      <c r="H8" s="1094">
        <f>A2A!H10</f>
        <v>18542539</v>
      </c>
      <c r="I8" s="1095">
        <f>A2A!I10</f>
        <v>16335022</v>
      </c>
      <c r="J8" s="1091">
        <f>A2A!J10</f>
        <v>15318415</v>
      </c>
      <c r="K8" s="1092">
        <f>A2A!K10</f>
        <v>16160933</v>
      </c>
      <c r="L8" s="373"/>
      <c r="Q8" s="253"/>
      <c r="R8" s="254"/>
    </row>
    <row r="9" spans="1:18" ht="11.25" customHeight="1">
      <c r="A9" s="1314" t="s">
        <v>147</v>
      </c>
      <c r="B9" s="1231"/>
      <c r="C9" s="1168">
        <f>SUM(C10:C14)</f>
        <v>45391565.960000001</v>
      </c>
      <c r="D9" s="1168">
        <f t="shared" ref="D9:K9" si="1">SUM(D10:D14)</f>
        <v>82009947</v>
      </c>
      <c r="E9" s="1169">
        <f t="shared" si="1"/>
        <v>77867339</v>
      </c>
      <c r="F9" s="1170">
        <f t="shared" si="1"/>
        <v>20302199</v>
      </c>
      <c r="G9" s="1168">
        <f t="shared" si="1"/>
        <v>26495748</v>
      </c>
      <c r="H9" s="1171">
        <f t="shared" si="1"/>
        <v>26495748</v>
      </c>
      <c r="I9" s="1172">
        <f t="shared" si="1"/>
        <v>23639400</v>
      </c>
      <c r="J9" s="1168">
        <f t="shared" si="1"/>
        <v>25836184.710000001</v>
      </c>
      <c r="K9" s="1169">
        <f t="shared" si="1"/>
        <v>39380418.894050002</v>
      </c>
      <c r="L9" s="373"/>
      <c r="Q9" s="253"/>
      <c r="R9" s="254"/>
    </row>
    <row r="10" spans="1:18" ht="11.25" customHeight="1">
      <c r="A10" s="1315" t="s">
        <v>148</v>
      </c>
      <c r="B10" s="1231"/>
      <c r="C10" s="1091">
        <f>A2A!C16</f>
        <v>4952424.87</v>
      </c>
      <c r="D10" s="1091">
        <f>A2A!D16</f>
        <v>18022978</v>
      </c>
      <c r="E10" s="1092">
        <f>A2A!E16</f>
        <v>5699366</v>
      </c>
      <c r="F10" s="1093">
        <f>A2A!F16</f>
        <v>6517112</v>
      </c>
      <c r="G10" s="1091">
        <f>A2A!G16</f>
        <v>3213766</v>
      </c>
      <c r="H10" s="1094">
        <f>A2A!H16</f>
        <v>3213766</v>
      </c>
      <c r="I10" s="1095">
        <f>A2A!I16</f>
        <v>3260432</v>
      </c>
      <c r="J10" s="1091">
        <f>A2A!J16</f>
        <v>12881459</v>
      </c>
      <c r="K10" s="1092">
        <f>A2A!K16</f>
        <v>23459628</v>
      </c>
      <c r="L10" s="373"/>
      <c r="N10" s="373"/>
      <c r="Q10" s="253"/>
      <c r="R10" s="254"/>
    </row>
    <row r="11" spans="1:18" ht="11.25" customHeight="1">
      <c r="A11" s="1315" t="s">
        <v>149</v>
      </c>
      <c r="B11" s="1231"/>
      <c r="C11" s="1091">
        <f>A2A!C25</f>
        <v>906043.11</v>
      </c>
      <c r="D11" s="1091">
        <f>A2A!D25</f>
        <v>1001382</v>
      </c>
      <c r="E11" s="1092">
        <f>A2A!E25</f>
        <v>901350</v>
      </c>
      <c r="F11" s="1093">
        <f>A2A!F25</f>
        <v>954773</v>
      </c>
      <c r="G11" s="1091">
        <f>A2A!G25</f>
        <v>957806</v>
      </c>
      <c r="H11" s="1094">
        <f>A2A!H25</f>
        <v>957806</v>
      </c>
      <c r="I11" s="1095">
        <f>A2A!I25</f>
        <v>5136814</v>
      </c>
      <c r="J11" s="1091">
        <f>A2A!J25</f>
        <v>809561</v>
      </c>
      <c r="K11" s="1092">
        <f>A2A!K25</f>
        <v>854087</v>
      </c>
      <c r="L11" s="373"/>
      <c r="Q11" s="253"/>
      <c r="R11" s="254"/>
    </row>
    <row r="12" spans="1:18" ht="11.25" customHeight="1">
      <c r="A12" s="1315" t="s">
        <v>150</v>
      </c>
      <c r="B12" s="1231"/>
      <c r="C12" s="1091">
        <f>A2A!C26</f>
        <v>16393011.6</v>
      </c>
      <c r="D12" s="1091">
        <f>A2A!D26</f>
        <v>16086371</v>
      </c>
      <c r="E12" s="1092">
        <f>A2A!E26</f>
        <v>9563638</v>
      </c>
      <c r="F12" s="1093">
        <f>A2A!F26</f>
        <v>8238847</v>
      </c>
      <c r="G12" s="1091">
        <f>A2A!G26</f>
        <v>8453869</v>
      </c>
      <c r="H12" s="1094">
        <f>A2A!H26</f>
        <v>8453869</v>
      </c>
      <c r="I12" s="1095">
        <f>A2A!I26</f>
        <v>8007486</v>
      </c>
      <c r="J12" s="1091">
        <f>A2A!J26</f>
        <v>2343658.71</v>
      </c>
      <c r="K12" s="1092">
        <f>A2A!K26</f>
        <v>2473615.8940499998</v>
      </c>
      <c r="L12" s="373"/>
      <c r="Q12" s="253"/>
      <c r="R12" s="254"/>
    </row>
    <row r="13" spans="1:18" ht="11.25" customHeight="1">
      <c r="A13" s="1315" t="s">
        <v>1873</v>
      </c>
      <c r="B13" s="1231"/>
      <c r="C13" s="1091">
        <f>A2A!C32</f>
        <v>14879298.23</v>
      </c>
      <c r="D13" s="1091">
        <f>A2A!D32</f>
        <v>38712712</v>
      </c>
      <c r="E13" s="1092">
        <f>A2A!E32</f>
        <v>50923742</v>
      </c>
      <c r="F13" s="1093">
        <f>A2A!F32</f>
        <v>4564189</v>
      </c>
      <c r="G13" s="1091">
        <f>A2A!G32</f>
        <v>13847082</v>
      </c>
      <c r="H13" s="1094">
        <f>A2A!H32</f>
        <v>13847082</v>
      </c>
      <c r="I13" s="1095">
        <f>A2A!I32</f>
        <v>6936388</v>
      </c>
      <c r="J13" s="1091">
        <f>A2A!J32</f>
        <v>9698017</v>
      </c>
      <c r="K13" s="1092">
        <f>A2A!K32</f>
        <v>12483907</v>
      </c>
      <c r="L13" s="373"/>
      <c r="Q13" s="253"/>
      <c r="R13" s="254"/>
    </row>
    <row r="14" spans="1:18" ht="11.25" customHeight="1">
      <c r="A14" s="1315" t="s">
        <v>1957</v>
      </c>
      <c r="B14" s="1231"/>
      <c r="C14" s="1549">
        <f>A2A!C33</f>
        <v>8260788.1499999994</v>
      </c>
      <c r="D14" s="1549">
        <f>A2A!D33</f>
        <v>8186504</v>
      </c>
      <c r="E14" s="1550">
        <f>A2A!E33</f>
        <v>10779243</v>
      </c>
      <c r="F14" s="1551">
        <f>A2A!F33</f>
        <v>27278</v>
      </c>
      <c r="G14" s="1549">
        <f>A2A!G33</f>
        <v>23225</v>
      </c>
      <c r="H14" s="1552">
        <f>A2A!H33</f>
        <v>23225</v>
      </c>
      <c r="I14" s="1553">
        <f>A2A!I33</f>
        <v>298280</v>
      </c>
      <c r="J14" s="1549">
        <f>A2A!J33</f>
        <v>103489</v>
      </c>
      <c r="K14" s="1550">
        <f>A2A!K33</f>
        <v>109181</v>
      </c>
      <c r="L14" s="373"/>
      <c r="Q14" s="253"/>
      <c r="R14" s="254"/>
    </row>
    <row r="15" spans="1:18" ht="11.25" customHeight="1">
      <c r="A15" s="1314" t="s">
        <v>151</v>
      </c>
      <c r="B15" s="1167"/>
      <c r="C15" s="1168">
        <f>SUM(C16:C18)</f>
        <v>74592048.710000008</v>
      </c>
      <c r="D15" s="1168">
        <f t="shared" ref="D15:K15" si="2">SUM(D16:D18)</f>
        <v>70713423</v>
      </c>
      <c r="E15" s="1169">
        <f t="shared" si="2"/>
        <v>25601178</v>
      </c>
      <c r="F15" s="1170">
        <f t="shared" si="2"/>
        <v>56960715</v>
      </c>
      <c r="G15" s="1168">
        <f t="shared" si="2"/>
        <v>62742923</v>
      </c>
      <c r="H15" s="1171">
        <f t="shared" si="2"/>
        <v>62742923</v>
      </c>
      <c r="I15" s="1172">
        <f t="shared" si="2"/>
        <v>123052369</v>
      </c>
      <c r="J15" s="1168">
        <f t="shared" si="2"/>
        <v>96102647.148000002</v>
      </c>
      <c r="K15" s="1169">
        <f t="shared" si="2"/>
        <v>50383291.881140001</v>
      </c>
      <c r="L15" s="373"/>
      <c r="Q15" s="253"/>
      <c r="R15" s="254"/>
    </row>
    <row r="16" spans="1:18" ht="11.25" customHeight="1">
      <c r="A16" s="1315" t="s">
        <v>152</v>
      </c>
      <c r="B16" s="1231"/>
      <c r="C16" s="1091">
        <f>A2A!C38</f>
        <v>25908631.75</v>
      </c>
      <c r="D16" s="1091">
        <f>A2A!D38</f>
        <v>24655989</v>
      </c>
      <c r="E16" s="1092">
        <f>A2A!E38</f>
        <v>10810786</v>
      </c>
      <c r="F16" s="1093">
        <f>A2A!F38</f>
        <v>26501095</v>
      </c>
      <c r="G16" s="1091">
        <f>A2A!G38</f>
        <v>9465383</v>
      </c>
      <c r="H16" s="1094">
        <f>A2A!H38</f>
        <v>9465383</v>
      </c>
      <c r="I16" s="1095">
        <f>A2A!I38</f>
        <v>9860589</v>
      </c>
      <c r="J16" s="1091">
        <f>A2A!J38</f>
        <v>9782996</v>
      </c>
      <c r="K16" s="1092">
        <f>A2A!K38</f>
        <v>23991061</v>
      </c>
      <c r="L16" s="373"/>
      <c r="Q16" s="253"/>
      <c r="R16" s="254"/>
    </row>
    <row r="17" spans="1:18" ht="11.25" customHeight="1">
      <c r="A17" s="1315" t="s">
        <v>153</v>
      </c>
      <c r="B17" s="1231"/>
      <c r="C17" s="1091">
        <f>A2A!C42</f>
        <v>48682422.559999995</v>
      </c>
      <c r="D17" s="1091">
        <f>A2A!D42</f>
        <v>46051980</v>
      </c>
      <c r="E17" s="1092">
        <f>A2A!E42</f>
        <v>14790392</v>
      </c>
      <c r="F17" s="1093">
        <f>A2A!F42</f>
        <v>30451043</v>
      </c>
      <c r="G17" s="1091">
        <f>A2A!G42</f>
        <v>53277540</v>
      </c>
      <c r="H17" s="1094">
        <f>A2A!H42</f>
        <v>53277540</v>
      </c>
      <c r="I17" s="1095">
        <f>A2A!I42</f>
        <v>113191780</v>
      </c>
      <c r="J17" s="1091">
        <f>A2A!J42</f>
        <v>86319651.148000002</v>
      </c>
      <c r="K17" s="1092">
        <f>A2A!K42</f>
        <v>26392230.881140001</v>
      </c>
      <c r="L17" s="373"/>
      <c r="Q17" s="253"/>
      <c r="R17" s="254"/>
    </row>
    <row r="18" spans="1:18" ht="11.25" customHeight="1">
      <c r="A18" s="1315" t="s">
        <v>154</v>
      </c>
      <c r="B18" s="1231"/>
      <c r="C18" s="1091">
        <f>A2A!C48</f>
        <v>994.4</v>
      </c>
      <c r="D18" s="1091">
        <f>A2A!D48</f>
        <v>5454</v>
      </c>
      <c r="E18" s="1092">
        <f>A2A!E48</f>
        <v>0</v>
      </c>
      <c r="F18" s="1093">
        <f>A2A!F48</f>
        <v>8577</v>
      </c>
      <c r="G18" s="1091">
        <f>A2A!G48</f>
        <v>0</v>
      </c>
      <c r="H18" s="1094">
        <f>A2A!H48</f>
        <v>0</v>
      </c>
      <c r="I18" s="1095">
        <f>A2A!I48</f>
        <v>0</v>
      </c>
      <c r="J18" s="1091">
        <f>A2A!J48</f>
        <v>0</v>
      </c>
      <c r="K18" s="1092">
        <f>A2A!K48</f>
        <v>0</v>
      </c>
      <c r="L18" s="373"/>
      <c r="Q18" s="253"/>
      <c r="R18" s="254"/>
    </row>
    <row r="19" spans="1:18" ht="11.25" customHeight="1">
      <c r="A19" s="1314" t="s">
        <v>155</v>
      </c>
      <c r="B19" s="1167"/>
      <c r="C19" s="1168">
        <f>SUM(C20:C23)</f>
        <v>981515323.88000011</v>
      </c>
      <c r="D19" s="1168">
        <f t="shared" ref="D19:K19" si="3">SUM(D20:D23)</f>
        <v>1118015229</v>
      </c>
      <c r="E19" s="1169">
        <f t="shared" si="3"/>
        <v>1462671512</v>
      </c>
      <c r="F19" s="1170">
        <f t="shared" si="3"/>
        <v>1751464541</v>
      </c>
      <c r="G19" s="1168">
        <f t="shared" si="3"/>
        <v>1985847025</v>
      </c>
      <c r="H19" s="1171">
        <f t="shared" si="3"/>
        <v>1985847025</v>
      </c>
      <c r="I19" s="1172">
        <f t="shared" si="3"/>
        <v>2175745490</v>
      </c>
      <c r="J19" s="1168">
        <f>SUM(J20:J23)</f>
        <v>2362057805.618</v>
      </c>
      <c r="K19" s="1169">
        <f t="shared" si="3"/>
        <v>2496346712.75699</v>
      </c>
      <c r="L19" s="373"/>
      <c r="Q19" s="253"/>
      <c r="R19" s="254"/>
    </row>
    <row r="20" spans="1:18" ht="11.25" customHeight="1">
      <c r="A20" s="1315" t="s">
        <v>690</v>
      </c>
      <c r="B20" s="1231"/>
      <c r="C20" s="1091">
        <f>A2A!C53</f>
        <v>555919175.08000004</v>
      </c>
      <c r="D20" s="1091">
        <f>A2A!D53</f>
        <v>668731732</v>
      </c>
      <c r="E20" s="1092">
        <f>A2A!E53</f>
        <v>945257013</v>
      </c>
      <c r="F20" s="1093">
        <f>A2A!F53</f>
        <v>1111794108</v>
      </c>
      <c r="G20" s="1091">
        <f>A2A!G53</f>
        <v>1189593256</v>
      </c>
      <c r="H20" s="1094">
        <f>A2A!H53</f>
        <v>1189593256</v>
      </c>
      <c r="I20" s="1095">
        <f>A2A!I53</f>
        <v>1336975753</v>
      </c>
      <c r="J20" s="1091">
        <f>A2A!J53</f>
        <v>1401386845</v>
      </c>
      <c r="K20" s="1092">
        <f>A2A!K53</f>
        <v>1482838547</v>
      </c>
      <c r="L20" s="373"/>
      <c r="Q20" s="253"/>
      <c r="R20" s="254"/>
    </row>
    <row r="21" spans="1:18" ht="11.25" customHeight="1">
      <c r="A21" s="1315" t="s">
        <v>1037</v>
      </c>
      <c r="B21" s="1231"/>
      <c r="C21" s="1091">
        <f>A2A!C56</f>
        <v>256074496.63</v>
      </c>
      <c r="D21" s="1091">
        <f>A2A!D56</f>
        <v>294395870</v>
      </c>
      <c r="E21" s="1092">
        <f>A2A!E56</f>
        <v>307000520</v>
      </c>
      <c r="F21" s="1093">
        <f>A2A!F56</f>
        <v>306344098</v>
      </c>
      <c r="G21" s="1091">
        <f>A2A!G56</f>
        <v>430303484</v>
      </c>
      <c r="H21" s="1094">
        <f>A2A!H56</f>
        <v>430303484</v>
      </c>
      <c r="I21" s="1095">
        <f>A2A!I56</f>
        <v>536525684</v>
      </c>
      <c r="J21" s="1091">
        <f>A2A!J56</f>
        <v>642407972</v>
      </c>
      <c r="K21" s="1092">
        <f>A2A!K56</f>
        <v>677740714</v>
      </c>
      <c r="L21" s="373"/>
      <c r="Q21" s="253"/>
      <c r="R21" s="254"/>
    </row>
    <row r="22" spans="1:18" ht="11.25" customHeight="1">
      <c r="A22" s="1315" t="s">
        <v>1225</v>
      </c>
      <c r="B22" s="1231"/>
      <c r="C22" s="1549">
        <f>A2A!C59</f>
        <v>83209.59</v>
      </c>
      <c r="D22" s="1549">
        <f>A2A!D59</f>
        <v>1516</v>
      </c>
      <c r="E22" s="1550">
        <f>A2A!E59</f>
        <v>144854613</v>
      </c>
      <c r="F22" s="1551">
        <f>A2A!F59</f>
        <v>1599</v>
      </c>
      <c r="G22" s="1549">
        <f>A2A!G59</f>
        <v>249292321</v>
      </c>
      <c r="H22" s="1552">
        <f>A2A!H59</f>
        <v>249292321</v>
      </c>
      <c r="I22" s="1553">
        <f>A2A!I59</f>
        <v>177408286</v>
      </c>
      <c r="J22" s="1549">
        <f>A2A!J59</f>
        <v>186810925.618</v>
      </c>
      <c r="K22" s="1550">
        <f>A2A!K59</f>
        <v>197085525.75698999</v>
      </c>
      <c r="L22" s="373"/>
      <c r="Q22" s="253"/>
      <c r="R22" s="254"/>
    </row>
    <row r="23" spans="1:18" ht="11.25" customHeight="1">
      <c r="A23" s="1315" t="s">
        <v>1226</v>
      </c>
      <c r="B23" s="1231"/>
      <c r="C23" s="1091">
        <f>A2A!C63</f>
        <v>169438442.58000001</v>
      </c>
      <c r="D23" s="1091">
        <f>A2A!D63</f>
        <v>154886111</v>
      </c>
      <c r="E23" s="1092">
        <f>A2A!E63</f>
        <v>65559366</v>
      </c>
      <c r="F23" s="1093">
        <f>A2A!F63</f>
        <v>333324736</v>
      </c>
      <c r="G23" s="1091">
        <f>A2A!G63</f>
        <v>116657964</v>
      </c>
      <c r="H23" s="1094">
        <f>A2A!H63</f>
        <v>116657964</v>
      </c>
      <c r="I23" s="1095">
        <f>A2A!I63</f>
        <v>124835767</v>
      </c>
      <c r="J23" s="1091">
        <f>A2A!J63</f>
        <v>131452063</v>
      </c>
      <c r="K23" s="1092">
        <f>A2A!K63</f>
        <v>138681926</v>
      </c>
      <c r="L23" s="373"/>
      <c r="Q23" s="253"/>
      <c r="R23" s="254"/>
    </row>
    <row r="24" spans="1:18" ht="11.25" customHeight="1">
      <c r="A24" s="1314" t="s">
        <v>301</v>
      </c>
      <c r="B24" s="1167">
        <v>4</v>
      </c>
      <c r="C24" s="1168">
        <f>A2A!C65</f>
        <v>27617259.280000001</v>
      </c>
      <c r="D24" s="1168">
        <f>A2A!D65</f>
        <v>18039413</v>
      </c>
      <c r="E24" s="1169">
        <f>A2A!E65</f>
        <v>29661732</v>
      </c>
      <c r="F24" s="1170">
        <f>A2A!F65</f>
        <v>19344427</v>
      </c>
      <c r="G24" s="1168">
        <f>A2A!G65</f>
        <v>30945379</v>
      </c>
      <c r="H24" s="1171">
        <f>A2A!H65</f>
        <v>30945379</v>
      </c>
      <c r="I24" s="1172">
        <f>A2A!I65</f>
        <v>32669282</v>
      </c>
      <c r="J24" s="1168">
        <f>A2A!J65</f>
        <v>33426537.456</v>
      </c>
      <c r="K24" s="1169">
        <f>A2A!K65</f>
        <v>35263941.591080002</v>
      </c>
      <c r="L24" s="373"/>
      <c r="Q24" s="246"/>
      <c r="R24" s="254"/>
    </row>
    <row r="25" spans="1:18" ht="11.25" customHeight="1">
      <c r="A25" s="1409" t="str">
        <f>"Total "&amp;A4</f>
        <v>Total Revenue - Standard</v>
      </c>
      <c r="B25" s="1410">
        <v>2</v>
      </c>
      <c r="C25" s="826">
        <f>C5+C9+C15+C19+C24</f>
        <v>1623480008.99</v>
      </c>
      <c r="D25" s="826">
        <f>D5+D9+D15+D19+D24</f>
        <v>1831298359</v>
      </c>
      <c r="E25" s="827">
        <f t="shared" ref="E25:K25" si="4">E5+E9+E15+E19+E24</f>
        <v>2506169442</v>
      </c>
      <c r="F25" s="828">
        <f t="shared" si="4"/>
        <v>2388409200</v>
      </c>
      <c r="G25" s="826">
        <f t="shared" si="4"/>
        <v>3035568222</v>
      </c>
      <c r="H25" s="830">
        <f t="shared" si="4"/>
        <v>3035568222</v>
      </c>
      <c r="I25" s="1136">
        <f>I5+I9+I15+I19+I24</f>
        <v>3339196373</v>
      </c>
      <c r="J25" s="826">
        <f t="shared" si="4"/>
        <v>3551208161.9319997</v>
      </c>
      <c r="K25" s="827">
        <f t="shared" si="4"/>
        <v>3711691032.12326</v>
      </c>
      <c r="L25" s="373"/>
      <c r="Q25" s="272"/>
      <c r="R25" s="273"/>
    </row>
    <row r="26" spans="1:18" ht="5.0999999999999996" customHeight="1">
      <c r="A26" s="1190"/>
      <c r="B26" s="1231"/>
      <c r="C26" s="208"/>
      <c r="D26" s="208"/>
      <c r="E26" s="265"/>
      <c r="F26" s="252"/>
      <c r="G26" s="208"/>
      <c r="H26" s="211"/>
      <c r="I26" s="212"/>
      <c r="J26" s="208"/>
      <c r="K26" s="265"/>
      <c r="L26" s="373"/>
      <c r="Q26" s="246"/>
    </row>
    <row r="27" spans="1:18" ht="11.25" customHeight="1">
      <c r="A27" s="1166" t="s">
        <v>454</v>
      </c>
      <c r="B27" s="1233"/>
      <c r="C27" s="208"/>
      <c r="D27" s="208"/>
      <c r="E27" s="265"/>
      <c r="F27" s="252"/>
      <c r="G27" s="208"/>
      <c r="H27" s="211"/>
      <c r="I27" s="212"/>
      <c r="J27" s="208"/>
      <c r="K27" s="265"/>
      <c r="L27" s="373"/>
      <c r="Q27" s="246"/>
    </row>
    <row r="28" spans="1:18" ht="11.25" customHeight="1">
      <c r="A28" s="1314" t="str">
        <f>A5</f>
        <v>Governance and administration</v>
      </c>
      <c r="B28" s="1231"/>
      <c r="C28" s="1168">
        <f>SUM(C29:C31)</f>
        <v>127736388.77999979</v>
      </c>
      <c r="D28" s="1168">
        <f t="shared" ref="D28:K28" si="5">SUM(D29:D31)</f>
        <v>139906049</v>
      </c>
      <c r="E28" s="1454">
        <f t="shared" si="5"/>
        <v>514290194</v>
      </c>
      <c r="F28" s="1172">
        <f t="shared" si="5"/>
        <v>373700139</v>
      </c>
      <c r="G28" s="1168">
        <f t="shared" si="5"/>
        <v>717829017</v>
      </c>
      <c r="H28" s="1455">
        <f t="shared" si="5"/>
        <v>717829017</v>
      </c>
      <c r="I28" s="1456">
        <f t="shared" si="5"/>
        <v>862869648</v>
      </c>
      <c r="J28" s="1168">
        <f t="shared" si="5"/>
        <v>856789856</v>
      </c>
      <c r="K28" s="1455">
        <f t="shared" si="5"/>
        <v>901150785</v>
      </c>
      <c r="L28" s="373"/>
    </row>
    <row r="29" spans="1:18" ht="11.25" customHeight="1">
      <c r="A29" s="1315" t="str">
        <f t="shared" ref="A29:A47" si="6">A6</f>
        <v>Executive and council</v>
      </c>
      <c r="B29" s="1231"/>
      <c r="C29" s="1091">
        <f>A2A!C75</f>
        <v>1785041.7599999956</v>
      </c>
      <c r="D29" s="1091">
        <f>A2A!D75</f>
        <v>4139993</v>
      </c>
      <c r="E29" s="1092">
        <f>A2A!E75</f>
        <v>0</v>
      </c>
      <c r="F29" s="1093">
        <f>A2A!F75</f>
        <v>43864219</v>
      </c>
      <c r="G29" s="1091">
        <f>A2A!G75</f>
        <v>2860482</v>
      </c>
      <c r="H29" s="1094">
        <f>A2A!H75</f>
        <v>2860482</v>
      </c>
      <c r="I29" s="1095">
        <f>A2A!I75</f>
        <v>69786620</v>
      </c>
      <c r="J29" s="1091">
        <f>A2A!J75</f>
        <v>73537220</v>
      </c>
      <c r="K29" s="1092">
        <f>A2A!K75</f>
        <v>77587950</v>
      </c>
      <c r="L29" s="373"/>
    </row>
    <row r="30" spans="1:18" ht="11.25" customHeight="1">
      <c r="A30" s="1315" t="str">
        <f t="shared" si="6"/>
        <v>Budget and treasury office</v>
      </c>
      <c r="B30" s="1231"/>
      <c r="C30" s="1549">
        <f>A2A!C78</f>
        <v>124352851.89999989</v>
      </c>
      <c r="D30" s="1549">
        <f>A2A!D78</f>
        <v>134346017</v>
      </c>
      <c r="E30" s="1550">
        <f>A2A!E78</f>
        <v>448665449</v>
      </c>
      <c r="F30" s="1551">
        <f>A2A!F78</f>
        <v>249331382</v>
      </c>
      <c r="G30" s="1549">
        <f>A2A!G78</f>
        <v>655028725</v>
      </c>
      <c r="H30" s="1552">
        <f>A2A!H78</f>
        <v>655028725</v>
      </c>
      <c r="I30" s="1553">
        <f>A2A!I78</f>
        <v>611127456</v>
      </c>
      <c r="J30" s="1549">
        <f>A2A!J78</f>
        <v>570882765</v>
      </c>
      <c r="K30" s="1550">
        <f>A2A!K78</f>
        <v>599737931</v>
      </c>
      <c r="L30" s="373"/>
    </row>
    <row r="31" spans="1:18" ht="11.25" customHeight="1">
      <c r="A31" s="1315" t="str">
        <f t="shared" si="6"/>
        <v>Corporate services</v>
      </c>
      <c r="B31" s="1231"/>
      <c r="C31" s="1091">
        <f>A2A!C79</f>
        <v>1598495.1199999221</v>
      </c>
      <c r="D31" s="1091">
        <f>A2A!D79</f>
        <v>1420039</v>
      </c>
      <c r="E31" s="1092">
        <f>A2A!E79</f>
        <v>65624745</v>
      </c>
      <c r="F31" s="1093">
        <f>A2A!F79</f>
        <v>80504538</v>
      </c>
      <c r="G31" s="1091">
        <f>A2A!G79</f>
        <v>59939810</v>
      </c>
      <c r="H31" s="1094">
        <f>A2A!H79</f>
        <v>59939810</v>
      </c>
      <c r="I31" s="1095">
        <f>A2A!I79</f>
        <v>181955572</v>
      </c>
      <c r="J31" s="1091">
        <f>A2A!J79</f>
        <v>212369871</v>
      </c>
      <c r="K31" s="1092">
        <f>A2A!K79</f>
        <v>223824904</v>
      </c>
      <c r="L31" s="373"/>
    </row>
    <row r="32" spans="1:18" ht="11.25" customHeight="1">
      <c r="A32" s="1314" t="str">
        <f t="shared" si="6"/>
        <v>Community and public safety</v>
      </c>
      <c r="B32" s="1231"/>
      <c r="C32" s="1168">
        <f>SUM(C33:C37)</f>
        <v>253471326.40000004</v>
      </c>
      <c r="D32" s="1168">
        <f t="shared" ref="D32:K32" si="7">SUM(D33:D37)</f>
        <v>341783066</v>
      </c>
      <c r="E32" s="1169">
        <f t="shared" si="7"/>
        <v>419190375</v>
      </c>
      <c r="F32" s="1170">
        <f t="shared" si="7"/>
        <v>236328882</v>
      </c>
      <c r="G32" s="1168">
        <f t="shared" si="7"/>
        <v>352582860</v>
      </c>
      <c r="H32" s="1171">
        <f t="shared" si="7"/>
        <v>352582860</v>
      </c>
      <c r="I32" s="1172">
        <f t="shared" si="7"/>
        <v>394983571</v>
      </c>
      <c r="J32" s="1168">
        <f t="shared" si="7"/>
        <v>442857933</v>
      </c>
      <c r="K32" s="1169">
        <f t="shared" si="7"/>
        <v>482845802.10399997</v>
      </c>
      <c r="L32" s="373"/>
    </row>
    <row r="33" spans="1:17" ht="11.25" customHeight="1">
      <c r="A33" s="1315" t="str">
        <f t="shared" si="6"/>
        <v>Community and social services</v>
      </c>
      <c r="B33" s="1231"/>
      <c r="C33" s="1091">
        <f>A2A!C85</f>
        <v>35751412.830000006</v>
      </c>
      <c r="D33" s="1091">
        <f>A2A!D85</f>
        <v>57266811</v>
      </c>
      <c r="E33" s="1092">
        <f>A2A!E85</f>
        <v>40432287</v>
      </c>
      <c r="F33" s="1093">
        <f>A2A!F85</f>
        <v>55493635</v>
      </c>
      <c r="G33" s="1091">
        <f>A2A!G85</f>
        <v>33615745</v>
      </c>
      <c r="H33" s="1094">
        <f>A2A!H85</f>
        <v>33615745</v>
      </c>
      <c r="I33" s="1095">
        <f>A2A!I85</f>
        <v>44542678</v>
      </c>
      <c r="J33" s="1091">
        <f>A2A!J85</f>
        <v>56799263</v>
      </c>
      <c r="K33" s="1092">
        <f>A2A!K85</f>
        <v>70173541.104000002</v>
      </c>
      <c r="L33" s="373"/>
    </row>
    <row r="34" spans="1:17" ht="11.25" customHeight="1">
      <c r="A34" s="1315" t="str">
        <f t="shared" si="6"/>
        <v>Sport and recreation</v>
      </c>
      <c r="B34" s="1231"/>
      <c r="C34" s="1091">
        <f>A2A!C94</f>
        <v>48688139.559999995</v>
      </c>
      <c r="D34" s="1091">
        <f>A2A!D94</f>
        <v>62117444</v>
      </c>
      <c r="E34" s="1092">
        <f>A2A!E94</f>
        <v>85786035</v>
      </c>
      <c r="F34" s="1093">
        <f>A2A!F94</f>
        <v>43954608</v>
      </c>
      <c r="G34" s="1091">
        <f>A2A!G94</f>
        <v>69732472</v>
      </c>
      <c r="H34" s="1094">
        <f>A2A!H94</f>
        <v>69732472</v>
      </c>
      <c r="I34" s="1095">
        <f>A2A!I94</f>
        <v>91985137</v>
      </c>
      <c r="J34" s="1091">
        <f>A2A!J94</f>
        <v>102863227</v>
      </c>
      <c r="K34" s="1092">
        <f>A2A!K94</f>
        <v>108981156</v>
      </c>
      <c r="L34" s="373"/>
    </row>
    <row r="35" spans="1:17" ht="11.25" customHeight="1">
      <c r="A35" s="1315" t="str">
        <f t="shared" si="6"/>
        <v>Public safety</v>
      </c>
      <c r="B35" s="1231"/>
      <c r="C35" s="1091">
        <f>A2A!C95</f>
        <v>92049133.88000004</v>
      </c>
      <c r="D35" s="1091">
        <f>A2A!D95</f>
        <v>110892681</v>
      </c>
      <c r="E35" s="1092">
        <f>A2A!E95</f>
        <v>169145994</v>
      </c>
      <c r="F35" s="1093">
        <f>A2A!F95</f>
        <v>85398704</v>
      </c>
      <c r="G35" s="1091">
        <f>A2A!G95</f>
        <v>165532592</v>
      </c>
      <c r="H35" s="1094">
        <f>A2A!H95</f>
        <v>165532592</v>
      </c>
      <c r="I35" s="1095">
        <f>A2A!I95</f>
        <v>178175529</v>
      </c>
      <c r="J35" s="1091">
        <f>A2A!J95</f>
        <v>205737962</v>
      </c>
      <c r="K35" s="1092">
        <f>A2A!K95</f>
        <v>218747462</v>
      </c>
      <c r="L35" s="373"/>
    </row>
    <row r="36" spans="1:17" ht="11.25" customHeight="1">
      <c r="A36" s="1315" t="str">
        <f t="shared" si="6"/>
        <v>Housing</v>
      </c>
      <c r="B36" s="1231"/>
      <c r="C36" s="1091">
        <f>A2A!C101</f>
        <v>33734001.629999995</v>
      </c>
      <c r="D36" s="1091">
        <f>A2A!D101</f>
        <v>60655934</v>
      </c>
      <c r="E36" s="1092">
        <f>A2A!E101</f>
        <v>69528040</v>
      </c>
      <c r="F36" s="1093">
        <f>A2A!F101</f>
        <v>14453833</v>
      </c>
      <c r="G36" s="1091">
        <f>A2A!G101</f>
        <v>32947806</v>
      </c>
      <c r="H36" s="1094">
        <f>A2A!H101</f>
        <v>32947806</v>
      </c>
      <c r="I36" s="1095">
        <f>A2A!I101</f>
        <v>31954190</v>
      </c>
      <c r="J36" s="1091">
        <f>A2A!J101</f>
        <v>30165344</v>
      </c>
      <c r="K36" s="1092">
        <f>A2A!K101</f>
        <v>34521568</v>
      </c>
      <c r="L36" s="373"/>
    </row>
    <row r="37" spans="1:17" ht="11.25" customHeight="1">
      <c r="A37" s="1315" t="str">
        <f t="shared" si="6"/>
        <v>Health</v>
      </c>
      <c r="B37" s="1231"/>
      <c r="C37" s="1549">
        <f>A2A!C102</f>
        <v>43248638.499999993</v>
      </c>
      <c r="D37" s="1549">
        <f>A2A!D102</f>
        <v>50850196</v>
      </c>
      <c r="E37" s="1550">
        <f>A2A!E102</f>
        <v>54298019</v>
      </c>
      <c r="F37" s="1551">
        <f>A2A!F102</f>
        <v>37028102</v>
      </c>
      <c r="G37" s="1549">
        <f>A2A!G102</f>
        <v>50754245</v>
      </c>
      <c r="H37" s="1552">
        <f>A2A!H102</f>
        <v>50754245</v>
      </c>
      <c r="I37" s="1553">
        <f>A2A!I102</f>
        <v>48326037</v>
      </c>
      <c r="J37" s="1549">
        <f>A2A!J102</f>
        <v>47292137</v>
      </c>
      <c r="K37" s="1550">
        <f>A2A!K102</f>
        <v>50422075</v>
      </c>
      <c r="L37" s="373"/>
    </row>
    <row r="38" spans="1:17" ht="11.25" customHeight="1">
      <c r="A38" s="1314" t="str">
        <f t="shared" si="6"/>
        <v>Economic and environmental services</v>
      </c>
      <c r="B38" s="1167"/>
      <c r="C38" s="1168">
        <f>SUM(C39:C41)</f>
        <v>236395001.08000001</v>
      </c>
      <c r="D38" s="1168">
        <f t="shared" ref="D38:K38" si="8">SUM(D39:D41)</f>
        <v>274893840</v>
      </c>
      <c r="E38" s="1169">
        <f t="shared" si="8"/>
        <v>217934789</v>
      </c>
      <c r="F38" s="1170">
        <f t="shared" si="8"/>
        <v>336197221</v>
      </c>
      <c r="G38" s="1168">
        <f t="shared" si="8"/>
        <v>247791061</v>
      </c>
      <c r="H38" s="1171">
        <f t="shared" si="8"/>
        <v>247791061</v>
      </c>
      <c r="I38" s="1172">
        <f t="shared" si="8"/>
        <v>279703566</v>
      </c>
      <c r="J38" s="1168">
        <f t="shared" si="8"/>
        <v>246973990.51499999</v>
      </c>
      <c r="K38" s="1169">
        <f t="shared" si="8"/>
        <v>211415689.773325</v>
      </c>
      <c r="L38" s="373"/>
    </row>
    <row r="39" spans="1:17" ht="11.25" customHeight="1">
      <c r="A39" s="1315" t="str">
        <f t="shared" si="6"/>
        <v>Planning and development</v>
      </c>
      <c r="B39" s="1231"/>
      <c r="C39" s="1091">
        <f>A2A!C107</f>
        <v>56871519.590000018</v>
      </c>
      <c r="D39" s="1091">
        <f>A2A!D107</f>
        <v>54293969</v>
      </c>
      <c r="E39" s="1092">
        <f>A2A!E107</f>
        <v>45814692</v>
      </c>
      <c r="F39" s="1093">
        <f>A2A!F107</f>
        <v>77555302</v>
      </c>
      <c r="G39" s="1091">
        <f>A2A!G107</f>
        <v>60809806</v>
      </c>
      <c r="H39" s="1094">
        <f>A2A!H107</f>
        <v>60809806</v>
      </c>
      <c r="I39" s="1095">
        <f>A2A!I107</f>
        <v>71569040</v>
      </c>
      <c r="J39" s="1091">
        <f>A2A!J107</f>
        <v>75274713</v>
      </c>
      <c r="K39" s="1092">
        <f>A2A!K107</f>
        <v>93848079</v>
      </c>
      <c r="L39" s="373"/>
    </row>
    <row r="40" spans="1:17" ht="11.25" customHeight="1">
      <c r="A40" s="1315" t="str">
        <f t="shared" si="6"/>
        <v>Road transport</v>
      </c>
      <c r="B40" s="1231"/>
      <c r="C40" s="1091">
        <f>A2A!C111</f>
        <v>147059778.52000001</v>
      </c>
      <c r="D40" s="1091">
        <f>A2A!D111</f>
        <v>174104867</v>
      </c>
      <c r="E40" s="1092">
        <f>A2A!E111</f>
        <v>172120097</v>
      </c>
      <c r="F40" s="1093">
        <f>A2A!F111</f>
        <v>211243853</v>
      </c>
      <c r="G40" s="1091">
        <f>A2A!G111</f>
        <v>186981255</v>
      </c>
      <c r="H40" s="1094">
        <f>A2A!H111</f>
        <v>186981255</v>
      </c>
      <c r="I40" s="1095">
        <f>A2A!I111</f>
        <v>208134526</v>
      </c>
      <c r="J40" s="1091">
        <f>A2A!J111</f>
        <v>171699277.51499999</v>
      </c>
      <c r="K40" s="1092">
        <f>A2A!K111</f>
        <v>117567610.773325</v>
      </c>
      <c r="L40" s="373"/>
    </row>
    <row r="41" spans="1:17" ht="11.25" customHeight="1">
      <c r="A41" s="1315" t="str">
        <f t="shared" si="6"/>
        <v>Environmental protection</v>
      </c>
      <c r="B41" s="1231"/>
      <c r="C41" s="1091">
        <f>A2A!C117</f>
        <v>32463702.969999999</v>
      </c>
      <c r="D41" s="1091">
        <f>A2A!D117</f>
        <v>46495004</v>
      </c>
      <c r="E41" s="1092">
        <f>A2A!E117</f>
        <v>0</v>
      </c>
      <c r="F41" s="1093">
        <f>A2A!F117</f>
        <v>47398066</v>
      </c>
      <c r="G41" s="1091">
        <f>A2A!G117</f>
        <v>0</v>
      </c>
      <c r="H41" s="1094">
        <f>A2A!H117</f>
        <v>0</v>
      </c>
      <c r="I41" s="1095">
        <f>A2A!I117</f>
        <v>0</v>
      </c>
      <c r="J41" s="1091">
        <f>A2A!J117</f>
        <v>0</v>
      </c>
      <c r="K41" s="1092">
        <f>A2A!K117</f>
        <v>0</v>
      </c>
      <c r="L41" s="373"/>
    </row>
    <row r="42" spans="1:17" ht="11.25" customHeight="1">
      <c r="A42" s="1314" t="str">
        <f t="shared" si="6"/>
        <v>Trading services</v>
      </c>
      <c r="B42" s="1167"/>
      <c r="C42" s="1168">
        <f>SUM(C43:C46)</f>
        <v>860321955.48000026</v>
      </c>
      <c r="D42" s="1168">
        <f t="shared" ref="D42:J42" si="9">SUM(D43:D46)</f>
        <v>1046357129</v>
      </c>
      <c r="E42" s="1169">
        <f t="shared" si="9"/>
        <v>1547820947</v>
      </c>
      <c r="F42" s="1170">
        <f>SUM(F43:F46)</f>
        <v>1420573366</v>
      </c>
      <c r="G42" s="1168">
        <f t="shared" si="9"/>
        <v>1680226649</v>
      </c>
      <c r="H42" s="1171">
        <f t="shared" si="9"/>
        <v>1680226649</v>
      </c>
      <c r="I42" s="1172">
        <f t="shared" si="9"/>
        <v>1753638598</v>
      </c>
      <c r="J42" s="1168">
        <f t="shared" si="9"/>
        <v>1954036624</v>
      </c>
      <c r="K42" s="1169">
        <f>SUM(K43:K46)</f>
        <v>2062987521</v>
      </c>
      <c r="L42" s="373"/>
    </row>
    <row r="43" spans="1:17" ht="11.25" customHeight="1">
      <c r="A43" s="1315" t="str">
        <f t="shared" si="6"/>
        <v>Electricity</v>
      </c>
      <c r="B43" s="1231"/>
      <c r="C43" s="1091">
        <f>A2A!C122</f>
        <v>456420481.36999995</v>
      </c>
      <c r="D43" s="1091">
        <f>A2A!D122</f>
        <v>579424287</v>
      </c>
      <c r="E43" s="1092">
        <f>A2A!E122</f>
        <v>991965799</v>
      </c>
      <c r="F43" s="1093">
        <f>A2A!F122</f>
        <v>911513862</v>
      </c>
      <c r="G43" s="1091">
        <f>A2A!G122</f>
        <v>962525757</v>
      </c>
      <c r="H43" s="1094">
        <f>A2A!H122</f>
        <v>962525757</v>
      </c>
      <c r="I43" s="1095">
        <f>A2A!I122</f>
        <v>1074907040</v>
      </c>
      <c r="J43" s="1091">
        <f>A2A!J122</f>
        <v>1118263860</v>
      </c>
      <c r="K43" s="1092">
        <f>A2A!K122</f>
        <v>1180619312</v>
      </c>
      <c r="L43" s="373"/>
    </row>
    <row r="44" spans="1:17" ht="11.25" customHeight="1">
      <c r="A44" s="1315" t="str">
        <f t="shared" si="6"/>
        <v>Water</v>
      </c>
      <c r="B44" s="1231"/>
      <c r="C44" s="1091">
        <f>A2A!C125</f>
        <v>248234595.82000005</v>
      </c>
      <c r="D44" s="1091">
        <f>A2A!D125</f>
        <v>271716360</v>
      </c>
      <c r="E44" s="1092">
        <f>A2A!E125</f>
        <v>336008590</v>
      </c>
      <c r="F44" s="1093">
        <f>A2A!F125</f>
        <v>278619594</v>
      </c>
      <c r="G44" s="1091">
        <f>A2A!G125</f>
        <v>427827066</v>
      </c>
      <c r="H44" s="1094">
        <f>A2A!H125</f>
        <v>427827066</v>
      </c>
      <c r="I44" s="1095">
        <f>A2A!I125</f>
        <v>526196816</v>
      </c>
      <c r="J44" s="1091">
        <f>A2A!J125</f>
        <v>649377723</v>
      </c>
      <c r="K44" s="1092">
        <f>A2A!K125</f>
        <v>684654593</v>
      </c>
      <c r="L44" s="373"/>
    </row>
    <row r="45" spans="1:17" ht="11.25" customHeight="1">
      <c r="A45" s="1315" t="str">
        <f t="shared" si="6"/>
        <v>Waste water management</v>
      </c>
      <c r="B45" s="1231"/>
      <c r="C45" s="1549">
        <f>A2A!C128</f>
        <v>5844971.0999999912</v>
      </c>
      <c r="D45" s="1549">
        <f>A2A!D128</f>
        <v>3795709</v>
      </c>
      <c r="E45" s="1550">
        <f>A2A!E128</f>
        <v>118085607</v>
      </c>
      <c r="F45" s="1551">
        <f>A2A!F128</f>
        <v>17514995</v>
      </c>
      <c r="G45" s="1549">
        <f>A2A!G128</f>
        <v>196579391</v>
      </c>
      <c r="H45" s="1552">
        <f>A2A!H128</f>
        <v>196579391</v>
      </c>
      <c r="I45" s="1553">
        <f>A2A!I128</f>
        <v>79852042</v>
      </c>
      <c r="J45" s="1549">
        <f>A2A!J128</f>
        <v>92913125</v>
      </c>
      <c r="K45" s="1550">
        <f>A2A!K128</f>
        <v>98382114</v>
      </c>
      <c r="L45" s="373"/>
    </row>
    <row r="46" spans="1:17" ht="11.25" customHeight="1">
      <c r="A46" s="1315" t="str">
        <f t="shared" si="6"/>
        <v>Waste management</v>
      </c>
      <c r="B46" s="1231"/>
      <c r="C46" s="1091">
        <f>A2A!C132</f>
        <v>149821907.19000012</v>
      </c>
      <c r="D46" s="1091">
        <f>A2A!D132</f>
        <v>191420773</v>
      </c>
      <c r="E46" s="1092">
        <f>A2A!E132</f>
        <v>101760951</v>
      </c>
      <c r="F46" s="1093">
        <f>A2A!F132</f>
        <v>212924915</v>
      </c>
      <c r="G46" s="1091">
        <f>A2A!G132</f>
        <v>93294435</v>
      </c>
      <c r="H46" s="1094">
        <f>A2A!H132</f>
        <v>93294435</v>
      </c>
      <c r="I46" s="1095">
        <f>A2A!I132</f>
        <v>72682700</v>
      </c>
      <c r="J46" s="1091">
        <f>A2A!J132</f>
        <v>93481916</v>
      </c>
      <c r="K46" s="1092">
        <f>A2A!K132</f>
        <v>99331502</v>
      </c>
      <c r="L46" s="373"/>
    </row>
    <row r="47" spans="1:17" ht="11.25" customHeight="1">
      <c r="A47" s="1314" t="str">
        <f t="shared" si="6"/>
        <v>Other</v>
      </c>
      <c r="B47" s="1167">
        <v>4</v>
      </c>
      <c r="C47" s="1168">
        <f>A2A!C134</f>
        <v>28872525.279999994</v>
      </c>
      <c r="D47" s="1168">
        <f>A2A!D134</f>
        <v>24330403</v>
      </c>
      <c r="E47" s="1169">
        <f>A2A!E134</f>
        <v>39914381</v>
      </c>
      <c r="F47" s="1170">
        <f>A2A!F134</f>
        <v>21496693</v>
      </c>
      <c r="G47" s="1168">
        <f>A2A!G134</f>
        <v>37025736</v>
      </c>
      <c r="H47" s="1171">
        <f>A2A!H134</f>
        <v>37025736</v>
      </c>
      <c r="I47" s="1172">
        <f>A2A!I134</f>
        <v>47910992</v>
      </c>
      <c r="J47" s="1168">
        <f>A2A!J134</f>
        <v>50449758</v>
      </c>
      <c r="K47" s="1169">
        <f>A2A!K134</f>
        <v>53181232</v>
      </c>
      <c r="L47" s="373"/>
    </row>
    <row r="48" spans="1:17" ht="11.25" customHeight="1">
      <c r="A48" s="1409" t="str">
        <f>"Total "&amp;A27</f>
        <v>Total Expenditure - Standard</v>
      </c>
      <c r="B48" s="1410">
        <v>3</v>
      </c>
      <c r="C48" s="826">
        <f>C28+C32+C38+C42+C47</f>
        <v>1506797197.0200002</v>
      </c>
      <c r="D48" s="826">
        <f>D28+D32+D38+D42+D47</f>
        <v>1827270487</v>
      </c>
      <c r="E48" s="827">
        <f>E28+E32+E38+E42+E47</f>
        <v>2739150686</v>
      </c>
      <c r="F48" s="828">
        <f t="shared" ref="F48:K48" si="10">F28+F32+F38+F42+F47</f>
        <v>2388296301</v>
      </c>
      <c r="G48" s="826">
        <f t="shared" si="10"/>
        <v>3035455323</v>
      </c>
      <c r="H48" s="830">
        <f t="shared" si="10"/>
        <v>3035455323</v>
      </c>
      <c r="I48" s="1136">
        <f t="shared" si="10"/>
        <v>3339106375</v>
      </c>
      <c r="J48" s="826">
        <f t="shared" si="10"/>
        <v>3551108161.5149999</v>
      </c>
      <c r="K48" s="827">
        <f t="shared" si="10"/>
        <v>3711581029.8773251</v>
      </c>
      <c r="L48" s="373"/>
      <c r="Q48" s="281"/>
    </row>
    <row r="49" spans="1:12">
      <c r="A49" s="1234" t="str">
        <f>result</f>
        <v>Surplus/(Deficit) for the year</v>
      </c>
      <c r="B49" s="1235"/>
      <c r="C49" s="284">
        <f>C25-C48</f>
        <v>116682811.96999979</v>
      </c>
      <c r="D49" s="284">
        <f t="shared" ref="D49:K49" si="11">D25-D48</f>
        <v>4027872</v>
      </c>
      <c r="E49" s="285">
        <f t="shared" si="11"/>
        <v>-232981244</v>
      </c>
      <c r="F49" s="286">
        <f t="shared" si="11"/>
        <v>112899</v>
      </c>
      <c r="G49" s="284">
        <f t="shared" si="11"/>
        <v>112899</v>
      </c>
      <c r="H49" s="283">
        <f t="shared" si="11"/>
        <v>112899</v>
      </c>
      <c r="I49" s="287">
        <f t="shared" si="11"/>
        <v>89998</v>
      </c>
      <c r="J49" s="284">
        <f t="shared" si="11"/>
        <v>100000.41699981689</v>
      </c>
      <c r="K49" s="285">
        <f t="shared" si="11"/>
        <v>110002.24593496323</v>
      </c>
      <c r="L49" s="373"/>
    </row>
    <row r="50" spans="1:12">
      <c r="A50" s="1236" t="str">
        <f>head27a</f>
        <v>References</v>
      </c>
      <c r="B50" s="1237"/>
      <c r="C50" s="1086"/>
      <c r="D50" s="1086"/>
      <c r="E50" s="1086"/>
      <c r="F50" s="1086"/>
      <c r="G50" s="1086"/>
      <c r="H50" s="1086"/>
      <c r="I50" s="1086"/>
      <c r="J50" s="1086"/>
      <c r="K50" s="1086"/>
    </row>
    <row r="51" spans="1:12" ht="11.25" customHeight="1">
      <c r="A51" s="1238" t="s">
        <v>1224</v>
      </c>
      <c r="B51" s="1237"/>
      <c r="C51" s="1239"/>
      <c r="D51" s="1239"/>
      <c r="E51" s="1240"/>
      <c r="F51" s="1240"/>
      <c r="G51" s="1240"/>
      <c r="H51" s="1240"/>
      <c r="I51" s="1240"/>
      <c r="J51" s="1240"/>
      <c r="K51" s="1240"/>
    </row>
    <row r="52" spans="1:12" ht="11.25" customHeight="1">
      <c r="A52" s="1241" t="s">
        <v>474</v>
      </c>
      <c r="B52" s="1237"/>
      <c r="C52" s="1239"/>
      <c r="D52" s="1239"/>
      <c r="E52" s="1240"/>
      <c r="F52" s="1240"/>
      <c r="G52" s="1240"/>
      <c r="H52" s="1240"/>
      <c r="I52" s="1240"/>
      <c r="J52" s="1240"/>
      <c r="K52" s="1240"/>
    </row>
    <row r="53" spans="1:12" ht="11.25" customHeight="1">
      <c r="A53" s="1238" t="s">
        <v>475</v>
      </c>
      <c r="B53" s="1237"/>
      <c r="C53" s="1239"/>
      <c r="D53" s="1239"/>
      <c r="E53" s="1240"/>
      <c r="F53" s="1240"/>
      <c r="G53" s="1240"/>
      <c r="H53" s="1240"/>
      <c r="I53" s="1240"/>
      <c r="J53" s="1240"/>
      <c r="K53" s="1240"/>
    </row>
    <row r="54" spans="1:12" ht="25.5" customHeight="1">
      <c r="A54" s="2419" t="s">
        <v>1301</v>
      </c>
      <c r="B54" s="2419"/>
      <c r="C54" s="2419"/>
      <c r="D54" s="2419"/>
      <c r="E54" s="2419"/>
      <c r="F54" s="2419"/>
      <c r="G54" s="2419"/>
      <c r="H54" s="2419"/>
      <c r="I54" s="2419"/>
      <c r="J54" s="2419"/>
      <c r="K54" s="2419"/>
    </row>
    <row r="55" spans="1:12" ht="11.25" customHeight="1">
      <c r="A55" s="247"/>
      <c r="B55" s="237"/>
      <c r="C55" s="241"/>
      <c r="D55" s="241"/>
      <c r="E55" s="242"/>
      <c r="F55" s="242"/>
      <c r="G55" s="242"/>
      <c r="H55" s="242"/>
      <c r="I55" s="242"/>
      <c r="J55" s="242"/>
      <c r="K55" s="242"/>
    </row>
    <row r="56" spans="1:12" ht="11.25" customHeight="1">
      <c r="A56" s="247"/>
      <c r="B56" s="237"/>
      <c r="C56" s="241"/>
      <c r="D56" s="241"/>
      <c r="E56" s="242"/>
      <c r="F56" s="242"/>
      <c r="G56" s="242"/>
      <c r="H56" s="242"/>
      <c r="I56" s="242"/>
      <c r="J56" s="242"/>
      <c r="K56" s="242"/>
    </row>
    <row r="57" spans="1:12" ht="11.25" customHeight="1">
      <c r="A57" s="289" t="s">
        <v>157</v>
      </c>
      <c r="B57" s="244"/>
      <c r="C57" s="290">
        <f>C25-'A4-FinPerf RE'!C60</f>
        <v>-323601803.00999999</v>
      </c>
      <c r="D57" s="290">
        <f>D25-'A4-FinPerf RE'!D60</f>
        <v>-97770078</v>
      </c>
      <c r="E57" s="1057">
        <f>E25-'A4-FinPerf RE'!E60</f>
        <v>-351213793</v>
      </c>
      <c r="F57" s="290">
        <f>F25-'A4-FinPerf RE'!F60</f>
        <v>-136512796</v>
      </c>
      <c r="G57" s="290">
        <f>G25-'A4-FinPerf RE'!G60</f>
        <v>-126513206</v>
      </c>
      <c r="H57" s="290">
        <f>H25-'A4-FinPerf RE'!H60</f>
        <v>-126513204</v>
      </c>
      <c r="I57" s="290">
        <f>I25-'A4-FinPerf RE'!J60</f>
        <v>-411313111</v>
      </c>
      <c r="J57" s="290">
        <f>J25-'A4-FinPerf RE'!K60</f>
        <v>-310819069.6970005</v>
      </c>
      <c r="K57" s="290">
        <f>K25-'A4-FinPerf RE'!L60</f>
        <v>-214215371.42033482</v>
      </c>
    </row>
    <row r="58" spans="1:12" ht="11.25" customHeight="1">
      <c r="A58" s="289" t="s">
        <v>944</v>
      </c>
      <c r="B58" s="244"/>
      <c r="C58" s="290">
        <f>C48-'A4-FinPerf RE'!C36</f>
        <v>-89419465.979999781</v>
      </c>
      <c r="D58" s="290">
        <f>D48-'A4-FinPerf RE'!D36</f>
        <v>471</v>
      </c>
      <c r="E58" s="1057">
        <f>E48-'A4-FinPerf RE'!E36</f>
        <v>-351123382</v>
      </c>
      <c r="F58" s="290">
        <f>F48-'A4-FinPerf RE'!F36</f>
        <v>472</v>
      </c>
      <c r="G58" s="290">
        <f>G48-'A4-FinPerf RE'!G36</f>
        <v>654</v>
      </c>
      <c r="H58" s="290">
        <f>H48-'A4-FinPerf RE'!H36</f>
        <v>654</v>
      </c>
      <c r="I58" s="290">
        <f>I48-'A4-FinPerf RE'!J36</f>
        <v>127</v>
      </c>
      <c r="J58" s="290">
        <f>J48-'A4-FinPerf RE'!K36</f>
        <v>46.328999996185303</v>
      </c>
      <c r="K58" s="290">
        <f>K48-'A4-FinPerf RE'!L36</f>
        <v>-450.48390483856201</v>
      </c>
    </row>
    <row r="59" spans="1:12" ht="11.25" customHeight="1"/>
    <row r="60" spans="1:12" ht="11.25" customHeight="1"/>
    <row r="61" spans="1:12" ht="11.25" customHeight="1"/>
    <row r="62" spans="1:12" ht="11.25" customHeight="1">
      <c r="E62" s="364"/>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A35B" sheet="1" objects="1" scenarios="1"/>
  <mergeCells count="3">
    <mergeCell ref="A54:K54"/>
    <mergeCell ref="F2:H2"/>
    <mergeCell ref="I2:K2"/>
  </mergeCells>
  <phoneticPr fontId="2" type="noConversion"/>
  <printOptions horizontalCentered="1"/>
  <pageMargins left="0" right="0" top="0.59055118110236227" bottom="0.59055118110236227" header="0.51181102362204722" footer="0.39370078740157483"/>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pageSetUpPr fitToPage="1"/>
  </sheetPr>
  <dimension ref="A1:R184"/>
  <sheetViews>
    <sheetView showGridLines="0" workbookViewId="0">
      <selection activeCell="C169" sqref="C169"/>
    </sheetView>
  </sheetViews>
  <sheetFormatPr defaultRowHeight="12.75"/>
  <cols>
    <col min="1" max="1" width="30.7109375" style="150" customWidth="1"/>
    <col min="2" max="2" width="3" style="248" customWidth="1"/>
    <col min="3" max="3" width="10.140625" style="150" bestFit="1" customWidth="1"/>
    <col min="4" max="4" width="9.42578125" style="150" bestFit="1" customWidth="1"/>
    <col min="5" max="11" width="10.140625" style="150" bestFit="1" customWidth="1"/>
    <col min="12" max="41" width="9.5703125" style="150" customWidth="1"/>
    <col min="42" max="16384" width="9.140625" style="150"/>
  </cols>
  <sheetData>
    <row r="1" spans="1:18" ht="13.5">
      <c r="A1" s="148" t="str">
        <f>muni&amp;" - "&amp;Approve3</f>
        <v>KZN225 Msunduzi - Table A2 Budgeted Financial Performance (revenue and expenditure by standard classification)</v>
      </c>
      <c r="B1" s="249"/>
      <c r="C1" s="249"/>
      <c r="D1" s="249"/>
      <c r="E1" s="249"/>
      <c r="F1" s="249"/>
      <c r="G1" s="249"/>
      <c r="H1" s="249"/>
      <c r="I1" s="249"/>
      <c r="J1" s="249"/>
      <c r="K1" s="249"/>
    </row>
    <row r="2" spans="1:18" ht="28.5" customHeight="1">
      <c r="A2" s="1001" t="str">
        <f>"Standard Classification "&amp;desc</f>
        <v>Standard Classification Description</v>
      </c>
      <c r="B2" s="422" t="str">
        <f>head27</f>
        <v>Ref</v>
      </c>
      <c r="C2" s="151" t="str">
        <f>head1b</f>
        <v>2007/8</v>
      </c>
      <c r="D2" s="151" t="str">
        <f>head1A</f>
        <v>2008/9</v>
      </c>
      <c r="E2" s="147" t="str">
        <f>Head1</f>
        <v>2009/10</v>
      </c>
      <c r="F2" s="2415" t="str">
        <f>Head2</f>
        <v>Current Year 2010/11</v>
      </c>
      <c r="G2" s="2416"/>
      <c r="H2" s="2420"/>
      <c r="I2" s="2412" t="str">
        <f>Head3</f>
        <v>2011/12 Medium Term Revenue &amp; Expenditure Framework</v>
      </c>
      <c r="J2" s="2413"/>
      <c r="K2" s="2414"/>
    </row>
    <row r="3" spans="1:18" ht="25.5">
      <c r="A3" s="181" t="s">
        <v>703</v>
      </c>
      <c r="B3" s="1012">
        <v>1</v>
      </c>
      <c r="C3" s="393" t="str">
        <f>Head5</f>
        <v>Audited Outcome</v>
      </c>
      <c r="D3" s="393" t="str">
        <f>Head5</f>
        <v>Audited Outcome</v>
      </c>
      <c r="E3" s="394" t="str">
        <f>Head5</f>
        <v>Audited Outcome</v>
      </c>
      <c r="F3" s="300" t="str">
        <f>Head6</f>
        <v>Original Budget</v>
      </c>
      <c r="G3" s="393" t="str">
        <f>Head7</f>
        <v>Adjusted Budget</v>
      </c>
      <c r="H3" s="394" t="str">
        <f>Head8</f>
        <v>Full Year Forecast</v>
      </c>
      <c r="I3" s="300" t="str">
        <f>Head9</f>
        <v>Budget Year 2011/12</v>
      </c>
      <c r="J3" s="393" t="str">
        <f>Head10</f>
        <v>Budget Year +1 2012/13</v>
      </c>
      <c r="K3" s="394" t="str">
        <f>Head11</f>
        <v>Budget Year +2 2013/14</v>
      </c>
    </row>
    <row r="4" spans="1:18" ht="11.25" customHeight="1">
      <c r="A4" s="250" t="s">
        <v>453</v>
      </c>
      <c r="B4" s="183"/>
      <c r="C4" s="185"/>
      <c r="D4" s="2234"/>
      <c r="E4" s="2235"/>
      <c r="F4" s="187"/>
      <c r="G4" s="185"/>
      <c r="H4" s="186"/>
      <c r="I4" s="1377"/>
      <c r="J4" s="185"/>
      <c r="K4" s="186"/>
      <c r="L4" s="373"/>
    </row>
    <row r="5" spans="1:18" ht="11.25" customHeight="1">
      <c r="A5" s="1314" t="s">
        <v>143</v>
      </c>
      <c r="B5" s="1231"/>
      <c r="C5" s="1381">
        <f t="shared" ref="C5:K5" si="0">C6+C9+C10</f>
        <v>494363811.16000003</v>
      </c>
      <c r="D5" s="1381">
        <f t="shared" si="0"/>
        <v>542520347</v>
      </c>
      <c r="E5" s="1381">
        <f t="shared" si="0"/>
        <v>910367681</v>
      </c>
      <c r="F5" s="1385">
        <f t="shared" si="0"/>
        <v>540337318</v>
      </c>
      <c r="G5" s="1381">
        <f t="shared" si="0"/>
        <v>929537147</v>
      </c>
      <c r="H5" s="1590">
        <f t="shared" si="0"/>
        <v>929537147</v>
      </c>
      <c r="I5" s="1591">
        <f t="shared" si="0"/>
        <v>984089832</v>
      </c>
      <c r="J5" s="1381">
        <f t="shared" si="0"/>
        <v>1033784987</v>
      </c>
      <c r="K5" s="1590">
        <f t="shared" si="0"/>
        <v>1090316667</v>
      </c>
      <c r="L5" s="373"/>
      <c r="Q5" s="253"/>
      <c r="R5" s="254"/>
    </row>
    <row r="6" spans="1:18" ht="11.25" customHeight="1">
      <c r="A6" s="1373" t="s">
        <v>144</v>
      </c>
      <c r="B6" s="1231"/>
      <c r="C6" s="1139">
        <f>SUM(C7:C8)</f>
        <v>12362.67</v>
      </c>
      <c r="D6" s="1467">
        <f t="shared" ref="D6" si="1">SUM(D7:D8)</f>
        <v>498575</v>
      </c>
      <c r="E6" s="1143">
        <f t="shared" ref="E6:K6" si="2">SUM(E7:E8)</f>
        <v>464567</v>
      </c>
      <c r="F6" s="1143">
        <f t="shared" si="2"/>
        <v>0</v>
      </c>
      <c r="G6" s="1139">
        <f t="shared" si="2"/>
        <v>196171</v>
      </c>
      <c r="H6" s="1188">
        <f t="shared" si="2"/>
        <v>196171</v>
      </c>
      <c r="I6" s="1468">
        <f>SUM(I7:I8)</f>
        <v>304077</v>
      </c>
      <c r="J6" s="1139">
        <f t="shared" si="2"/>
        <v>320193</v>
      </c>
      <c r="K6" s="1188">
        <f t="shared" si="2"/>
        <v>337804</v>
      </c>
      <c r="L6" s="373"/>
      <c r="Q6" s="253"/>
      <c r="R6" s="254"/>
    </row>
    <row r="7" spans="1:18" ht="11.25" customHeight="1">
      <c r="A7" s="1641" t="s">
        <v>346</v>
      </c>
      <c r="B7" s="1231"/>
      <c r="C7" s="2230">
        <v>12362.67</v>
      </c>
      <c r="D7" s="2376">
        <v>497789</v>
      </c>
      <c r="E7" s="2236">
        <v>462073</v>
      </c>
      <c r="F7" s="1710"/>
      <c r="G7" s="1708">
        <v>136171</v>
      </c>
      <c r="H7" s="1708">
        <v>136171</v>
      </c>
      <c r="I7" s="2333">
        <v>304077</v>
      </c>
      <c r="J7" s="1708">
        <v>320193</v>
      </c>
      <c r="K7" s="1711">
        <v>337804</v>
      </c>
      <c r="L7" s="373"/>
      <c r="Q7" s="253"/>
      <c r="R7" s="254"/>
    </row>
    <row r="8" spans="1:18" ht="11.25" customHeight="1">
      <c r="A8" s="1641" t="s">
        <v>347</v>
      </c>
      <c r="B8" s="1231"/>
      <c r="C8" s="1708"/>
      <c r="D8" s="2376">
        <v>786</v>
      </c>
      <c r="E8" s="2236">
        <v>2494</v>
      </c>
      <c r="F8" s="1710"/>
      <c r="G8" s="1708">
        <v>60000</v>
      </c>
      <c r="H8" s="1708">
        <v>60000</v>
      </c>
      <c r="I8" s="2333"/>
      <c r="J8" s="1708"/>
      <c r="K8" s="1711"/>
      <c r="L8" s="373"/>
      <c r="Q8" s="253"/>
      <c r="R8" s="254"/>
    </row>
    <row r="9" spans="1:18" ht="11.25" customHeight="1">
      <c r="A9" s="1373" t="s">
        <v>145</v>
      </c>
      <c r="B9" s="1231"/>
      <c r="C9" s="2231">
        <v>489893266.06</v>
      </c>
      <c r="D9" s="2377">
        <v>536866776</v>
      </c>
      <c r="E9" s="2237">
        <v>891240927</v>
      </c>
      <c r="F9" s="1715">
        <v>511002062</v>
      </c>
      <c r="G9" s="1713">
        <v>910798437</v>
      </c>
      <c r="H9" s="1713">
        <v>910798437</v>
      </c>
      <c r="I9" s="2334">
        <f>966660733+790000</f>
        <v>967450733</v>
      </c>
      <c r="J9" s="1713">
        <f>1017346379+800000</f>
        <v>1018146379</v>
      </c>
      <c r="K9" s="1716">
        <f>1072917930+900000</f>
        <v>1073817930</v>
      </c>
      <c r="L9" s="373"/>
      <c r="Q9" s="253"/>
      <c r="R9" s="254"/>
    </row>
    <row r="10" spans="1:18" ht="11.25" customHeight="1">
      <c r="A10" s="1373" t="s">
        <v>146</v>
      </c>
      <c r="B10" s="1231"/>
      <c r="C10" s="1139">
        <f t="shared" ref="C10:K10" si="3">SUM(C11:C14)</f>
        <v>4458182.43</v>
      </c>
      <c r="D10" s="1139">
        <f t="shared" si="3"/>
        <v>5154996</v>
      </c>
      <c r="E10" s="1139">
        <f t="shared" si="3"/>
        <v>18662187</v>
      </c>
      <c r="F10" s="1143">
        <f t="shared" si="3"/>
        <v>29335256</v>
      </c>
      <c r="G10" s="1139">
        <f t="shared" si="3"/>
        <v>18542539</v>
      </c>
      <c r="H10" s="1188">
        <f t="shared" si="3"/>
        <v>18542539</v>
      </c>
      <c r="I10" s="1468">
        <f t="shared" si="3"/>
        <v>16335022</v>
      </c>
      <c r="J10" s="1139">
        <f t="shared" si="3"/>
        <v>15318415</v>
      </c>
      <c r="K10" s="1188">
        <f t="shared" si="3"/>
        <v>16160933</v>
      </c>
      <c r="L10" s="373"/>
      <c r="Q10" s="253"/>
      <c r="R10" s="254"/>
    </row>
    <row r="11" spans="1:18" ht="11.25" customHeight="1">
      <c r="A11" s="1641" t="s">
        <v>348</v>
      </c>
      <c r="B11" s="1231"/>
      <c r="C11" s="2230">
        <v>4420319.04</v>
      </c>
      <c r="D11" s="2376">
        <v>5128733</v>
      </c>
      <c r="E11" s="2236">
        <v>2510186</v>
      </c>
      <c r="F11" s="2345">
        <v>29325532</v>
      </c>
      <c r="G11" s="1708">
        <v>1044434</v>
      </c>
      <c r="H11" s="1708">
        <v>1044434</v>
      </c>
      <c r="I11" s="2333">
        <v>361385</v>
      </c>
      <c r="J11" s="1708">
        <v>380538</v>
      </c>
      <c r="K11" s="1711">
        <v>401468</v>
      </c>
      <c r="L11" s="373"/>
      <c r="Q11" s="253"/>
      <c r="R11" s="254"/>
    </row>
    <row r="12" spans="1:18" ht="11.25" customHeight="1">
      <c r="A12" s="1641" t="s">
        <v>349</v>
      </c>
      <c r="B12" s="1231"/>
      <c r="C12" s="2230">
        <v>37863.39</v>
      </c>
      <c r="D12" s="2376">
        <v>26263</v>
      </c>
      <c r="E12" s="2236">
        <v>31145</v>
      </c>
      <c r="F12" s="2346">
        <v>9724</v>
      </c>
      <c r="G12" s="1708">
        <v>10224</v>
      </c>
      <c r="H12" s="1708">
        <v>10224</v>
      </c>
      <c r="I12" s="2333">
        <v>9621</v>
      </c>
      <c r="J12" s="1708">
        <v>10131</v>
      </c>
      <c r="K12" s="1711">
        <v>10688</v>
      </c>
      <c r="L12" s="373"/>
      <c r="Q12" s="253"/>
      <c r="R12" s="254"/>
    </row>
    <row r="13" spans="1:18" ht="11.25" customHeight="1">
      <c r="A13" s="1641" t="s">
        <v>1148</v>
      </c>
      <c r="B13" s="1231"/>
      <c r="C13" s="1709"/>
      <c r="D13" s="2376">
        <v>0</v>
      </c>
      <c r="E13" s="1709">
        <v>13214150</v>
      </c>
      <c r="F13" s="1084"/>
      <c r="G13" s="1708">
        <v>14662637</v>
      </c>
      <c r="H13" s="1708">
        <v>14662637</v>
      </c>
      <c r="I13" s="1711">
        <v>11176088</v>
      </c>
      <c r="J13" s="1708">
        <v>11768421</v>
      </c>
      <c r="K13" s="1711">
        <v>12415684</v>
      </c>
      <c r="L13" s="373"/>
      <c r="Q13" s="253"/>
      <c r="R13" s="254"/>
    </row>
    <row r="14" spans="1:18" ht="11.25" customHeight="1">
      <c r="A14" s="1641" t="s">
        <v>1149</v>
      </c>
      <c r="B14" s="1231"/>
      <c r="C14" s="1709"/>
      <c r="D14" s="2376">
        <v>0</v>
      </c>
      <c r="E14" s="1709">
        <f>39977+2800133+3960+62636</f>
        <v>2906706</v>
      </c>
      <c r="F14" s="1084"/>
      <c r="G14" s="1708">
        <f>2821429+3815</f>
        <v>2825244</v>
      </c>
      <c r="H14" s="1708">
        <f>2821429+3815</f>
        <v>2825244</v>
      </c>
      <c r="I14" s="1711">
        <f>2982219+5709+1710000+90000</f>
        <v>4787928</v>
      </c>
      <c r="J14" s="1708">
        <f>3153313+6012</f>
        <v>3159325</v>
      </c>
      <c r="K14" s="1711">
        <f>3326751+6342</f>
        <v>3333093</v>
      </c>
      <c r="L14" s="373"/>
      <c r="Q14" s="253"/>
      <c r="R14" s="254"/>
    </row>
    <row r="15" spans="1:18" ht="11.25" customHeight="1">
      <c r="A15" s="1314" t="s">
        <v>147</v>
      </c>
      <c r="B15" s="1231"/>
      <c r="C15" s="1381">
        <f>C16+C25+C26+C32+C33</f>
        <v>45391565.960000001</v>
      </c>
      <c r="D15" s="1381">
        <f>D16+D25+D26+D32+D33</f>
        <v>82009947</v>
      </c>
      <c r="E15" s="1381">
        <f>E16+E25+E26+E32+E33</f>
        <v>77867339</v>
      </c>
      <c r="F15" s="1385">
        <f t="shared" ref="F15:K15" si="4">F16+F25+F26+F32+F33</f>
        <v>20302199</v>
      </c>
      <c r="G15" s="1381">
        <f t="shared" si="4"/>
        <v>26495748</v>
      </c>
      <c r="H15" s="1590">
        <f t="shared" si="4"/>
        <v>26495748</v>
      </c>
      <c r="I15" s="1591">
        <f t="shared" si="4"/>
        <v>23639400</v>
      </c>
      <c r="J15" s="1381">
        <f t="shared" si="4"/>
        <v>25836184.710000001</v>
      </c>
      <c r="K15" s="1590">
        <f t="shared" si="4"/>
        <v>39380418.894050002</v>
      </c>
      <c r="L15" s="373"/>
      <c r="Q15" s="253"/>
      <c r="R15" s="254"/>
    </row>
    <row r="16" spans="1:18" ht="11.25" customHeight="1">
      <c r="A16" s="1373" t="s">
        <v>148</v>
      </c>
      <c r="B16" s="1231"/>
      <c r="C16" s="1176">
        <f>SUM(C17:C24)</f>
        <v>4952424.87</v>
      </c>
      <c r="D16" s="1176">
        <f>SUM(D17:D24)</f>
        <v>18022978</v>
      </c>
      <c r="E16" s="1176">
        <f>SUM(E17:E24)</f>
        <v>5699366</v>
      </c>
      <c r="F16" s="1180">
        <f t="shared" ref="F16:K16" si="5">SUM(F17:F24)</f>
        <v>6517112</v>
      </c>
      <c r="G16" s="1176">
        <f t="shared" si="5"/>
        <v>3213766</v>
      </c>
      <c r="H16" s="1592">
        <f t="shared" si="5"/>
        <v>3213766</v>
      </c>
      <c r="I16" s="1593">
        <f t="shared" si="5"/>
        <v>3260432</v>
      </c>
      <c r="J16" s="1176">
        <f t="shared" si="5"/>
        <v>12881459</v>
      </c>
      <c r="K16" s="1592">
        <f t="shared" si="5"/>
        <v>23459628</v>
      </c>
      <c r="L16" s="373"/>
      <c r="Q16" s="253"/>
      <c r="R16" s="254"/>
    </row>
    <row r="17" spans="1:18" ht="11.25" customHeight="1">
      <c r="A17" s="1641" t="s">
        <v>1810</v>
      </c>
      <c r="B17" s="1231"/>
      <c r="C17" s="1709"/>
      <c r="D17" s="2376">
        <v>10866961</v>
      </c>
      <c r="E17" s="1709">
        <v>4677549</v>
      </c>
      <c r="F17" s="1084">
        <v>546821</v>
      </c>
      <c r="G17" s="1708">
        <v>2353437</v>
      </c>
      <c r="H17" s="1708">
        <v>2353437</v>
      </c>
      <c r="I17" s="1711">
        <v>2297136</v>
      </c>
      <c r="J17" s="1708">
        <v>11868070</v>
      </c>
      <c r="K17" s="1711">
        <v>22390499</v>
      </c>
      <c r="L17" s="373"/>
      <c r="Q17" s="253"/>
      <c r="R17" s="254"/>
    </row>
    <row r="18" spans="1:18" ht="11.25" customHeight="1">
      <c r="A18" s="1641" t="s">
        <v>875</v>
      </c>
      <c r="B18" s="1231"/>
      <c r="C18" s="2230">
        <v>3379573.92</v>
      </c>
      <c r="D18" s="2376">
        <v>64155</v>
      </c>
      <c r="E18" s="2236">
        <v>70728</v>
      </c>
      <c r="F18" s="1084">
        <v>3581</v>
      </c>
      <c r="G18" s="1708">
        <v>3581</v>
      </c>
      <c r="H18" s="1708">
        <v>3581</v>
      </c>
      <c r="I18" s="2333">
        <v>3000</v>
      </c>
      <c r="J18" s="1708">
        <v>3159</v>
      </c>
      <c r="K18" s="1711">
        <v>3333</v>
      </c>
      <c r="L18" s="373"/>
      <c r="Q18" s="253"/>
      <c r="R18" s="254"/>
    </row>
    <row r="19" spans="1:18" ht="11.25" customHeight="1">
      <c r="A19" s="1641" t="s">
        <v>876</v>
      </c>
      <c r="B19" s="1231"/>
      <c r="C19" s="1709"/>
      <c r="D19" s="2376">
        <v>1132094</v>
      </c>
      <c r="E19" s="1709"/>
      <c r="F19" s="1084">
        <v>5105677</v>
      </c>
      <c r="G19" s="1708"/>
      <c r="H19" s="1708"/>
      <c r="I19" s="1711"/>
      <c r="J19" s="1708"/>
      <c r="K19" s="1711"/>
      <c r="L19" s="373"/>
      <c r="Q19" s="253"/>
      <c r="R19" s="254"/>
    </row>
    <row r="20" spans="1:18" ht="11.25" customHeight="1">
      <c r="A20" s="1641" t="s">
        <v>877</v>
      </c>
      <c r="B20" s="1231"/>
      <c r="C20" s="2230">
        <v>1565004.75</v>
      </c>
      <c r="D20" s="2376">
        <v>1189969</v>
      </c>
      <c r="E20" s="2236">
        <v>945738</v>
      </c>
      <c r="F20" s="1084">
        <v>852695</v>
      </c>
      <c r="G20" s="1708">
        <v>852695</v>
      </c>
      <c r="H20" s="1708">
        <v>852695</v>
      </c>
      <c r="I20" s="2333">
        <v>945296</v>
      </c>
      <c r="J20" s="1708">
        <v>994435</v>
      </c>
      <c r="K20" s="1711">
        <v>1049129</v>
      </c>
      <c r="L20" s="373"/>
      <c r="Q20" s="253"/>
      <c r="R20" s="254"/>
    </row>
    <row r="21" spans="1:18" ht="11.25" customHeight="1">
      <c r="A21" s="1641" t="s">
        <v>1811</v>
      </c>
      <c r="B21" s="1231"/>
      <c r="C21" s="1709"/>
      <c r="D21" s="2376">
        <v>0</v>
      </c>
      <c r="E21" s="1709"/>
      <c r="F21" s="1084">
        <v>0</v>
      </c>
      <c r="G21" s="1708"/>
      <c r="H21" s="1708"/>
      <c r="I21" s="1711"/>
      <c r="J21" s="1708"/>
      <c r="K21" s="1711"/>
      <c r="L21" s="373"/>
      <c r="Q21" s="253"/>
      <c r="R21" s="254"/>
    </row>
    <row r="22" spans="1:18" ht="11.25" customHeight="1">
      <c r="A22" s="1641" t="s">
        <v>1812</v>
      </c>
      <c r="B22" s="1231"/>
      <c r="C22" s="1709"/>
      <c r="D22" s="2376">
        <v>0</v>
      </c>
      <c r="E22" s="1709">
        <v>5351</v>
      </c>
      <c r="F22" s="1084">
        <v>0</v>
      </c>
      <c r="G22" s="1708">
        <v>4053</v>
      </c>
      <c r="H22" s="1708">
        <v>4053</v>
      </c>
      <c r="I22" s="1711">
        <v>15000</v>
      </c>
      <c r="J22" s="1708">
        <v>15795</v>
      </c>
      <c r="K22" s="1711">
        <v>16667</v>
      </c>
      <c r="L22" s="373"/>
      <c r="Q22" s="253"/>
      <c r="R22" s="254"/>
    </row>
    <row r="23" spans="1:18" ht="11.25" customHeight="1">
      <c r="A23" s="1641" t="s">
        <v>1813</v>
      </c>
      <c r="B23" s="1231"/>
      <c r="C23" s="2230">
        <v>7846.2</v>
      </c>
      <c r="D23" s="2376">
        <v>4769799</v>
      </c>
      <c r="E23" s="2236"/>
      <c r="F23" s="1084">
        <v>8338</v>
      </c>
      <c r="G23" s="1708"/>
      <c r="H23" s="1708"/>
      <c r="I23" s="2333"/>
      <c r="J23" s="1708"/>
      <c r="K23" s="1711"/>
      <c r="L23" s="373"/>
      <c r="Q23" s="253"/>
      <c r="R23" s="254"/>
    </row>
    <row r="24" spans="1:18" ht="11.25" customHeight="1">
      <c r="A24" s="1641" t="s">
        <v>1814</v>
      </c>
      <c r="B24" s="1231"/>
      <c r="C24" s="1709"/>
      <c r="D24" s="2376">
        <v>0</v>
      </c>
      <c r="E24" s="1709"/>
      <c r="F24" s="1084">
        <v>0</v>
      </c>
      <c r="G24" s="1708"/>
      <c r="H24" s="1708"/>
      <c r="I24" s="1711"/>
      <c r="J24" s="1708"/>
      <c r="K24" s="1711"/>
      <c r="L24" s="373"/>
      <c r="Q24" s="253"/>
      <c r="R24" s="254"/>
    </row>
    <row r="25" spans="1:18" ht="11.25" customHeight="1">
      <c r="A25" s="1373" t="s">
        <v>149</v>
      </c>
      <c r="B25" s="1231"/>
      <c r="C25" s="2231">
        <v>906043.11</v>
      </c>
      <c r="D25" s="2376">
        <v>1001382</v>
      </c>
      <c r="E25" s="2236">
        <v>901350</v>
      </c>
      <c r="F25" s="2213">
        <v>954773</v>
      </c>
      <c r="G25" s="1708">
        <v>957806</v>
      </c>
      <c r="H25" s="1708">
        <v>957806</v>
      </c>
      <c r="I25" s="2334">
        <f>2868814+2268000</f>
        <v>5136814</v>
      </c>
      <c r="J25" s="1708">
        <v>809561</v>
      </c>
      <c r="K25" s="1711">
        <v>854087</v>
      </c>
      <c r="L25" s="373"/>
      <c r="Q25" s="253"/>
      <c r="R25" s="254"/>
    </row>
    <row r="26" spans="1:18" ht="11.25" customHeight="1">
      <c r="A26" s="1373" t="s">
        <v>150</v>
      </c>
      <c r="B26" s="1231"/>
      <c r="C26" s="1176">
        <f>SUM(C27:C31)</f>
        <v>16393011.6</v>
      </c>
      <c r="D26" s="1176">
        <f>SUM(D27:D31)</f>
        <v>16086371</v>
      </c>
      <c r="E26" s="1176">
        <f>SUM(E27:E31)</f>
        <v>9563638</v>
      </c>
      <c r="F26" s="1180">
        <f t="shared" ref="F26:K26" si="6">SUM(F27:F31)</f>
        <v>8238847</v>
      </c>
      <c r="G26" s="1176">
        <f t="shared" si="6"/>
        <v>8453869</v>
      </c>
      <c r="H26" s="1592">
        <f t="shared" si="6"/>
        <v>8453869</v>
      </c>
      <c r="I26" s="1593">
        <f t="shared" si="6"/>
        <v>8007486</v>
      </c>
      <c r="J26" s="1176">
        <f t="shared" si="6"/>
        <v>2343658.71</v>
      </c>
      <c r="K26" s="1592">
        <f t="shared" si="6"/>
        <v>2473615.8940499998</v>
      </c>
      <c r="L26" s="373"/>
      <c r="Q26" s="253"/>
      <c r="R26" s="254"/>
    </row>
    <row r="27" spans="1:18" ht="11.25" customHeight="1">
      <c r="A27" s="1641" t="s">
        <v>1815</v>
      </c>
      <c r="B27" s="1231"/>
      <c r="C27" s="2230">
        <v>15453928.189999999</v>
      </c>
      <c r="D27" s="2376">
        <v>15334133</v>
      </c>
      <c r="E27" s="2236">
        <v>7891522</v>
      </c>
      <c r="F27" s="1084">
        <v>7575209</v>
      </c>
      <c r="G27" s="1708">
        <v>7583786</v>
      </c>
      <c r="H27" s="1708">
        <v>7583786</v>
      </c>
      <c r="I27" s="2333">
        <v>7635033</v>
      </c>
      <c r="J27" s="1708">
        <v>1952466</v>
      </c>
      <c r="K27" s="1711">
        <v>2059852</v>
      </c>
      <c r="L27" s="373"/>
      <c r="Q27" s="253"/>
      <c r="R27" s="254"/>
    </row>
    <row r="28" spans="1:18" ht="11.25" customHeight="1">
      <c r="A28" s="1641" t="s">
        <v>1663</v>
      </c>
      <c r="B28" s="1231"/>
      <c r="C28" s="2230">
        <v>766675.28</v>
      </c>
      <c r="D28" s="2376">
        <v>708774</v>
      </c>
      <c r="E28" s="2236">
        <v>1460095</v>
      </c>
      <c r="F28" s="1084">
        <v>663441</v>
      </c>
      <c r="G28" s="1708">
        <v>663441</v>
      </c>
      <c r="H28" s="1708">
        <v>663441</v>
      </c>
      <c r="I28" s="2333">
        <v>341176</v>
      </c>
      <c r="J28" s="1708">
        <v>358258</v>
      </c>
      <c r="K28" s="1711">
        <v>379018</v>
      </c>
      <c r="L28" s="373"/>
      <c r="Q28" s="253"/>
      <c r="R28" s="254"/>
    </row>
    <row r="29" spans="1:18" ht="11.25" customHeight="1">
      <c r="A29" s="1641" t="s">
        <v>856</v>
      </c>
      <c r="B29" s="1231"/>
      <c r="C29" s="2230">
        <v>159814.17000000001</v>
      </c>
      <c r="D29" s="2376">
        <v>43464</v>
      </c>
      <c r="E29" s="2236">
        <v>307</v>
      </c>
      <c r="F29" s="1084">
        <v>197</v>
      </c>
      <c r="G29" s="1708">
        <v>197</v>
      </c>
      <c r="H29" s="1708">
        <v>197</v>
      </c>
      <c r="I29" s="2333">
        <v>125</v>
      </c>
      <c r="J29" s="1708">
        <v>132</v>
      </c>
      <c r="K29" s="1711">
        <v>139</v>
      </c>
      <c r="L29" s="373"/>
      <c r="Q29" s="253"/>
      <c r="R29" s="254"/>
    </row>
    <row r="30" spans="1:18" ht="11.25" customHeight="1">
      <c r="A30" s="1641" t="s">
        <v>139</v>
      </c>
      <c r="B30" s="1231"/>
      <c r="C30" s="1709"/>
      <c r="D30" s="2376">
        <v>0</v>
      </c>
      <c r="E30" s="1709">
        <v>205688</v>
      </c>
      <c r="F30" s="1084">
        <v>0</v>
      </c>
      <c r="G30" s="1708">
        <v>203997</v>
      </c>
      <c r="H30" s="1708">
        <v>203997</v>
      </c>
      <c r="I30" s="1711">
        <v>22070</v>
      </c>
      <c r="J30" s="1708">
        <v>23239.71</v>
      </c>
      <c r="K30" s="1711">
        <v>24517.894049999999</v>
      </c>
      <c r="L30" s="373"/>
      <c r="Q30" s="253"/>
      <c r="R30" s="254"/>
    </row>
    <row r="31" spans="1:18" ht="11.25" customHeight="1">
      <c r="A31" s="1641" t="s">
        <v>301</v>
      </c>
      <c r="B31" s="1231"/>
      <c r="C31" s="2230">
        <v>12593.96</v>
      </c>
      <c r="D31" s="2376">
        <v>0</v>
      </c>
      <c r="E31" s="2236">
        <v>6026</v>
      </c>
      <c r="F31" s="1084">
        <v>0</v>
      </c>
      <c r="G31" s="1708">
        <v>2448</v>
      </c>
      <c r="H31" s="1708">
        <v>2448</v>
      </c>
      <c r="I31" s="2333">
        <v>9082</v>
      </c>
      <c r="J31" s="1708">
        <v>9563</v>
      </c>
      <c r="K31" s="1711">
        <v>10089</v>
      </c>
      <c r="L31" s="373"/>
      <c r="Q31" s="253"/>
      <c r="R31" s="254"/>
    </row>
    <row r="32" spans="1:18" ht="11.25" customHeight="1">
      <c r="A32" s="1373" t="s">
        <v>1873</v>
      </c>
      <c r="B32" s="1231"/>
      <c r="C32" s="2231">
        <v>14879298.23</v>
      </c>
      <c r="D32" s="2378">
        <v>38712712</v>
      </c>
      <c r="E32" s="2238">
        <v>50923742</v>
      </c>
      <c r="F32" s="1719">
        <v>4564189</v>
      </c>
      <c r="G32" s="1717">
        <v>13847082</v>
      </c>
      <c r="H32" s="1717">
        <v>13847082</v>
      </c>
      <c r="I32" s="2334">
        <v>6936388</v>
      </c>
      <c r="J32" s="1717">
        <v>9698017</v>
      </c>
      <c r="K32" s="1720">
        <v>12483907</v>
      </c>
      <c r="L32" s="373"/>
      <c r="Q32" s="253"/>
      <c r="R32" s="254"/>
    </row>
    <row r="33" spans="1:18" ht="11.25" customHeight="1">
      <c r="A33" s="1373" t="s">
        <v>1957</v>
      </c>
      <c r="B33" s="1231"/>
      <c r="C33" s="1176">
        <f>SUM(C34:C36)</f>
        <v>8260788.1499999994</v>
      </c>
      <c r="D33" s="1176">
        <f>SUM(D34:D36)</f>
        <v>8186504</v>
      </c>
      <c r="E33" s="1176">
        <f>SUM(E34:E36)</f>
        <v>10779243</v>
      </c>
      <c r="F33" s="1180">
        <f t="shared" ref="F33:K33" si="7">SUM(F34:F36)</f>
        <v>27278</v>
      </c>
      <c r="G33" s="1176">
        <f t="shared" si="7"/>
        <v>23225</v>
      </c>
      <c r="H33" s="1592">
        <f t="shared" si="7"/>
        <v>23225</v>
      </c>
      <c r="I33" s="1593">
        <f t="shared" si="7"/>
        <v>298280</v>
      </c>
      <c r="J33" s="1176">
        <f t="shared" si="7"/>
        <v>103489</v>
      </c>
      <c r="K33" s="1592">
        <f t="shared" si="7"/>
        <v>109181</v>
      </c>
      <c r="L33" s="373"/>
      <c r="Q33" s="253"/>
      <c r="R33" s="254"/>
    </row>
    <row r="34" spans="1:18" ht="11.25" customHeight="1">
      <c r="A34" s="1641" t="s">
        <v>1393</v>
      </c>
      <c r="B34" s="1231"/>
      <c r="C34" s="2230">
        <v>8237472.8499999996</v>
      </c>
      <c r="D34" s="2376">
        <v>5674</v>
      </c>
      <c r="E34" s="2236">
        <v>282</v>
      </c>
      <c r="F34" s="1084">
        <v>311</v>
      </c>
      <c r="G34" s="1708">
        <v>311</v>
      </c>
      <c r="H34" s="1708">
        <v>311</v>
      </c>
      <c r="I34" s="2333">
        <v>200324</v>
      </c>
      <c r="J34" s="1708">
        <v>341</v>
      </c>
      <c r="K34" s="1711">
        <v>360</v>
      </c>
      <c r="L34" s="373"/>
      <c r="Q34" s="253"/>
      <c r="R34" s="254"/>
    </row>
    <row r="35" spans="1:18" ht="11.25" customHeight="1">
      <c r="A35" s="1641" t="s">
        <v>665</v>
      </c>
      <c r="B35" s="1231"/>
      <c r="C35" s="1709"/>
      <c r="D35" s="2376">
        <v>0</v>
      </c>
      <c r="E35" s="1709"/>
      <c r="F35" s="1084">
        <v>0</v>
      </c>
      <c r="G35" s="1708"/>
      <c r="H35" s="1708"/>
      <c r="I35" s="1712"/>
      <c r="J35" s="1708"/>
      <c r="K35" s="1711"/>
      <c r="L35" s="373"/>
      <c r="Q35" s="253"/>
      <c r="R35" s="254"/>
    </row>
    <row r="36" spans="1:18" ht="11.25" customHeight="1">
      <c r="A36" s="1641" t="s">
        <v>666</v>
      </c>
      <c r="B36" s="1231"/>
      <c r="C36" s="2230">
        <v>23315.3</v>
      </c>
      <c r="D36" s="2376">
        <v>8180830</v>
      </c>
      <c r="E36" s="1709">
        <v>10778961</v>
      </c>
      <c r="F36" s="1084">
        <v>26967</v>
      </c>
      <c r="G36" s="1708">
        <v>22914</v>
      </c>
      <c r="H36" s="1708">
        <v>22914</v>
      </c>
      <c r="I36" s="1712">
        <v>97956</v>
      </c>
      <c r="J36" s="1708">
        <v>103148</v>
      </c>
      <c r="K36" s="1711">
        <v>108821</v>
      </c>
      <c r="L36" s="373"/>
      <c r="Q36" s="253"/>
      <c r="R36" s="254"/>
    </row>
    <row r="37" spans="1:18" ht="11.25" customHeight="1">
      <c r="A37" s="1314" t="s">
        <v>151</v>
      </c>
      <c r="B37" s="1167"/>
      <c r="C37" s="1381">
        <f t="shared" ref="C37:K37" si="8">C38+C42+C48</f>
        <v>74592048.710000008</v>
      </c>
      <c r="D37" s="1381">
        <f t="shared" si="8"/>
        <v>70713423</v>
      </c>
      <c r="E37" s="1381">
        <f t="shared" si="8"/>
        <v>25601178</v>
      </c>
      <c r="F37" s="1385">
        <f t="shared" si="8"/>
        <v>56960715</v>
      </c>
      <c r="G37" s="1381">
        <f t="shared" si="8"/>
        <v>62742923</v>
      </c>
      <c r="H37" s="1590">
        <f t="shared" si="8"/>
        <v>62742923</v>
      </c>
      <c r="I37" s="1591">
        <f t="shared" si="8"/>
        <v>123052369</v>
      </c>
      <c r="J37" s="1381">
        <f t="shared" si="8"/>
        <v>96102647.148000002</v>
      </c>
      <c r="K37" s="1590">
        <f t="shared" si="8"/>
        <v>50383291.881140001</v>
      </c>
      <c r="L37" s="373"/>
      <c r="Q37" s="253"/>
      <c r="R37" s="254"/>
    </row>
    <row r="38" spans="1:18" ht="11.25" customHeight="1">
      <c r="A38" s="1373" t="s">
        <v>152</v>
      </c>
      <c r="B38" s="1167"/>
      <c r="C38" s="1176">
        <f>SUM(C39:C41)</f>
        <v>25908631.75</v>
      </c>
      <c r="D38" s="1176">
        <f>SUM(D39:D41)</f>
        <v>24655989</v>
      </c>
      <c r="E38" s="1176">
        <f>SUM(E39:E41)</f>
        <v>10810786</v>
      </c>
      <c r="F38" s="1180">
        <f t="shared" ref="F38:K38" si="9">SUM(F39:F41)</f>
        <v>26501095</v>
      </c>
      <c r="G38" s="1176">
        <f t="shared" si="9"/>
        <v>9465383</v>
      </c>
      <c r="H38" s="1592">
        <f t="shared" si="9"/>
        <v>9465383</v>
      </c>
      <c r="I38" s="1593">
        <f t="shared" si="9"/>
        <v>9860589</v>
      </c>
      <c r="J38" s="1176">
        <f t="shared" si="9"/>
        <v>9782996</v>
      </c>
      <c r="K38" s="1592">
        <f t="shared" si="9"/>
        <v>23991061</v>
      </c>
      <c r="L38" s="373"/>
      <c r="Q38" s="253"/>
      <c r="R38" s="254"/>
    </row>
    <row r="39" spans="1:18" ht="11.25" customHeight="1">
      <c r="A39" s="1641" t="s">
        <v>601</v>
      </c>
      <c r="B39" s="1167"/>
      <c r="C39" s="2230">
        <v>20940953.109999999</v>
      </c>
      <c r="D39" s="2376">
        <v>20968179</v>
      </c>
      <c r="E39" s="2236">
        <v>10297686</v>
      </c>
      <c r="F39" s="1710">
        <v>22874163</v>
      </c>
      <c r="G39" s="1708">
        <v>8924495</v>
      </c>
      <c r="H39" s="1708">
        <v>8924495</v>
      </c>
      <c r="I39" s="2333">
        <v>9860589</v>
      </c>
      <c r="J39" s="1708">
        <v>9782996</v>
      </c>
      <c r="K39" s="1711">
        <v>23991061</v>
      </c>
      <c r="L39" s="373"/>
      <c r="Q39" s="253"/>
      <c r="R39" s="254"/>
    </row>
    <row r="40" spans="1:18" ht="11.25" customHeight="1">
      <c r="A40" s="1641" t="s">
        <v>663</v>
      </c>
      <c r="B40" s="1167"/>
      <c r="C40" s="2230">
        <v>4565947.17</v>
      </c>
      <c r="D40" s="2376">
        <v>3323715</v>
      </c>
      <c r="E40" s="2236"/>
      <c r="F40" s="1710">
        <v>3086044</v>
      </c>
      <c r="G40" s="1708"/>
      <c r="H40" s="1708"/>
      <c r="I40" s="2333"/>
      <c r="J40" s="1708"/>
      <c r="K40" s="1711"/>
      <c r="L40" s="373"/>
      <c r="Q40" s="253"/>
      <c r="R40" s="254"/>
    </row>
    <row r="41" spans="1:18" ht="11.25" customHeight="1">
      <c r="A41" s="1641" t="s">
        <v>97</v>
      </c>
      <c r="B41" s="1167"/>
      <c r="C41" s="2230">
        <v>401731.47</v>
      </c>
      <c r="D41" s="2376">
        <v>364095</v>
      </c>
      <c r="E41" s="2236">
        <v>513100</v>
      </c>
      <c r="F41" s="1710">
        <v>540888</v>
      </c>
      <c r="G41" s="1708">
        <v>540888</v>
      </c>
      <c r="H41" s="1708">
        <v>540888</v>
      </c>
      <c r="I41" s="2333"/>
      <c r="J41" s="1708"/>
      <c r="K41" s="1711"/>
      <c r="L41" s="373"/>
      <c r="Q41" s="253"/>
      <c r="R41" s="254"/>
    </row>
    <row r="42" spans="1:18" ht="11.25" customHeight="1">
      <c r="A42" s="1373" t="s">
        <v>153</v>
      </c>
      <c r="B42" s="1167"/>
      <c r="C42" s="1176">
        <f>SUM(C43:C47)</f>
        <v>48682422.559999995</v>
      </c>
      <c r="D42" s="1176">
        <f>SUM(D43:D47)</f>
        <v>46051980</v>
      </c>
      <c r="E42" s="1176">
        <f>SUM(E43:E47)</f>
        <v>14790392</v>
      </c>
      <c r="F42" s="1180">
        <f t="shared" ref="F42:K42" si="10">SUM(F43:F47)</f>
        <v>30451043</v>
      </c>
      <c r="G42" s="1176">
        <f>SUM(G43:G47)</f>
        <v>53277540</v>
      </c>
      <c r="H42" s="1592">
        <f>SUM(H43:H47)</f>
        <v>53277540</v>
      </c>
      <c r="I42" s="1593">
        <f t="shared" si="10"/>
        <v>113191780</v>
      </c>
      <c r="J42" s="1176">
        <f t="shared" si="10"/>
        <v>86319651.148000002</v>
      </c>
      <c r="K42" s="1592">
        <f t="shared" si="10"/>
        <v>26392230.881140001</v>
      </c>
      <c r="L42" s="373"/>
      <c r="Q42" s="253"/>
      <c r="R42" s="254"/>
    </row>
    <row r="43" spans="1:18" ht="11.25" customHeight="1">
      <c r="A43" s="1641" t="s">
        <v>778</v>
      </c>
      <c r="B43" s="1167"/>
      <c r="C43" s="2230">
        <v>47742807.439999998</v>
      </c>
      <c r="D43" s="2376">
        <v>44874551</v>
      </c>
      <c r="E43" s="2236">
        <v>11890572</v>
      </c>
      <c r="F43" s="1710">
        <v>25613594</v>
      </c>
      <c r="G43" s="1708">
        <v>31110310</v>
      </c>
      <c r="H43" s="1708">
        <v>31110310</v>
      </c>
      <c r="I43" s="2333">
        <v>46942932</v>
      </c>
      <c r="J43" s="1708">
        <v>4614</v>
      </c>
      <c r="K43" s="1711">
        <v>4868</v>
      </c>
      <c r="L43" s="373"/>
      <c r="Q43" s="253"/>
      <c r="R43" s="254"/>
    </row>
    <row r="44" spans="1:18" ht="11.25" customHeight="1">
      <c r="A44" s="1641" t="s">
        <v>779</v>
      </c>
      <c r="B44" s="1167"/>
      <c r="C44" s="1709"/>
      <c r="D44" s="2376">
        <v>0</v>
      </c>
      <c r="E44" s="1709">
        <v>2069670</v>
      </c>
      <c r="F44" s="1710">
        <v>0</v>
      </c>
      <c r="G44" s="1708">
        <v>21384584</v>
      </c>
      <c r="H44" s="1708">
        <v>21384584</v>
      </c>
      <c r="I44" s="1711">
        <v>65253926</v>
      </c>
      <c r="J44" s="1708">
        <v>85267384</v>
      </c>
      <c r="K44" s="1711">
        <v>25282090</v>
      </c>
      <c r="L44" s="373"/>
      <c r="Q44" s="253"/>
      <c r="R44" s="254"/>
    </row>
    <row r="45" spans="1:18" ht="11.25" customHeight="1">
      <c r="A45" s="1641" t="s">
        <v>780</v>
      </c>
      <c r="B45" s="1167"/>
      <c r="C45" s="2230">
        <v>939615.12</v>
      </c>
      <c r="D45" s="2376">
        <v>1177429</v>
      </c>
      <c r="E45" s="2236">
        <v>670804</v>
      </c>
      <c r="F45" s="1710">
        <v>4837449</v>
      </c>
      <c r="G45" s="1708">
        <v>593767</v>
      </c>
      <c r="H45" s="1708">
        <v>593767</v>
      </c>
      <c r="I45" s="2333">
        <v>341116</v>
      </c>
      <c r="J45" s="1708">
        <v>359195.14799999999</v>
      </c>
      <c r="K45" s="1711">
        <v>378950.88114000001</v>
      </c>
      <c r="L45" s="373"/>
      <c r="Q45" s="253"/>
      <c r="R45" s="254"/>
    </row>
    <row r="46" spans="1:18" ht="11.25" customHeight="1">
      <c r="A46" s="1641" t="s">
        <v>878</v>
      </c>
      <c r="B46" s="1167"/>
      <c r="C46" s="1709"/>
      <c r="D46" s="2376">
        <v>0</v>
      </c>
      <c r="E46" s="1709"/>
      <c r="F46" s="1710">
        <v>0</v>
      </c>
      <c r="G46" s="1708"/>
      <c r="H46" s="1708"/>
      <c r="I46" s="2333">
        <v>480192</v>
      </c>
      <c r="J46" s="1708">
        <v>505642</v>
      </c>
      <c r="K46" s="1711">
        <v>533452</v>
      </c>
      <c r="L46" s="373"/>
      <c r="Q46" s="253"/>
      <c r="R46" s="254"/>
    </row>
    <row r="47" spans="1:18" ht="11.25" customHeight="1">
      <c r="A47" s="1641" t="s">
        <v>301</v>
      </c>
      <c r="B47" s="1167"/>
      <c r="C47" s="1709"/>
      <c r="D47" s="2376">
        <v>0</v>
      </c>
      <c r="E47" s="1709">
        <v>159346</v>
      </c>
      <c r="F47" s="1710">
        <v>0</v>
      </c>
      <c r="G47" s="1708">
        <v>188879</v>
      </c>
      <c r="H47" s="1708">
        <v>188879</v>
      </c>
      <c r="I47" s="1711">
        <v>173614</v>
      </c>
      <c r="J47" s="1708">
        <v>182816</v>
      </c>
      <c r="K47" s="1711">
        <v>192870</v>
      </c>
      <c r="L47" s="373"/>
      <c r="Q47" s="253"/>
      <c r="R47" s="254"/>
    </row>
    <row r="48" spans="1:18" ht="11.25" customHeight="1">
      <c r="A48" s="1373" t="s">
        <v>154</v>
      </c>
      <c r="B48" s="1167"/>
      <c r="C48" s="1176">
        <f>SUM(C49:C51)</f>
        <v>994.4</v>
      </c>
      <c r="D48" s="1176">
        <f>SUM(D49:D51)</f>
        <v>5454</v>
      </c>
      <c r="E48" s="1176">
        <f>SUM(E49:E51)</f>
        <v>0</v>
      </c>
      <c r="F48" s="1180">
        <f t="shared" ref="F48:K48" si="11">SUM(F49:F51)</f>
        <v>8577</v>
      </c>
      <c r="G48" s="1176">
        <f t="shared" si="11"/>
        <v>0</v>
      </c>
      <c r="H48" s="1592">
        <f t="shared" si="11"/>
        <v>0</v>
      </c>
      <c r="I48" s="1593">
        <f t="shared" si="11"/>
        <v>0</v>
      </c>
      <c r="J48" s="1176">
        <f t="shared" si="11"/>
        <v>0</v>
      </c>
      <c r="K48" s="1592">
        <f t="shared" si="11"/>
        <v>0</v>
      </c>
      <c r="L48" s="373"/>
      <c r="Q48" s="253"/>
      <c r="R48" s="254"/>
    </row>
    <row r="49" spans="1:18" ht="11.25" customHeight="1">
      <c r="A49" s="1641" t="s">
        <v>772</v>
      </c>
      <c r="B49" s="1167"/>
      <c r="C49" s="1708"/>
      <c r="D49" s="2376">
        <v>0</v>
      </c>
      <c r="E49" s="1709"/>
      <c r="F49" s="1710"/>
      <c r="G49" s="1708"/>
      <c r="H49" s="1711"/>
      <c r="I49" s="1711"/>
      <c r="J49" s="1708"/>
      <c r="K49" s="1711"/>
      <c r="L49" s="373"/>
      <c r="Q49" s="253"/>
      <c r="R49" s="254"/>
    </row>
    <row r="50" spans="1:18" ht="11.25" customHeight="1">
      <c r="A50" s="1641" t="s">
        <v>773</v>
      </c>
      <c r="B50" s="1167"/>
      <c r="C50" s="1708"/>
      <c r="D50" s="2376">
        <v>0</v>
      </c>
      <c r="E50" s="1709"/>
      <c r="F50" s="1710"/>
      <c r="G50" s="1708"/>
      <c r="H50" s="1711"/>
      <c r="I50" s="1711"/>
      <c r="J50" s="1708"/>
      <c r="K50" s="1711"/>
      <c r="L50" s="373"/>
      <c r="Q50" s="253"/>
      <c r="R50" s="254"/>
    </row>
    <row r="51" spans="1:18" ht="11.25" customHeight="1">
      <c r="A51" s="1641" t="s">
        <v>301</v>
      </c>
      <c r="B51" s="1167"/>
      <c r="C51" s="2230">
        <v>994.4</v>
      </c>
      <c r="D51" s="2376">
        <v>5454</v>
      </c>
      <c r="E51" s="2236"/>
      <c r="F51" s="1710">
        <v>8577</v>
      </c>
      <c r="G51" s="1708"/>
      <c r="H51" s="1711"/>
      <c r="I51" s="2333"/>
      <c r="J51" s="1708"/>
      <c r="K51" s="1711"/>
      <c r="L51" s="373"/>
      <c r="Q51" s="253"/>
      <c r="R51" s="254"/>
    </row>
    <row r="52" spans="1:18" ht="11.25" customHeight="1">
      <c r="A52" s="1314" t="s">
        <v>155</v>
      </c>
      <c r="B52" s="1167"/>
      <c r="C52" s="1381">
        <f>C53+C56+C59+C63</f>
        <v>981515323.88000011</v>
      </c>
      <c r="D52" s="1381">
        <f>D53+D56+D59+D63</f>
        <v>1118015229</v>
      </c>
      <c r="E52" s="1381">
        <f>E53+E56+E59+E63</f>
        <v>1462671512</v>
      </c>
      <c r="F52" s="1385">
        <f t="shared" ref="F52:K52" si="12">F53+F56+F59+F63</f>
        <v>1751464541</v>
      </c>
      <c r="G52" s="1381">
        <f t="shared" si="12"/>
        <v>1985847025</v>
      </c>
      <c r="H52" s="1590">
        <f t="shared" si="12"/>
        <v>1985847025</v>
      </c>
      <c r="I52" s="1591">
        <f t="shared" si="12"/>
        <v>2175745490</v>
      </c>
      <c r="J52" s="1381">
        <f t="shared" si="12"/>
        <v>2362057805.618</v>
      </c>
      <c r="K52" s="1590">
        <f t="shared" si="12"/>
        <v>2496346712.75699</v>
      </c>
      <c r="L52" s="373"/>
      <c r="Q52" s="253"/>
      <c r="R52" s="254"/>
    </row>
    <row r="53" spans="1:18" ht="11.25" customHeight="1">
      <c r="A53" s="1373" t="s">
        <v>690</v>
      </c>
      <c r="B53" s="1167"/>
      <c r="C53" s="1176">
        <f>SUM(C54:C55)</f>
        <v>555919175.08000004</v>
      </c>
      <c r="D53" s="1176">
        <f>SUM(D54:D55)</f>
        <v>668731732</v>
      </c>
      <c r="E53" s="1176">
        <f>SUM(E54:E55)</f>
        <v>945257013</v>
      </c>
      <c r="F53" s="1180">
        <f t="shared" ref="F53:K53" si="13">SUM(F54:F55)</f>
        <v>1111794108</v>
      </c>
      <c r="G53" s="1176">
        <f t="shared" si="13"/>
        <v>1189593256</v>
      </c>
      <c r="H53" s="1592">
        <f t="shared" si="13"/>
        <v>1189593256</v>
      </c>
      <c r="I53" s="1593">
        <f t="shared" si="13"/>
        <v>1336975753</v>
      </c>
      <c r="J53" s="1176">
        <f t="shared" si="13"/>
        <v>1401386845</v>
      </c>
      <c r="K53" s="1592">
        <f t="shared" si="13"/>
        <v>1482838547</v>
      </c>
      <c r="L53" s="373"/>
      <c r="Q53" s="253"/>
      <c r="R53" s="254"/>
    </row>
    <row r="54" spans="1:18" ht="11.25" customHeight="1">
      <c r="A54" s="1641" t="s">
        <v>783</v>
      </c>
      <c r="B54" s="1167"/>
      <c r="C54" s="2230">
        <v>555919175.08000004</v>
      </c>
      <c r="D54" s="2376">
        <v>668731732</v>
      </c>
      <c r="E54" s="2236">
        <v>945257013</v>
      </c>
      <c r="F54" s="1710">
        <v>1111794108</v>
      </c>
      <c r="G54" s="1708">
        <v>1189593256</v>
      </c>
      <c r="H54" s="1708">
        <v>1189593256</v>
      </c>
      <c r="I54" s="2333">
        <v>1336975753</v>
      </c>
      <c r="J54" s="1708">
        <v>1401386845</v>
      </c>
      <c r="K54" s="1711">
        <v>1482838547</v>
      </c>
      <c r="L54" s="373"/>
      <c r="Q54" s="253"/>
      <c r="R54" s="254"/>
    </row>
    <row r="55" spans="1:18" ht="11.25" customHeight="1">
      <c r="A55" s="1641" t="s">
        <v>94</v>
      </c>
      <c r="B55" s="1167"/>
      <c r="C55" s="1708"/>
      <c r="D55" s="1708"/>
      <c r="E55" s="1709"/>
      <c r="F55" s="1710"/>
      <c r="G55" s="1708"/>
      <c r="H55" s="1711"/>
      <c r="I55" s="1712"/>
      <c r="J55" s="1708"/>
      <c r="K55" s="1711"/>
      <c r="L55" s="373"/>
      <c r="Q55" s="253"/>
      <c r="R55" s="254"/>
    </row>
    <row r="56" spans="1:18" ht="11.25" customHeight="1">
      <c r="A56" s="1373" t="s">
        <v>1037</v>
      </c>
      <c r="B56" s="1167"/>
      <c r="C56" s="1176">
        <f>SUM(C57:C58)</f>
        <v>256074496.63</v>
      </c>
      <c r="D56" s="1176">
        <f>SUM(D57:D58)</f>
        <v>294395870</v>
      </c>
      <c r="E56" s="1176">
        <f>SUM(E57:E58)</f>
        <v>307000520</v>
      </c>
      <c r="F56" s="1180">
        <f t="shared" ref="F56:K56" si="14">SUM(F57:F58)</f>
        <v>306344098</v>
      </c>
      <c r="G56" s="1176">
        <f t="shared" si="14"/>
        <v>430303484</v>
      </c>
      <c r="H56" s="1592">
        <f t="shared" si="14"/>
        <v>430303484</v>
      </c>
      <c r="I56" s="1593">
        <f t="shared" si="14"/>
        <v>536525684</v>
      </c>
      <c r="J56" s="1176">
        <f t="shared" si="14"/>
        <v>642407972</v>
      </c>
      <c r="K56" s="1592">
        <f t="shared" si="14"/>
        <v>677740714</v>
      </c>
      <c r="L56" s="373"/>
      <c r="Q56" s="253"/>
      <c r="R56" s="254"/>
    </row>
    <row r="57" spans="1:18" ht="11.25" customHeight="1">
      <c r="A57" s="1641" t="s">
        <v>781</v>
      </c>
      <c r="B57" s="1167"/>
      <c r="C57" s="2230">
        <v>256074496.63</v>
      </c>
      <c r="D57" s="2376">
        <v>294395870</v>
      </c>
      <c r="E57" s="2236">
        <v>307000520</v>
      </c>
      <c r="F57" s="1710">
        <v>306344098</v>
      </c>
      <c r="G57" s="1708">
        <v>430303484</v>
      </c>
      <c r="H57" s="1708">
        <v>430303484</v>
      </c>
      <c r="I57" s="2333">
        <v>536525684</v>
      </c>
      <c r="J57" s="1708">
        <v>642407972</v>
      </c>
      <c r="K57" s="1711">
        <v>677740714</v>
      </c>
      <c r="L57" s="373"/>
      <c r="Q57" s="253"/>
      <c r="R57" s="254"/>
    </row>
    <row r="58" spans="1:18" ht="11.25" customHeight="1">
      <c r="A58" s="1641" t="s">
        <v>782</v>
      </c>
      <c r="B58" s="1167"/>
      <c r="C58" s="1708"/>
      <c r="D58" s="1708"/>
      <c r="E58" s="1709"/>
      <c r="F58" s="1710"/>
      <c r="G58" s="1708"/>
      <c r="H58" s="1711"/>
      <c r="I58" s="1712"/>
      <c r="J58" s="1708"/>
      <c r="K58" s="1711"/>
      <c r="L58" s="373"/>
      <c r="Q58" s="253"/>
      <c r="R58" s="254"/>
    </row>
    <row r="59" spans="1:18" ht="11.25" customHeight="1">
      <c r="A59" s="1373" t="s">
        <v>1225</v>
      </c>
      <c r="B59" s="1167"/>
      <c r="C59" s="1176">
        <f>SUM(C60:C62)</f>
        <v>83209.59</v>
      </c>
      <c r="D59" s="1176">
        <f>SUM(D60:D62)</f>
        <v>1516</v>
      </c>
      <c r="E59" s="1176">
        <f>SUM(E60:E62)</f>
        <v>144854613</v>
      </c>
      <c r="F59" s="1180">
        <f t="shared" ref="F59:K59" si="15">SUM(F60:F62)</f>
        <v>1599</v>
      </c>
      <c r="G59" s="1176">
        <f t="shared" si="15"/>
        <v>249292321</v>
      </c>
      <c r="H59" s="1592">
        <f t="shared" si="15"/>
        <v>249292321</v>
      </c>
      <c r="I59" s="1593">
        <f t="shared" si="15"/>
        <v>177408286</v>
      </c>
      <c r="J59" s="1176">
        <f t="shared" si="15"/>
        <v>186810925.618</v>
      </c>
      <c r="K59" s="1592">
        <f t="shared" si="15"/>
        <v>197085525.75698999</v>
      </c>
      <c r="L59" s="373"/>
      <c r="Q59" s="253"/>
      <c r="R59" s="254"/>
    </row>
    <row r="60" spans="1:18" ht="11.25" customHeight="1">
      <c r="A60" s="1641" t="s">
        <v>775</v>
      </c>
      <c r="B60" s="1167"/>
      <c r="C60" s="1708"/>
      <c r="D60" s="2376">
        <v>0</v>
      </c>
      <c r="E60" s="1709">
        <v>144850885</v>
      </c>
      <c r="F60" s="1710"/>
      <c r="G60" s="1708">
        <v>249290722</v>
      </c>
      <c r="H60" s="1708">
        <v>249290722</v>
      </c>
      <c r="I60" s="1712">
        <v>177408180</v>
      </c>
      <c r="J60" s="1708">
        <v>186810814</v>
      </c>
      <c r="K60" s="1711">
        <v>197085408</v>
      </c>
      <c r="L60" s="373"/>
      <c r="Q60" s="253"/>
      <c r="R60" s="254"/>
    </row>
    <row r="61" spans="1:18" ht="11.25" customHeight="1">
      <c r="A61" s="1641" t="s">
        <v>776</v>
      </c>
      <c r="B61" s="1167"/>
      <c r="C61" s="2230">
        <v>83209.59</v>
      </c>
      <c r="D61" s="2376">
        <v>1516</v>
      </c>
      <c r="E61" s="2236">
        <v>3728</v>
      </c>
      <c r="F61" s="1710">
        <v>1599</v>
      </c>
      <c r="G61" s="1708">
        <v>1599</v>
      </c>
      <c r="H61" s="1708">
        <v>1599</v>
      </c>
      <c r="I61" s="1712">
        <v>106</v>
      </c>
      <c r="J61" s="1708">
        <v>111.61799999999999</v>
      </c>
      <c r="K61" s="1711">
        <v>117.75699</v>
      </c>
      <c r="L61" s="373"/>
      <c r="Q61" s="253"/>
      <c r="R61" s="254"/>
    </row>
    <row r="62" spans="1:18" ht="11.25" customHeight="1">
      <c r="A62" s="1641" t="s">
        <v>777</v>
      </c>
      <c r="B62" s="1167"/>
      <c r="C62" s="1708"/>
      <c r="D62" s="2376">
        <v>0</v>
      </c>
      <c r="E62" s="1709"/>
      <c r="F62" s="1710"/>
      <c r="G62" s="1708"/>
      <c r="H62" s="1711"/>
      <c r="I62" s="1712"/>
      <c r="J62" s="1708"/>
      <c r="K62" s="1711"/>
      <c r="L62" s="373"/>
      <c r="Q62" s="253"/>
      <c r="R62" s="254"/>
    </row>
    <row r="63" spans="1:18" ht="11.25" customHeight="1">
      <c r="A63" s="1373" t="s">
        <v>1226</v>
      </c>
      <c r="B63" s="1167"/>
      <c r="C63" s="1176">
        <f>SUM(C64)</f>
        <v>169438442.58000001</v>
      </c>
      <c r="D63" s="1176">
        <f>SUM(D64)</f>
        <v>154886111</v>
      </c>
      <c r="E63" s="1176">
        <f>SUM(E64)</f>
        <v>65559366</v>
      </c>
      <c r="F63" s="1180">
        <f t="shared" ref="F63:K63" si="16">SUM(F64)</f>
        <v>333324736</v>
      </c>
      <c r="G63" s="1176">
        <f t="shared" si="16"/>
        <v>116657964</v>
      </c>
      <c r="H63" s="1592">
        <f t="shared" si="16"/>
        <v>116657964</v>
      </c>
      <c r="I63" s="1593">
        <f t="shared" si="16"/>
        <v>124835767</v>
      </c>
      <c r="J63" s="1176">
        <f t="shared" si="16"/>
        <v>131452063</v>
      </c>
      <c r="K63" s="1592">
        <f t="shared" si="16"/>
        <v>138681926</v>
      </c>
      <c r="L63" s="373"/>
      <c r="Q63" s="253"/>
      <c r="R63" s="254"/>
    </row>
    <row r="64" spans="1:18" ht="11.25" customHeight="1">
      <c r="A64" s="1641" t="s">
        <v>774</v>
      </c>
      <c r="B64" s="1167"/>
      <c r="C64" s="2230">
        <v>169438442.58000001</v>
      </c>
      <c r="D64" s="2376">
        <v>154886111</v>
      </c>
      <c r="E64" s="2236">
        <v>65559366</v>
      </c>
      <c r="F64" s="1710">
        <v>333324736</v>
      </c>
      <c r="G64" s="1708">
        <v>116657964</v>
      </c>
      <c r="H64" s="1708">
        <v>116657964</v>
      </c>
      <c r="I64" s="2333">
        <v>124835767</v>
      </c>
      <c r="J64" s="1708">
        <v>131452063</v>
      </c>
      <c r="K64" s="1711">
        <v>138681926</v>
      </c>
      <c r="L64" s="373"/>
      <c r="Q64" s="253"/>
      <c r="R64" s="254"/>
    </row>
    <row r="65" spans="1:18" ht="11.25" customHeight="1">
      <c r="A65" s="1314" t="s">
        <v>301</v>
      </c>
      <c r="B65" s="1167"/>
      <c r="C65" s="1381">
        <f>SUM(C66:C70)</f>
        <v>27617259.280000001</v>
      </c>
      <c r="D65" s="1381">
        <f>SUM(D66:D70)</f>
        <v>18039413</v>
      </c>
      <c r="E65" s="1381">
        <f>SUM(E66:E70)</f>
        <v>29661732</v>
      </c>
      <c r="F65" s="1385">
        <f t="shared" ref="F65:K65" si="17">SUM(F66:F70)</f>
        <v>19344427</v>
      </c>
      <c r="G65" s="1381">
        <f t="shared" si="17"/>
        <v>30945379</v>
      </c>
      <c r="H65" s="1590">
        <f t="shared" si="17"/>
        <v>30945379</v>
      </c>
      <c r="I65" s="1591">
        <f t="shared" si="17"/>
        <v>32669282</v>
      </c>
      <c r="J65" s="1381">
        <f t="shared" si="17"/>
        <v>33426537.456</v>
      </c>
      <c r="K65" s="1590">
        <f t="shared" si="17"/>
        <v>35263941.591080002</v>
      </c>
      <c r="L65" s="373"/>
      <c r="Q65" s="253"/>
      <c r="R65" s="254"/>
    </row>
    <row r="66" spans="1:18" ht="11.25" customHeight="1">
      <c r="A66" s="1373" t="s">
        <v>95</v>
      </c>
      <c r="B66" s="1167"/>
      <c r="C66" s="2230">
        <v>2693252</v>
      </c>
      <c r="D66" s="2376">
        <v>2700058</v>
      </c>
      <c r="E66" s="2236">
        <v>2255854</v>
      </c>
      <c r="F66" s="1710">
        <v>2204086</v>
      </c>
      <c r="G66" s="1708">
        <v>2204086</v>
      </c>
      <c r="H66" s="1708">
        <v>2204086</v>
      </c>
      <c r="I66" s="2333">
        <v>3383316</v>
      </c>
      <c r="J66" s="1708">
        <v>2587415</v>
      </c>
      <c r="K66" s="1711">
        <v>2729723</v>
      </c>
      <c r="L66" s="373"/>
      <c r="Q66" s="253"/>
      <c r="R66" s="254"/>
    </row>
    <row r="67" spans="1:18" ht="11.25" customHeight="1">
      <c r="A67" s="1373" t="s">
        <v>1350</v>
      </c>
      <c r="B67" s="1167"/>
      <c r="C67" s="1709"/>
      <c r="D67" s="2376">
        <v>0</v>
      </c>
      <c r="E67" s="1709"/>
      <c r="F67" s="1710">
        <v>0</v>
      </c>
      <c r="G67" s="1708"/>
      <c r="H67" s="1708"/>
      <c r="I67" s="1711"/>
      <c r="J67" s="1708"/>
      <c r="K67" s="1711"/>
      <c r="L67" s="373"/>
      <c r="Q67" s="253"/>
      <c r="R67" s="254"/>
    </row>
    <row r="68" spans="1:18" ht="11.25" customHeight="1">
      <c r="A68" s="1373" t="s">
        <v>664</v>
      </c>
      <c r="B68" s="1167"/>
      <c r="C68" s="1709"/>
      <c r="D68" s="2376">
        <v>0</v>
      </c>
      <c r="E68" s="1709"/>
      <c r="F68" s="1710">
        <v>0</v>
      </c>
      <c r="G68" s="1708"/>
      <c r="H68" s="1708"/>
      <c r="I68" s="1711"/>
      <c r="J68" s="1708"/>
      <c r="K68" s="1711"/>
      <c r="L68" s="373"/>
      <c r="Q68" s="253"/>
      <c r="R68" s="254"/>
    </row>
    <row r="69" spans="1:18" ht="11.25" customHeight="1">
      <c r="A69" s="1373" t="s">
        <v>96</v>
      </c>
      <c r="B69" s="1231"/>
      <c r="C69" s="2230">
        <v>10278274.09</v>
      </c>
      <c r="D69" s="2376">
        <v>0</v>
      </c>
      <c r="E69" s="2236">
        <v>10327267</v>
      </c>
      <c r="F69" s="1710">
        <v>0</v>
      </c>
      <c r="G69" s="1708">
        <v>11600952</v>
      </c>
      <c r="H69" s="1708">
        <v>11600952</v>
      </c>
      <c r="I69" s="2333">
        <v>11600952</v>
      </c>
      <c r="J69" s="1708">
        <v>12215802.456</v>
      </c>
      <c r="K69" s="1711">
        <v>12887671.591080001</v>
      </c>
      <c r="L69" s="373"/>
      <c r="Q69" s="253"/>
      <c r="R69" s="254"/>
    </row>
    <row r="70" spans="1:18" ht="11.25" customHeight="1">
      <c r="A70" s="1373" t="s">
        <v>1351</v>
      </c>
      <c r="B70" s="1231"/>
      <c r="C70" s="2230">
        <v>14645733.189999999</v>
      </c>
      <c r="D70" s="2376">
        <v>15339355</v>
      </c>
      <c r="E70" s="2236">
        <v>17078611</v>
      </c>
      <c r="F70" s="1710">
        <v>17140341</v>
      </c>
      <c r="G70" s="1708">
        <v>17140341</v>
      </c>
      <c r="H70" s="1708">
        <v>17140341</v>
      </c>
      <c r="I70" s="2333">
        <v>17685014</v>
      </c>
      <c r="J70" s="1708">
        <v>18623320</v>
      </c>
      <c r="K70" s="1711">
        <v>19646547</v>
      </c>
      <c r="L70" s="373"/>
      <c r="Q70" s="253"/>
      <c r="R70" s="254"/>
    </row>
    <row r="71" spans="1:18" ht="11.25" customHeight="1">
      <c r="A71" s="1232" t="str">
        <f>"Total "&amp;A4</f>
        <v>Total Revenue - Standard</v>
      </c>
      <c r="B71" s="1231">
        <v>2</v>
      </c>
      <c r="C71" s="268">
        <f>C5+C15+C37+C52+C65</f>
        <v>1623480008.99</v>
      </c>
      <c r="D71" s="268">
        <f>D5+D15+D37+D52+D65</f>
        <v>1831298359</v>
      </c>
      <c r="E71" s="268">
        <f>E5+E15+E37+E52+E65</f>
        <v>2506169442</v>
      </c>
      <c r="F71" s="271">
        <f t="shared" ref="F71:K71" si="18">F5+F15+F37+F52+F65</f>
        <v>2388409200</v>
      </c>
      <c r="G71" s="268">
        <f t="shared" si="18"/>
        <v>3035568222</v>
      </c>
      <c r="H71" s="1601">
        <f t="shared" si="18"/>
        <v>3035568222</v>
      </c>
      <c r="I71" s="1602">
        <f t="shared" si="18"/>
        <v>3339196373</v>
      </c>
      <c r="J71" s="268">
        <f t="shared" si="18"/>
        <v>3551208161.9319997</v>
      </c>
      <c r="K71" s="1601">
        <f t="shared" si="18"/>
        <v>3711691032.12326</v>
      </c>
      <c r="L71" s="373"/>
      <c r="Q71" s="272"/>
      <c r="R71" s="273"/>
    </row>
    <row r="72" spans="1:18" ht="5.0999999999999996" customHeight="1">
      <c r="A72" s="1190"/>
      <c r="B72" s="1231"/>
      <c r="C72" s="2347"/>
      <c r="D72" s="2347"/>
      <c r="E72" s="2348"/>
      <c r="F72" s="2349"/>
      <c r="G72" s="2347"/>
      <c r="H72" s="2350"/>
      <c r="I72" s="2351"/>
      <c r="J72" s="2347"/>
      <c r="K72" s="2348"/>
      <c r="L72" s="373"/>
      <c r="Q72" s="246"/>
    </row>
    <row r="73" spans="1:18" ht="11.25" customHeight="1">
      <c r="A73" s="1166" t="s">
        <v>454</v>
      </c>
      <c r="B73" s="1233"/>
      <c r="C73" s="2347"/>
      <c r="D73" s="2347"/>
      <c r="E73" s="2348"/>
      <c r="F73" s="2349"/>
      <c r="G73" s="2347"/>
      <c r="H73" s="2350"/>
      <c r="I73" s="2351"/>
      <c r="J73" s="2347"/>
      <c r="K73" s="2348"/>
      <c r="L73" s="373"/>
      <c r="Q73" s="246"/>
    </row>
    <row r="74" spans="1:18" ht="11.25" customHeight="1">
      <c r="A74" s="1314" t="str">
        <f>A5</f>
        <v>Municipal governance and administration</v>
      </c>
      <c r="B74" s="1233"/>
      <c r="C74" s="1381">
        <f t="shared" ref="C74:K74" si="19">C75+C78+C79</f>
        <v>127736388.77999979</v>
      </c>
      <c r="D74" s="1381">
        <f t="shared" si="19"/>
        <v>139906049</v>
      </c>
      <c r="E74" s="1381">
        <f t="shared" si="19"/>
        <v>514290194</v>
      </c>
      <c r="F74" s="1385">
        <f t="shared" si="19"/>
        <v>373700139</v>
      </c>
      <c r="G74" s="1381">
        <f t="shared" si="19"/>
        <v>717829017</v>
      </c>
      <c r="H74" s="1590">
        <f t="shared" si="19"/>
        <v>717829017</v>
      </c>
      <c r="I74" s="1591">
        <f t="shared" si="19"/>
        <v>862869648</v>
      </c>
      <c r="J74" s="1381">
        <f t="shared" si="19"/>
        <v>856789856</v>
      </c>
      <c r="K74" s="1590">
        <f t="shared" si="19"/>
        <v>901150785</v>
      </c>
      <c r="L74" s="373"/>
      <c r="Q74" s="246"/>
    </row>
    <row r="75" spans="1:18" ht="11.25" customHeight="1">
      <c r="A75" s="1373" t="str">
        <f t="shared" ref="A75:A138" si="20">A6</f>
        <v>Executive and council</v>
      </c>
      <c r="B75" s="1233"/>
      <c r="C75" s="1139">
        <f t="shared" ref="C75:K75" si="21">SUM(C76:C77)</f>
        <v>1785041.7599999956</v>
      </c>
      <c r="D75" s="1139">
        <f t="shared" si="21"/>
        <v>4139993</v>
      </c>
      <c r="E75" s="1139">
        <f t="shared" si="21"/>
        <v>0</v>
      </c>
      <c r="F75" s="1143">
        <f t="shared" si="21"/>
        <v>43864219</v>
      </c>
      <c r="G75" s="1139">
        <f t="shared" si="21"/>
        <v>2860482</v>
      </c>
      <c r="H75" s="1188">
        <f t="shared" si="21"/>
        <v>2860482</v>
      </c>
      <c r="I75" s="1468">
        <f t="shared" si="21"/>
        <v>69786620</v>
      </c>
      <c r="J75" s="1139">
        <f t="shared" si="21"/>
        <v>73537220</v>
      </c>
      <c r="K75" s="1188">
        <f t="shared" si="21"/>
        <v>77587950</v>
      </c>
      <c r="L75" s="373"/>
      <c r="Q75" s="246"/>
    </row>
    <row r="76" spans="1:18" ht="11.25" customHeight="1">
      <c r="A76" s="1641" t="str">
        <f t="shared" si="20"/>
        <v>Mayor and Council</v>
      </c>
      <c r="B76" s="1233"/>
      <c r="C76" s="2232">
        <v>1760530.7199999955</v>
      </c>
      <c r="D76" s="2376">
        <v>-4</v>
      </c>
      <c r="E76" s="1709">
        <v>0</v>
      </c>
      <c r="F76" s="1710">
        <v>30101993</v>
      </c>
      <c r="G76" s="1708">
        <v>2784756</v>
      </c>
      <c r="H76" s="1708">
        <v>2784756</v>
      </c>
      <c r="I76" s="2335">
        <v>54874091</v>
      </c>
      <c r="J76" s="1708">
        <v>57914766</v>
      </c>
      <c r="K76" s="1711">
        <v>61219089</v>
      </c>
      <c r="L76" s="373"/>
      <c r="Q76" s="246"/>
    </row>
    <row r="77" spans="1:18" ht="11.25" customHeight="1">
      <c r="A77" s="1641" t="str">
        <f t="shared" si="20"/>
        <v>Municipal Manager</v>
      </c>
      <c r="B77" s="1233"/>
      <c r="C77" s="2232">
        <v>24511.040000000037</v>
      </c>
      <c r="D77" s="2376">
        <v>4139997</v>
      </c>
      <c r="E77" s="1709">
        <v>0</v>
      </c>
      <c r="F77" s="1710">
        <v>13762226</v>
      </c>
      <c r="G77" s="1708">
        <v>75726</v>
      </c>
      <c r="H77" s="1708">
        <v>75726</v>
      </c>
      <c r="I77" s="2335">
        <v>14912529</v>
      </c>
      <c r="J77" s="1708">
        <v>15622454</v>
      </c>
      <c r="K77" s="1711">
        <v>16368861</v>
      </c>
      <c r="L77" s="373"/>
      <c r="Q77" s="246"/>
    </row>
    <row r="78" spans="1:18" ht="11.25" customHeight="1">
      <c r="A78" s="1373" t="str">
        <f t="shared" si="20"/>
        <v>Budget and treasury office</v>
      </c>
      <c r="B78" s="1233"/>
      <c r="C78" s="2233">
        <v>124352851.89999989</v>
      </c>
      <c r="D78" s="2377">
        <v>134346017</v>
      </c>
      <c r="E78" s="1714">
        <v>448665449</v>
      </c>
      <c r="F78" s="1715">
        <v>249331382</v>
      </c>
      <c r="G78" s="1713">
        <v>655028725</v>
      </c>
      <c r="H78" s="1713">
        <v>655028725</v>
      </c>
      <c r="I78" s="2336">
        <f>610337456+790000</f>
        <v>611127456</v>
      </c>
      <c r="J78" s="1713">
        <f>570082765+800000</f>
        <v>570882765</v>
      </c>
      <c r="K78" s="1716">
        <f>598837931+900000</f>
        <v>599737931</v>
      </c>
      <c r="L78" s="373"/>
      <c r="Q78" s="246"/>
    </row>
    <row r="79" spans="1:18" ht="11.25" customHeight="1">
      <c r="A79" s="1373" t="str">
        <f t="shared" si="20"/>
        <v>Corporate services</v>
      </c>
      <c r="B79" s="1233"/>
      <c r="C79" s="1139">
        <f t="shared" ref="C79:K79" si="22">SUM(C80:C83)</f>
        <v>1598495.1199999221</v>
      </c>
      <c r="D79" s="1139">
        <f t="shared" si="22"/>
        <v>1420039</v>
      </c>
      <c r="E79" s="1139">
        <f t="shared" si="22"/>
        <v>65624745</v>
      </c>
      <c r="F79" s="1143">
        <f t="shared" si="22"/>
        <v>80504538</v>
      </c>
      <c r="G79" s="1139">
        <f t="shared" si="22"/>
        <v>59939810</v>
      </c>
      <c r="H79" s="1188">
        <f t="shared" si="22"/>
        <v>59939810</v>
      </c>
      <c r="I79" s="1468">
        <f t="shared" si="22"/>
        <v>181955572</v>
      </c>
      <c r="J79" s="1139">
        <f t="shared" si="22"/>
        <v>212369871</v>
      </c>
      <c r="K79" s="1188">
        <f t="shared" si="22"/>
        <v>223824904</v>
      </c>
      <c r="L79" s="373"/>
      <c r="Q79" s="246"/>
    </row>
    <row r="80" spans="1:18" ht="11.25" customHeight="1">
      <c r="A80" s="1641" t="str">
        <f t="shared" si="20"/>
        <v>Human Resources</v>
      </c>
      <c r="B80" s="1233"/>
      <c r="C80" s="2232">
        <v>1225715.0599999223</v>
      </c>
      <c r="D80" s="2376">
        <v>1419295</v>
      </c>
      <c r="E80" s="1709">
        <v>10051</v>
      </c>
      <c r="F80" s="1710">
        <v>66334678</v>
      </c>
      <c r="G80" s="1708">
        <v>152628</v>
      </c>
      <c r="H80" s="1708">
        <v>152628</v>
      </c>
      <c r="I80" s="2335">
        <v>30927070</v>
      </c>
      <c r="J80" s="1708">
        <v>32791126</v>
      </c>
      <c r="K80" s="1711">
        <v>34772234</v>
      </c>
      <c r="L80" s="373"/>
      <c r="Q80" s="246"/>
    </row>
    <row r="81" spans="1:17" ht="11.25" customHeight="1">
      <c r="A81" s="1641" t="str">
        <f t="shared" si="20"/>
        <v>Information Technology</v>
      </c>
      <c r="B81" s="1233"/>
      <c r="C81" s="2232">
        <v>396241.08999999985</v>
      </c>
      <c r="D81" s="2376">
        <v>744</v>
      </c>
      <c r="E81" s="1709">
        <v>-6496</v>
      </c>
      <c r="F81" s="1710">
        <v>14169860</v>
      </c>
      <c r="G81" s="1708">
        <v>-2923411</v>
      </c>
      <c r="H81" s="1708">
        <v>-2923411</v>
      </c>
      <c r="I81" s="2335">
        <v>31476414</v>
      </c>
      <c r="J81" s="1708">
        <v>39944815</v>
      </c>
      <c r="K81" s="1711">
        <v>42007061</v>
      </c>
      <c r="L81" s="373"/>
      <c r="Q81" s="246"/>
    </row>
    <row r="82" spans="1:17" ht="11.25" customHeight="1">
      <c r="A82" s="1641" t="str">
        <f t="shared" si="20"/>
        <v>Property Services</v>
      </c>
      <c r="B82" s="1233"/>
      <c r="C82" s="2232"/>
      <c r="D82" s="2376">
        <v>0</v>
      </c>
      <c r="E82" s="1709">
        <v>25762376</v>
      </c>
      <c r="F82" s="1710"/>
      <c r="G82" s="1708">
        <v>29130123</v>
      </c>
      <c r="H82" s="1708">
        <v>29130123</v>
      </c>
      <c r="I82" s="2335">
        <v>53481765</v>
      </c>
      <c r="J82" s="1708">
        <v>42334271</v>
      </c>
      <c r="K82" s="1711">
        <v>43473809</v>
      </c>
      <c r="L82" s="373"/>
      <c r="Q82" s="246"/>
    </row>
    <row r="83" spans="1:17" ht="11.25" customHeight="1">
      <c r="A83" s="1641" t="str">
        <f t="shared" si="20"/>
        <v>Other Admin</v>
      </c>
      <c r="B83" s="1233"/>
      <c r="C83" s="2232">
        <v>-23461.03</v>
      </c>
      <c r="D83" s="2376">
        <v>0</v>
      </c>
      <c r="E83" s="1709">
        <f>55+37765141+1107500+986118</f>
        <v>39858814</v>
      </c>
      <c r="F83" s="1710"/>
      <c r="G83" s="1708">
        <f>32328015+1252455</f>
        <v>33580470</v>
      </c>
      <c r="H83" s="1708">
        <f>32328015+1252455</f>
        <v>33580470</v>
      </c>
      <c r="I83" s="2335">
        <f>64965477+1104846</f>
        <v>66070323</v>
      </c>
      <c r="J83" s="1708">
        <f>96119575+1180084</f>
        <v>97299659</v>
      </c>
      <c r="K83" s="1711">
        <f>102311310+1260490</f>
        <v>103571800</v>
      </c>
      <c r="L83" s="373"/>
      <c r="Q83" s="246"/>
    </row>
    <row r="84" spans="1:17" ht="11.25" customHeight="1">
      <c r="A84" s="1314" t="str">
        <f t="shared" si="20"/>
        <v>Community and public safety</v>
      </c>
      <c r="B84" s="1233"/>
      <c r="C84" s="1381">
        <f t="shared" ref="C84:K84" si="23">C85+C94+C95+C101+C102</f>
        <v>253471326.40000004</v>
      </c>
      <c r="D84" s="1381">
        <f t="shared" si="23"/>
        <v>341783066</v>
      </c>
      <c r="E84" s="1381">
        <f t="shared" si="23"/>
        <v>419190375</v>
      </c>
      <c r="F84" s="1385">
        <f t="shared" si="23"/>
        <v>236328882</v>
      </c>
      <c r="G84" s="1381">
        <f t="shared" si="23"/>
        <v>352582860</v>
      </c>
      <c r="H84" s="1590">
        <f t="shared" si="23"/>
        <v>352582860</v>
      </c>
      <c r="I84" s="1591">
        <f t="shared" si="23"/>
        <v>394983571</v>
      </c>
      <c r="J84" s="1381">
        <f t="shared" si="23"/>
        <v>442857933</v>
      </c>
      <c r="K84" s="1590">
        <f t="shared" si="23"/>
        <v>482845802.10399997</v>
      </c>
      <c r="L84" s="373"/>
      <c r="Q84" s="246"/>
    </row>
    <row r="85" spans="1:17" ht="11.25" customHeight="1">
      <c r="A85" s="1373" t="str">
        <f t="shared" si="20"/>
        <v>Community and social services</v>
      </c>
      <c r="B85" s="1233"/>
      <c r="C85" s="1176">
        <f t="shared" ref="C85:K85" si="24">SUM(C86:C93)</f>
        <v>35751412.830000006</v>
      </c>
      <c r="D85" s="1176">
        <f t="shared" si="24"/>
        <v>57266811</v>
      </c>
      <c r="E85" s="1176">
        <f t="shared" si="24"/>
        <v>40432287</v>
      </c>
      <c r="F85" s="1180">
        <f t="shared" si="24"/>
        <v>55493635</v>
      </c>
      <c r="G85" s="1176">
        <f t="shared" si="24"/>
        <v>33615745</v>
      </c>
      <c r="H85" s="1592">
        <f t="shared" si="24"/>
        <v>33615745</v>
      </c>
      <c r="I85" s="1593">
        <f t="shared" si="24"/>
        <v>44542678</v>
      </c>
      <c r="J85" s="1176">
        <f t="shared" si="24"/>
        <v>56799263</v>
      </c>
      <c r="K85" s="1592">
        <f t="shared" si="24"/>
        <v>70173541.104000002</v>
      </c>
      <c r="L85" s="373"/>
      <c r="Q85" s="246"/>
    </row>
    <row r="86" spans="1:17" ht="11.25" customHeight="1">
      <c r="A86" s="1641" t="str">
        <f t="shared" si="20"/>
        <v>Libraries and Archives</v>
      </c>
      <c r="B86" s="1233"/>
      <c r="C86" s="2232">
        <v>232655.45000000019</v>
      </c>
      <c r="D86" s="2376">
        <v>20356683</v>
      </c>
      <c r="E86" s="1709">
        <v>26066455</v>
      </c>
      <c r="F86" s="1710">
        <v>21347683</v>
      </c>
      <c r="G86" s="1708">
        <v>24390009</v>
      </c>
      <c r="H86" s="1708">
        <v>24390009</v>
      </c>
      <c r="I86" s="2335">
        <v>31259492</v>
      </c>
      <c r="J86" s="1708">
        <v>42708472</v>
      </c>
      <c r="K86" s="1711">
        <v>55245067</v>
      </c>
      <c r="L86" s="373"/>
      <c r="Q86" s="246"/>
    </row>
    <row r="87" spans="1:17" ht="11.25" customHeight="1">
      <c r="A87" s="1641" t="str">
        <f t="shared" si="20"/>
        <v>Museums &amp; Art Galleries etc</v>
      </c>
      <c r="B87" s="1233"/>
      <c r="C87" s="2232">
        <v>16446919.23</v>
      </c>
      <c r="D87" s="2376">
        <v>4005577</v>
      </c>
      <c r="E87" s="1709">
        <v>4092955</v>
      </c>
      <c r="F87" s="1710">
        <v>2616930</v>
      </c>
      <c r="G87" s="1708">
        <v>3859520</v>
      </c>
      <c r="H87" s="1708">
        <v>3859520</v>
      </c>
      <c r="I87" s="2335">
        <v>5925479</v>
      </c>
      <c r="J87" s="1708">
        <v>6270537</v>
      </c>
      <c r="K87" s="1711">
        <v>6639877</v>
      </c>
      <c r="L87" s="373"/>
      <c r="Q87" s="246"/>
    </row>
    <row r="88" spans="1:17" ht="11.25" customHeight="1">
      <c r="A88" s="1641" t="str">
        <f t="shared" si="20"/>
        <v>Community halls and Facilities</v>
      </c>
      <c r="B88" s="1233"/>
      <c r="C88" s="2232">
        <v>1660673.32</v>
      </c>
      <c r="D88" s="2376">
        <v>9854713</v>
      </c>
      <c r="E88" s="1709"/>
      <c r="F88" s="1710">
        <v>8815214</v>
      </c>
      <c r="G88" s="1708"/>
      <c r="H88" s="1708"/>
      <c r="I88" s="2335"/>
      <c r="J88" s="1708"/>
      <c r="K88" s="1711"/>
      <c r="L88" s="373"/>
      <c r="Q88" s="246"/>
    </row>
    <row r="89" spans="1:17" ht="11.25" customHeight="1">
      <c r="A89" s="1641" t="str">
        <f t="shared" si="20"/>
        <v>Cemeteries &amp; Crematoriums</v>
      </c>
      <c r="B89" s="1233"/>
      <c r="C89" s="2232">
        <v>4693937.580000001</v>
      </c>
      <c r="D89" s="2376">
        <v>5567100</v>
      </c>
      <c r="E89" s="1709">
        <v>7451828</v>
      </c>
      <c r="F89" s="1710">
        <v>4576638</v>
      </c>
      <c r="G89" s="1708">
        <v>5132386</v>
      </c>
      <c r="H89" s="1708">
        <v>5132386</v>
      </c>
      <c r="I89" s="2335">
        <v>6974761</v>
      </c>
      <c r="J89" s="1708">
        <v>7416623</v>
      </c>
      <c r="K89" s="1711">
        <v>7863127</v>
      </c>
      <c r="L89" s="373"/>
      <c r="Q89" s="246"/>
    </row>
    <row r="90" spans="1:17" ht="11.25" customHeight="1">
      <c r="A90" s="1641" t="str">
        <f t="shared" si="20"/>
        <v>Child Care</v>
      </c>
      <c r="B90" s="1233"/>
      <c r="C90" s="1709"/>
      <c r="D90" s="2376">
        <v>0</v>
      </c>
      <c r="E90" s="1709"/>
      <c r="F90" s="1710">
        <v>0</v>
      </c>
      <c r="G90" s="1708"/>
      <c r="H90" s="1708"/>
      <c r="I90" s="1711"/>
      <c r="J90" s="1708"/>
      <c r="K90" s="1711"/>
      <c r="L90" s="373"/>
      <c r="Q90" s="246"/>
    </row>
    <row r="91" spans="1:17" ht="11.25" customHeight="1">
      <c r="A91" s="1641" t="str">
        <f t="shared" si="20"/>
        <v>Aged Care</v>
      </c>
      <c r="B91" s="1233"/>
      <c r="C91" s="1709"/>
      <c r="D91" s="2376">
        <v>0</v>
      </c>
      <c r="E91" s="1709">
        <v>151766</v>
      </c>
      <c r="F91" s="1710">
        <v>0</v>
      </c>
      <c r="G91" s="1708">
        <v>233830</v>
      </c>
      <c r="H91" s="1708">
        <v>233830</v>
      </c>
      <c r="I91" s="1711">
        <v>181946</v>
      </c>
      <c r="J91" s="1708">
        <v>192983</v>
      </c>
      <c r="K91" s="1711">
        <v>204711</v>
      </c>
      <c r="L91" s="373"/>
      <c r="Q91" s="246"/>
    </row>
    <row r="92" spans="1:17" ht="11.25" customHeight="1">
      <c r="A92" s="1641" t="str">
        <f t="shared" si="20"/>
        <v>Other Community</v>
      </c>
      <c r="B92" s="1233"/>
      <c r="C92" s="2232">
        <v>12717227.250000004</v>
      </c>
      <c r="D92" s="2376">
        <v>17482738</v>
      </c>
      <c r="E92" s="1709"/>
      <c r="F92" s="1710">
        <v>18137170</v>
      </c>
      <c r="G92" s="1708"/>
      <c r="H92" s="1708"/>
      <c r="I92" s="2335"/>
      <c r="J92" s="1708"/>
      <c r="K92" s="1711"/>
      <c r="L92" s="373"/>
      <c r="Q92" s="246"/>
    </row>
    <row r="93" spans="1:17" ht="11.25" customHeight="1">
      <c r="A93" s="1641" t="str">
        <f t="shared" si="20"/>
        <v>Other Social</v>
      </c>
      <c r="B93" s="1233"/>
      <c r="C93" s="1709"/>
      <c r="D93" s="2376"/>
      <c r="E93" s="1709">
        <v>2669283</v>
      </c>
      <c r="F93" s="1710">
        <v>0</v>
      </c>
      <c r="G93" s="1708"/>
      <c r="H93" s="1708"/>
      <c r="I93" s="1711">
        <v>201000</v>
      </c>
      <c r="J93" s="1708">
        <v>210648</v>
      </c>
      <c r="K93" s="1711">
        <v>220759.10400000002</v>
      </c>
      <c r="L93" s="373"/>
      <c r="Q93" s="246"/>
    </row>
    <row r="94" spans="1:17" ht="11.25" customHeight="1">
      <c r="A94" s="1373" t="str">
        <f t="shared" si="20"/>
        <v>Sport and recreation</v>
      </c>
      <c r="B94" s="1233"/>
      <c r="C94" s="2233">
        <v>48688139.559999995</v>
      </c>
      <c r="D94" s="2376">
        <v>62117444</v>
      </c>
      <c r="E94" s="1709">
        <v>85786035</v>
      </c>
      <c r="F94" s="1710">
        <v>43954608</v>
      </c>
      <c r="G94" s="1708">
        <v>69732472</v>
      </c>
      <c r="H94" s="1708">
        <v>69732472</v>
      </c>
      <c r="I94" s="2336">
        <v>91985137</v>
      </c>
      <c r="J94" s="1708">
        <v>102863227</v>
      </c>
      <c r="K94" s="1711">
        <v>108981156</v>
      </c>
      <c r="L94" s="373"/>
      <c r="Q94" s="246"/>
    </row>
    <row r="95" spans="1:17" ht="11.25" customHeight="1">
      <c r="A95" s="1373" t="str">
        <f t="shared" si="20"/>
        <v>Public safety</v>
      </c>
      <c r="B95" s="1233"/>
      <c r="C95" s="1176">
        <f t="shared" ref="C95:K95" si="25">SUM(C96:C100)</f>
        <v>92049133.88000004</v>
      </c>
      <c r="D95" s="1176">
        <f t="shared" si="25"/>
        <v>110892681</v>
      </c>
      <c r="E95" s="1176">
        <f>SUM(E96:E100)</f>
        <v>169145994</v>
      </c>
      <c r="F95" s="1180">
        <f>SUM(F96:F100)</f>
        <v>85398704</v>
      </c>
      <c r="G95" s="1176">
        <f t="shared" si="25"/>
        <v>165532592</v>
      </c>
      <c r="H95" s="1592">
        <f t="shared" si="25"/>
        <v>165532592</v>
      </c>
      <c r="I95" s="1593">
        <f t="shared" si="25"/>
        <v>178175529</v>
      </c>
      <c r="J95" s="1176">
        <f t="shared" si="25"/>
        <v>205737962</v>
      </c>
      <c r="K95" s="1592">
        <f t="shared" si="25"/>
        <v>218747462</v>
      </c>
      <c r="L95" s="373"/>
      <c r="Q95" s="246"/>
    </row>
    <row r="96" spans="1:17" ht="11.25" customHeight="1">
      <c r="A96" s="1641" t="str">
        <f t="shared" si="20"/>
        <v>Police</v>
      </c>
      <c r="B96" s="1233"/>
      <c r="C96" s="2232">
        <v>32352598.640000004</v>
      </c>
      <c r="D96" s="2376">
        <v>40908550</v>
      </c>
      <c r="E96" s="1709">
        <v>103219516</v>
      </c>
      <c r="F96" s="1710">
        <v>36412189</v>
      </c>
      <c r="G96" s="1708">
        <v>98294257</v>
      </c>
      <c r="H96" s="1708">
        <v>98294257</v>
      </c>
      <c r="I96" s="2335">
        <v>103671595</v>
      </c>
      <c r="J96" s="1708">
        <v>108864209</v>
      </c>
      <c r="K96" s="1711">
        <v>115917762</v>
      </c>
      <c r="L96" s="373"/>
      <c r="Q96" s="246"/>
    </row>
    <row r="97" spans="1:17" ht="11.25" customHeight="1">
      <c r="A97" s="1641" t="str">
        <f t="shared" si="20"/>
        <v>Fire</v>
      </c>
      <c r="B97" s="1233"/>
      <c r="C97" s="2232">
        <v>47681920.130000032</v>
      </c>
      <c r="D97" s="2376">
        <v>58786041</v>
      </c>
      <c r="E97" s="1709">
        <v>52144155</v>
      </c>
      <c r="F97" s="1710">
        <v>41827113</v>
      </c>
      <c r="G97" s="1708">
        <v>51171723</v>
      </c>
      <c r="H97" s="1708">
        <v>51171723</v>
      </c>
      <c r="I97" s="2335">
        <v>50199584</v>
      </c>
      <c r="J97" s="1708">
        <v>73147856</v>
      </c>
      <c r="K97" s="1711">
        <v>77769310</v>
      </c>
      <c r="L97" s="373"/>
      <c r="Q97" s="246"/>
    </row>
    <row r="98" spans="1:17" ht="11.25" customHeight="1">
      <c r="A98" s="1641" t="str">
        <f t="shared" si="20"/>
        <v>Civil Defence</v>
      </c>
      <c r="B98" s="1233"/>
      <c r="C98" s="2232">
        <v>10786700.059999999</v>
      </c>
      <c r="D98" s="2376">
        <v>11198090</v>
      </c>
      <c r="E98" s="1709">
        <v>5518984</v>
      </c>
      <c r="F98" s="1710">
        <v>7159402</v>
      </c>
      <c r="G98" s="1708">
        <v>8129844</v>
      </c>
      <c r="H98" s="1708">
        <v>8129844</v>
      </c>
      <c r="I98" s="2335">
        <v>8018832</v>
      </c>
      <c r="J98" s="1708">
        <v>8405031</v>
      </c>
      <c r="K98" s="1711">
        <v>8852408</v>
      </c>
      <c r="L98" s="373"/>
      <c r="Q98" s="246"/>
    </row>
    <row r="99" spans="1:17" ht="11.25" customHeight="1">
      <c r="A99" s="1641" t="str">
        <f t="shared" si="20"/>
        <v>Street Lighting</v>
      </c>
      <c r="B99" s="1233"/>
      <c r="C99" s="1709"/>
      <c r="D99" s="2376">
        <v>0</v>
      </c>
      <c r="E99" s="1709">
        <v>8263339</v>
      </c>
      <c r="F99" s="1710"/>
      <c r="G99" s="1708">
        <v>7987762</v>
      </c>
      <c r="H99" s="1708">
        <v>7987762</v>
      </c>
      <c r="I99" s="1711">
        <v>10371394</v>
      </c>
      <c r="J99" s="1708">
        <v>8997158</v>
      </c>
      <c r="K99" s="1711">
        <v>9446125</v>
      </c>
      <c r="L99" s="373"/>
      <c r="Q99" s="246"/>
    </row>
    <row r="100" spans="1:17" ht="11.25" customHeight="1">
      <c r="A100" s="1641" t="str">
        <f t="shared" si="20"/>
        <v>Other</v>
      </c>
      <c r="B100" s="1233"/>
      <c r="C100" s="2232">
        <v>1227915.0500000007</v>
      </c>
      <c r="D100" s="2376">
        <v>0</v>
      </c>
      <c r="E100" s="1709"/>
      <c r="F100" s="1710"/>
      <c r="G100" s="1708">
        <v>-50994</v>
      </c>
      <c r="H100" s="1708">
        <v>-50994</v>
      </c>
      <c r="I100" s="2335">
        <v>5914124</v>
      </c>
      <c r="J100" s="1708">
        <v>6323708</v>
      </c>
      <c r="K100" s="1711">
        <v>6761857</v>
      </c>
      <c r="L100" s="373"/>
      <c r="Q100" s="246"/>
    </row>
    <row r="101" spans="1:17" ht="11.25" customHeight="1">
      <c r="A101" s="1373" t="str">
        <f t="shared" si="20"/>
        <v>Housing</v>
      </c>
      <c r="B101" s="1233"/>
      <c r="C101" s="2233">
        <v>33734001.629999995</v>
      </c>
      <c r="D101" s="2378">
        <v>60655934</v>
      </c>
      <c r="E101" s="1718">
        <v>69528040</v>
      </c>
      <c r="F101" s="1719">
        <v>14453833</v>
      </c>
      <c r="G101" s="1717">
        <v>32947806</v>
      </c>
      <c r="H101" s="1717">
        <v>32947806</v>
      </c>
      <c r="I101" s="2336">
        <v>31954190</v>
      </c>
      <c r="J101" s="1717">
        <v>30165344</v>
      </c>
      <c r="K101" s="1720">
        <v>34521568</v>
      </c>
      <c r="L101" s="373"/>
      <c r="Q101" s="246"/>
    </row>
    <row r="102" spans="1:17" ht="11.25" customHeight="1">
      <c r="A102" s="1373" t="str">
        <f t="shared" si="20"/>
        <v>Health</v>
      </c>
      <c r="B102" s="1233"/>
      <c r="C102" s="1176">
        <f>SUM(C103:C105)</f>
        <v>43248638.499999993</v>
      </c>
      <c r="D102" s="1176">
        <f>SUM(D103:D105)</f>
        <v>50850196</v>
      </c>
      <c r="E102" s="1176">
        <f>SUM(E103:E105)</f>
        <v>54298019</v>
      </c>
      <c r="F102" s="1180">
        <f t="shared" ref="F102:K102" si="26">SUM(F103:F105)</f>
        <v>37028102</v>
      </c>
      <c r="G102" s="1176">
        <f t="shared" si="26"/>
        <v>50754245</v>
      </c>
      <c r="H102" s="1592">
        <f t="shared" si="26"/>
        <v>50754245</v>
      </c>
      <c r="I102" s="1593">
        <f t="shared" si="26"/>
        <v>48326037</v>
      </c>
      <c r="J102" s="1176">
        <f t="shared" si="26"/>
        <v>47292137</v>
      </c>
      <c r="K102" s="1592">
        <f t="shared" si="26"/>
        <v>50422075</v>
      </c>
      <c r="L102" s="373"/>
      <c r="Q102" s="246"/>
    </row>
    <row r="103" spans="1:17" ht="11.25" customHeight="1">
      <c r="A103" s="1641" t="str">
        <f t="shared" si="20"/>
        <v>Clinics</v>
      </c>
      <c r="B103" s="1233"/>
      <c r="C103" s="2232">
        <v>28815651.669999991</v>
      </c>
      <c r="D103" s="2376">
        <v>20235311</v>
      </c>
      <c r="E103" s="1709">
        <v>21167254</v>
      </c>
      <c r="F103" s="1710">
        <v>19878815</v>
      </c>
      <c r="G103" s="1708">
        <v>20897199</v>
      </c>
      <c r="H103" s="1708">
        <v>20897199</v>
      </c>
      <c r="I103" s="2335">
        <v>25684762</v>
      </c>
      <c r="J103" s="1708">
        <v>25192936</v>
      </c>
      <c r="K103" s="1711">
        <v>26878185</v>
      </c>
      <c r="L103" s="373"/>
      <c r="Q103" s="246"/>
    </row>
    <row r="104" spans="1:17" ht="11.25" customHeight="1">
      <c r="A104" s="1641" t="str">
        <f t="shared" si="20"/>
        <v>Ambulance</v>
      </c>
      <c r="B104" s="1233"/>
      <c r="C104" s="2232"/>
      <c r="D104" s="2376">
        <v>0</v>
      </c>
      <c r="E104" s="1709"/>
      <c r="F104" s="1710">
        <v>0</v>
      </c>
      <c r="G104" s="1708"/>
      <c r="H104" s="1708"/>
      <c r="I104" s="2335"/>
      <c r="J104" s="1708"/>
      <c r="K104" s="1711"/>
      <c r="L104" s="373"/>
      <c r="Q104" s="246"/>
    </row>
    <row r="105" spans="1:17" ht="11.25" customHeight="1">
      <c r="A105" s="1641" t="str">
        <f t="shared" si="20"/>
        <v xml:space="preserve">Other   </v>
      </c>
      <c r="B105" s="1233"/>
      <c r="C105" s="2232">
        <v>14432986.830000002</v>
      </c>
      <c r="D105" s="2376">
        <v>30614885</v>
      </c>
      <c r="E105" s="1709">
        <v>33130765</v>
      </c>
      <c r="F105" s="1710">
        <v>17149287</v>
      </c>
      <c r="G105" s="1708">
        <v>29857046</v>
      </c>
      <c r="H105" s="1708">
        <v>29857046</v>
      </c>
      <c r="I105" s="2335">
        <f>20373275+2268000</f>
        <v>22641275</v>
      </c>
      <c r="J105" s="1708">
        <v>22099201</v>
      </c>
      <c r="K105" s="1711">
        <v>23543890</v>
      </c>
      <c r="L105" s="373"/>
      <c r="Q105" s="246"/>
    </row>
    <row r="106" spans="1:17" ht="11.25" customHeight="1">
      <c r="A106" s="1314" t="str">
        <f t="shared" si="20"/>
        <v>Economic and environmental services</v>
      </c>
      <c r="B106" s="1233"/>
      <c r="C106" s="1381">
        <f t="shared" ref="C106:K106" si="27">C107+C111+C117</f>
        <v>236395001.08000001</v>
      </c>
      <c r="D106" s="1381">
        <f>D107+D111+D117</f>
        <v>274893840</v>
      </c>
      <c r="E106" s="1381">
        <f t="shared" si="27"/>
        <v>217934789</v>
      </c>
      <c r="F106" s="1385">
        <f t="shared" si="27"/>
        <v>336197221</v>
      </c>
      <c r="G106" s="1381">
        <f t="shared" si="27"/>
        <v>247791061</v>
      </c>
      <c r="H106" s="1590">
        <f t="shared" si="27"/>
        <v>247791061</v>
      </c>
      <c r="I106" s="1591">
        <f t="shared" si="27"/>
        <v>279703566</v>
      </c>
      <c r="J106" s="1381">
        <f t="shared" si="27"/>
        <v>246973990.51499999</v>
      </c>
      <c r="K106" s="1590">
        <f t="shared" si="27"/>
        <v>211415689.773325</v>
      </c>
      <c r="L106" s="373"/>
      <c r="Q106" s="246"/>
    </row>
    <row r="107" spans="1:17" ht="11.25" customHeight="1">
      <c r="A107" s="1373" t="str">
        <f t="shared" si="20"/>
        <v>Planning and development</v>
      </c>
      <c r="B107" s="1233"/>
      <c r="C107" s="1176">
        <f t="shared" ref="C107:K107" si="28">SUM(C108:C110)</f>
        <v>56871519.590000018</v>
      </c>
      <c r="D107" s="1176">
        <f t="shared" si="28"/>
        <v>54293969</v>
      </c>
      <c r="E107" s="1176">
        <f t="shared" si="28"/>
        <v>45814692</v>
      </c>
      <c r="F107" s="1180">
        <f t="shared" si="28"/>
        <v>77555302</v>
      </c>
      <c r="G107" s="1176">
        <f t="shared" si="28"/>
        <v>60809806</v>
      </c>
      <c r="H107" s="1592">
        <f t="shared" si="28"/>
        <v>60809806</v>
      </c>
      <c r="I107" s="1593">
        <f t="shared" si="28"/>
        <v>71569040</v>
      </c>
      <c r="J107" s="1176">
        <f t="shared" si="28"/>
        <v>75274713</v>
      </c>
      <c r="K107" s="1592">
        <f t="shared" si="28"/>
        <v>93848079</v>
      </c>
      <c r="L107" s="373"/>
      <c r="Q107" s="246"/>
    </row>
    <row r="108" spans="1:17" ht="11.25" customHeight="1">
      <c r="A108" s="1641" t="str">
        <f t="shared" si="20"/>
        <v xml:space="preserve">Economic Development/Planning </v>
      </c>
      <c r="B108" s="1233"/>
      <c r="C108" s="2232">
        <v>44100493.410000019</v>
      </c>
      <c r="D108" s="2376">
        <v>30165742</v>
      </c>
      <c r="E108" s="1709">
        <v>40146006</v>
      </c>
      <c r="F108" s="1710">
        <v>58716511</v>
      </c>
      <c r="G108" s="1708">
        <v>55710469</v>
      </c>
      <c r="H108" s="1708">
        <v>55710469</v>
      </c>
      <c r="I108" s="2335">
        <v>68474582</v>
      </c>
      <c r="J108" s="1708">
        <v>71971111</v>
      </c>
      <c r="K108" s="1711">
        <v>90321039</v>
      </c>
      <c r="L108" s="373"/>
      <c r="Q108" s="246"/>
    </row>
    <row r="109" spans="1:17" ht="11.25" customHeight="1">
      <c r="A109" s="1641" t="str">
        <f t="shared" si="20"/>
        <v xml:space="preserve">Town Planning/Building enforcement </v>
      </c>
      <c r="B109" s="1233"/>
      <c r="C109" s="2232">
        <v>8872104.3500000034</v>
      </c>
      <c r="D109" s="2376">
        <v>19119017</v>
      </c>
      <c r="E109" s="1709"/>
      <c r="F109" s="1710">
        <v>16026317</v>
      </c>
      <c r="G109" s="1708"/>
      <c r="H109" s="1708"/>
      <c r="I109" s="2335"/>
      <c r="J109" s="1708"/>
      <c r="K109" s="1711"/>
      <c r="L109" s="373"/>
      <c r="Q109" s="246"/>
    </row>
    <row r="110" spans="1:17" ht="11.25" customHeight="1">
      <c r="A110" s="1641" t="str">
        <f t="shared" si="20"/>
        <v>Licensing &amp; Regulation</v>
      </c>
      <c r="B110" s="1233"/>
      <c r="C110" s="2232">
        <v>3898921.83</v>
      </c>
      <c r="D110" s="2376">
        <v>5009210</v>
      </c>
      <c r="E110" s="1709">
        <v>5668686</v>
      </c>
      <c r="F110" s="1710">
        <v>2812474</v>
      </c>
      <c r="G110" s="1708">
        <v>5099337</v>
      </c>
      <c r="H110" s="1708">
        <v>5099337</v>
      </c>
      <c r="I110" s="2335">
        <v>3094458</v>
      </c>
      <c r="J110" s="1708">
        <v>3303602</v>
      </c>
      <c r="K110" s="1711">
        <v>3527040</v>
      </c>
      <c r="L110" s="373"/>
      <c r="Q110" s="246"/>
    </row>
    <row r="111" spans="1:17" ht="11.25" customHeight="1">
      <c r="A111" s="1373" t="str">
        <f t="shared" si="20"/>
        <v>Road transport</v>
      </c>
      <c r="B111" s="1233"/>
      <c r="C111" s="1176">
        <f t="shared" ref="C111:K111" si="29">SUM(C112:C116)</f>
        <v>147059778.52000001</v>
      </c>
      <c r="D111" s="1176">
        <f t="shared" si="29"/>
        <v>174104867</v>
      </c>
      <c r="E111" s="1176">
        <f t="shared" si="29"/>
        <v>172120097</v>
      </c>
      <c r="F111" s="1180">
        <f t="shared" si="29"/>
        <v>211243853</v>
      </c>
      <c r="G111" s="1176">
        <f t="shared" si="29"/>
        <v>186981255</v>
      </c>
      <c r="H111" s="1592">
        <f t="shared" si="29"/>
        <v>186981255</v>
      </c>
      <c r="I111" s="1593">
        <f t="shared" si="29"/>
        <v>208134526</v>
      </c>
      <c r="J111" s="1176">
        <f t="shared" si="29"/>
        <v>171699277.51499999</v>
      </c>
      <c r="K111" s="1592">
        <f t="shared" si="29"/>
        <v>117567610.773325</v>
      </c>
      <c r="L111" s="373"/>
      <c r="Q111" s="246"/>
    </row>
    <row r="112" spans="1:17" ht="11.25" customHeight="1">
      <c r="A112" s="1641" t="str">
        <f t="shared" si="20"/>
        <v>Roads</v>
      </c>
      <c r="B112" s="1233"/>
      <c r="C112" s="2232">
        <v>144634129.75</v>
      </c>
      <c r="D112" s="2376">
        <v>166475640</v>
      </c>
      <c r="E112" s="1709">
        <v>158828693</v>
      </c>
      <c r="F112" s="1710">
        <v>188795115</v>
      </c>
      <c r="G112" s="1708">
        <v>154984824</v>
      </c>
      <c r="H112" s="1708">
        <v>154984824</v>
      </c>
      <c r="I112" s="2335">
        <v>133868071</v>
      </c>
      <c r="J112" s="1708">
        <v>76885546</v>
      </c>
      <c r="K112" s="1711">
        <v>82166938</v>
      </c>
      <c r="L112" s="373"/>
      <c r="Q112" s="246"/>
    </row>
    <row r="113" spans="1:17" ht="11.25" customHeight="1">
      <c r="A113" s="1641" t="str">
        <f t="shared" si="20"/>
        <v>Public Buses</v>
      </c>
      <c r="B113" s="1233"/>
      <c r="C113" s="1709"/>
      <c r="D113" s="2376">
        <v>7629227</v>
      </c>
      <c r="E113" s="1709">
        <v>10857079</v>
      </c>
      <c r="F113" s="1710">
        <v>22448738</v>
      </c>
      <c r="G113" s="1708">
        <v>28722616</v>
      </c>
      <c r="H113" s="1708">
        <v>28722616</v>
      </c>
      <c r="I113" s="1711">
        <v>72339681</v>
      </c>
      <c r="J113" s="1708">
        <v>92768664</v>
      </c>
      <c r="K113" s="1711">
        <v>33229815</v>
      </c>
      <c r="L113" s="373"/>
      <c r="Q113" s="246"/>
    </row>
    <row r="114" spans="1:17" ht="11.25" customHeight="1">
      <c r="A114" s="1641" t="str">
        <f t="shared" si="20"/>
        <v>Parking Garages</v>
      </c>
      <c r="B114" s="1233"/>
      <c r="C114" s="2232">
        <v>2425648.7699999996</v>
      </c>
      <c r="D114" s="2376">
        <v>0</v>
      </c>
      <c r="E114" s="1709">
        <v>1016732</v>
      </c>
      <c r="F114" s="1710"/>
      <c r="G114" s="1708">
        <v>139904</v>
      </c>
      <c r="H114" s="1708">
        <v>139904</v>
      </c>
      <c r="I114" s="2335">
        <v>6255</v>
      </c>
      <c r="J114" s="1708">
        <v>6586.5149999999994</v>
      </c>
      <c r="K114" s="1711">
        <v>6948.7733249999992</v>
      </c>
      <c r="L114" s="373"/>
      <c r="Q114" s="246"/>
    </row>
    <row r="115" spans="1:17" ht="11.25" customHeight="1">
      <c r="A115" s="1641" t="str">
        <f t="shared" si="20"/>
        <v>Vehicle Licensing and Testing</v>
      </c>
      <c r="B115" s="1233"/>
      <c r="C115" s="1709"/>
      <c r="D115" s="2376">
        <v>0</v>
      </c>
      <c r="E115" s="1709"/>
      <c r="F115" s="1710"/>
      <c r="G115" s="1708"/>
      <c r="H115" s="1708"/>
      <c r="I115" s="1711"/>
      <c r="J115" s="1708"/>
      <c r="K115" s="1711"/>
      <c r="L115" s="373"/>
      <c r="Q115" s="246"/>
    </row>
    <row r="116" spans="1:17" ht="11.25" customHeight="1">
      <c r="A116" s="1641" t="str">
        <f t="shared" si="20"/>
        <v>Other</v>
      </c>
      <c r="B116" s="1233"/>
      <c r="C116" s="1709"/>
      <c r="D116" s="2376">
        <v>0</v>
      </c>
      <c r="E116" s="1709">
        <v>1417593</v>
      </c>
      <c r="F116" s="1710"/>
      <c r="G116" s="1710">
        <v>3133911</v>
      </c>
      <c r="H116" s="1710">
        <v>3133911</v>
      </c>
      <c r="I116" s="1711">
        <v>1920519</v>
      </c>
      <c r="J116" s="1708">
        <v>2038481</v>
      </c>
      <c r="K116" s="1711">
        <v>2163909</v>
      </c>
      <c r="L116" s="373"/>
      <c r="Q116" s="246"/>
    </row>
    <row r="117" spans="1:17" ht="11.25" customHeight="1">
      <c r="A117" s="1373" t="str">
        <f t="shared" si="20"/>
        <v>Environmental protection</v>
      </c>
      <c r="B117" s="1233"/>
      <c r="C117" s="1176">
        <f t="shared" ref="C117:K117" si="30">SUM(C118:C120)</f>
        <v>32463702.969999999</v>
      </c>
      <c r="D117" s="1176">
        <f t="shared" si="30"/>
        <v>46495004</v>
      </c>
      <c r="E117" s="1176">
        <f t="shared" si="30"/>
        <v>0</v>
      </c>
      <c r="F117" s="1180">
        <f t="shared" si="30"/>
        <v>47398066</v>
      </c>
      <c r="G117" s="1176">
        <f t="shared" si="30"/>
        <v>0</v>
      </c>
      <c r="H117" s="1592">
        <f t="shared" si="30"/>
        <v>0</v>
      </c>
      <c r="I117" s="1593">
        <f t="shared" si="30"/>
        <v>0</v>
      </c>
      <c r="J117" s="1176">
        <f t="shared" si="30"/>
        <v>0</v>
      </c>
      <c r="K117" s="1592">
        <f t="shared" si="30"/>
        <v>0</v>
      </c>
      <c r="L117" s="373"/>
      <c r="Q117" s="246"/>
    </row>
    <row r="118" spans="1:17" ht="11.25" customHeight="1">
      <c r="A118" s="1641" t="str">
        <f t="shared" si="20"/>
        <v>Pollution Control</v>
      </c>
      <c r="B118" s="1233"/>
      <c r="C118" s="1708"/>
      <c r="D118" s="2376">
        <v>0</v>
      </c>
      <c r="E118" s="1709"/>
      <c r="F118" s="1710"/>
      <c r="G118" s="1708"/>
      <c r="H118" s="1711"/>
      <c r="I118" s="1711"/>
      <c r="J118" s="1708"/>
      <c r="K118" s="1711"/>
      <c r="L118" s="373"/>
      <c r="Q118" s="246"/>
    </row>
    <row r="119" spans="1:17" ht="11.25" customHeight="1">
      <c r="A119" s="1641" t="str">
        <f t="shared" si="20"/>
        <v>Biodiversity &amp; Landscape</v>
      </c>
      <c r="B119" s="1233"/>
      <c r="C119" s="1708"/>
      <c r="D119" s="2376">
        <v>0</v>
      </c>
      <c r="E119" s="1709"/>
      <c r="F119" s="1710"/>
      <c r="G119" s="1708"/>
      <c r="H119" s="1711"/>
      <c r="I119" s="1711"/>
      <c r="J119" s="1708"/>
      <c r="K119" s="1711"/>
      <c r="L119" s="373"/>
      <c r="Q119" s="246"/>
    </row>
    <row r="120" spans="1:17" ht="11.25" customHeight="1">
      <c r="A120" s="1641" t="str">
        <f t="shared" si="20"/>
        <v>Other</v>
      </c>
      <c r="B120" s="1233"/>
      <c r="C120" s="2232">
        <v>32463702.969999999</v>
      </c>
      <c r="D120" s="2376">
        <v>46495004</v>
      </c>
      <c r="E120" s="1709"/>
      <c r="F120" s="1710">
        <v>47398066</v>
      </c>
      <c r="G120" s="1708"/>
      <c r="H120" s="1711"/>
      <c r="I120" s="2335"/>
      <c r="J120" s="1708"/>
      <c r="K120" s="1711"/>
      <c r="L120" s="373"/>
      <c r="Q120" s="246"/>
    </row>
    <row r="121" spans="1:17" ht="11.25" customHeight="1">
      <c r="A121" s="1314" t="str">
        <f t="shared" si="20"/>
        <v>Trading services</v>
      </c>
      <c r="B121" s="1233"/>
      <c r="C121" s="1381">
        <f>C122+C125+C128+C132</f>
        <v>860321955.48000026</v>
      </c>
      <c r="D121" s="1381">
        <f>D122+D125+D128+D132</f>
        <v>1046357129</v>
      </c>
      <c r="E121" s="1381">
        <f>E122+E125+E128+E132</f>
        <v>1547820947</v>
      </c>
      <c r="F121" s="1385">
        <f t="shared" ref="F121:K121" si="31">F122+F125+F128+F132</f>
        <v>1420573366</v>
      </c>
      <c r="G121" s="1381">
        <f t="shared" si="31"/>
        <v>1680226649</v>
      </c>
      <c r="H121" s="1590">
        <f t="shared" si="31"/>
        <v>1680226649</v>
      </c>
      <c r="I121" s="1591">
        <f t="shared" si="31"/>
        <v>1753638598</v>
      </c>
      <c r="J121" s="1381">
        <f t="shared" si="31"/>
        <v>1954036624</v>
      </c>
      <c r="K121" s="1590">
        <f t="shared" si="31"/>
        <v>2062987521</v>
      </c>
      <c r="L121" s="373"/>
      <c r="Q121" s="246"/>
    </row>
    <row r="122" spans="1:17" ht="11.25" customHeight="1">
      <c r="A122" s="1373" t="str">
        <f t="shared" si="20"/>
        <v>Electricity</v>
      </c>
      <c r="B122" s="1233"/>
      <c r="C122" s="1176">
        <f t="shared" ref="C122:K122" si="32">SUM(C123:C124)</f>
        <v>456420481.36999995</v>
      </c>
      <c r="D122" s="1176">
        <f t="shared" si="32"/>
        <v>579424287</v>
      </c>
      <c r="E122" s="1176">
        <f t="shared" si="32"/>
        <v>991965799</v>
      </c>
      <c r="F122" s="1180">
        <f t="shared" si="32"/>
        <v>911513862</v>
      </c>
      <c r="G122" s="1176">
        <f t="shared" si="32"/>
        <v>962525757</v>
      </c>
      <c r="H122" s="1592">
        <f t="shared" si="32"/>
        <v>962525757</v>
      </c>
      <c r="I122" s="1593">
        <f t="shared" si="32"/>
        <v>1074907040</v>
      </c>
      <c r="J122" s="1176">
        <f t="shared" si="32"/>
        <v>1118263860</v>
      </c>
      <c r="K122" s="1592">
        <f t="shared" si="32"/>
        <v>1180619312</v>
      </c>
      <c r="L122" s="373"/>
      <c r="Q122" s="246"/>
    </row>
    <row r="123" spans="1:17" ht="11.25" customHeight="1">
      <c r="A123" s="1641" t="str">
        <f t="shared" si="20"/>
        <v>Electricity Distribution</v>
      </c>
      <c r="B123" s="1233"/>
      <c r="C123" s="2232">
        <v>456420481.36999995</v>
      </c>
      <c r="D123" s="2376">
        <v>579424287</v>
      </c>
      <c r="E123" s="1709">
        <v>991965799</v>
      </c>
      <c r="F123" s="1710">
        <v>911513862</v>
      </c>
      <c r="G123" s="1708">
        <v>962525757</v>
      </c>
      <c r="H123" s="1708">
        <v>962525757</v>
      </c>
      <c r="I123" s="2335">
        <v>1074907040</v>
      </c>
      <c r="J123" s="1708">
        <v>1118263860</v>
      </c>
      <c r="K123" s="1711">
        <v>1180619312</v>
      </c>
      <c r="L123" s="373"/>
      <c r="Q123" s="246"/>
    </row>
    <row r="124" spans="1:17" ht="11.25" customHeight="1">
      <c r="A124" s="1641" t="str">
        <f t="shared" si="20"/>
        <v>Electricity Generation</v>
      </c>
      <c r="B124" s="1233"/>
      <c r="C124" s="1708"/>
      <c r="D124" s="1708"/>
      <c r="E124" s="1709"/>
      <c r="F124" s="1710"/>
      <c r="G124" s="1708"/>
      <c r="H124" s="1711"/>
      <c r="I124" s="1711"/>
      <c r="J124" s="1708"/>
      <c r="K124" s="1711"/>
      <c r="L124" s="373"/>
      <c r="Q124" s="246"/>
    </row>
    <row r="125" spans="1:17" ht="11.25" customHeight="1">
      <c r="A125" s="1373" t="str">
        <f t="shared" si="20"/>
        <v>Water</v>
      </c>
      <c r="B125" s="1233"/>
      <c r="C125" s="1176">
        <f t="shared" ref="C125:K125" si="33">SUM(C126:C127)</f>
        <v>248234595.82000005</v>
      </c>
      <c r="D125" s="1176">
        <f t="shared" si="33"/>
        <v>271716360</v>
      </c>
      <c r="E125" s="1176">
        <f t="shared" si="33"/>
        <v>336008590</v>
      </c>
      <c r="F125" s="1180">
        <f t="shared" si="33"/>
        <v>278619594</v>
      </c>
      <c r="G125" s="1176">
        <f t="shared" si="33"/>
        <v>427827066</v>
      </c>
      <c r="H125" s="1592">
        <f t="shared" si="33"/>
        <v>427827066</v>
      </c>
      <c r="I125" s="1593">
        <f t="shared" si="33"/>
        <v>526196816</v>
      </c>
      <c r="J125" s="1176">
        <f t="shared" si="33"/>
        <v>649377723</v>
      </c>
      <c r="K125" s="1592">
        <f t="shared" si="33"/>
        <v>684654593</v>
      </c>
      <c r="L125" s="373"/>
      <c r="Q125" s="246"/>
    </row>
    <row r="126" spans="1:17" ht="11.25" customHeight="1">
      <c r="A126" s="1641" t="str">
        <f t="shared" si="20"/>
        <v>Water Distribution</v>
      </c>
      <c r="B126" s="1233"/>
      <c r="C126" s="2232">
        <v>248234595.82000005</v>
      </c>
      <c r="D126" s="2376">
        <v>271716360</v>
      </c>
      <c r="E126" s="1709">
        <f>338947590-2939000</f>
        <v>336008590</v>
      </c>
      <c r="F126" s="1710">
        <v>278619594</v>
      </c>
      <c r="G126" s="1708">
        <v>427827066</v>
      </c>
      <c r="H126" s="1708">
        <v>427827066</v>
      </c>
      <c r="I126" s="2335">
        <v>526196816</v>
      </c>
      <c r="J126" s="1708">
        <v>649377723</v>
      </c>
      <c r="K126" s="1711">
        <v>684654593</v>
      </c>
      <c r="L126" s="373"/>
      <c r="Q126" s="246"/>
    </row>
    <row r="127" spans="1:17" ht="11.25" customHeight="1">
      <c r="A127" s="1641" t="str">
        <f t="shared" si="20"/>
        <v>Water Storage</v>
      </c>
      <c r="B127" s="1233"/>
      <c r="C127" s="1708"/>
      <c r="D127" s="1708"/>
      <c r="E127" s="1709"/>
      <c r="F127" s="1710"/>
      <c r="G127" s="1708"/>
      <c r="H127" s="1711"/>
      <c r="I127" s="1711"/>
      <c r="J127" s="1708"/>
      <c r="K127" s="1711"/>
      <c r="L127" s="373"/>
      <c r="Q127" s="246"/>
    </row>
    <row r="128" spans="1:17" ht="11.25" customHeight="1">
      <c r="A128" s="1373" t="str">
        <f t="shared" si="20"/>
        <v>Waste water management</v>
      </c>
      <c r="B128" s="1233"/>
      <c r="C128" s="1176">
        <f t="shared" ref="C128:K128" si="34">SUM(C129:C131)</f>
        <v>5844971.0999999912</v>
      </c>
      <c r="D128" s="1176">
        <f>SUM(D129:D131)</f>
        <v>3795709</v>
      </c>
      <c r="E128" s="1176">
        <f t="shared" si="34"/>
        <v>118085607</v>
      </c>
      <c r="F128" s="1180">
        <f t="shared" si="34"/>
        <v>17514995</v>
      </c>
      <c r="G128" s="1176">
        <f t="shared" si="34"/>
        <v>196579391</v>
      </c>
      <c r="H128" s="1592">
        <f t="shared" si="34"/>
        <v>196579391</v>
      </c>
      <c r="I128" s="1593">
        <f t="shared" si="34"/>
        <v>79852042</v>
      </c>
      <c r="J128" s="1176">
        <f t="shared" si="34"/>
        <v>92913125</v>
      </c>
      <c r="K128" s="1592">
        <f t="shared" si="34"/>
        <v>98382114</v>
      </c>
      <c r="L128" s="373"/>
      <c r="Q128" s="246"/>
    </row>
    <row r="129" spans="1:17" ht="11.25" customHeight="1">
      <c r="A129" s="1641" t="str">
        <f t="shared" si="20"/>
        <v>Sewerage</v>
      </c>
      <c r="B129" s="1233"/>
      <c r="C129" s="1708"/>
      <c r="D129" s="1708"/>
      <c r="E129" s="1709">
        <v>100823183</v>
      </c>
      <c r="F129" s="1710"/>
      <c r="G129" s="1708">
        <v>183416608</v>
      </c>
      <c r="H129" s="1708">
        <v>183416608</v>
      </c>
      <c r="I129" s="1711">
        <v>67529846</v>
      </c>
      <c r="J129" s="1708">
        <v>79750441</v>
      </c>
      <c r="K129" s="1711">
        <v>84320509</v>
      </c>
      <c r="L129" s="373"/>
      <c r="Q129" s="246"/>
    </row>
    <row r="130" spans="1:17" ht="11.25" customHeight="1">
      <c r="A130" s="1641" t="str">
        <f t="shared" si="20"/>
        <v>Storm Water Management</v>
      </c>
      <c r="B130" s="1233"/>
      <c r="C130" s="2232">
        <v>5844971.0999999912</v>
      </c>
      <c r="D130" s="2376">
        <v>3795709</v>
      </c>
      <c r="E130" s="1709">
        <v>7737530</v>
      </c>
      <c r="F130" s="1710">
        <v>17514995</v>
      </c>
      <c r="G130" s="1708">
        <v>5428092</v>
      </c>
      <c r="H130" s="1708">
        <v>5428092</v>
      </c>
      <c r="I130" s="2335">
        <v>4917291</v>
      </c>
      <c r="J130" s="1708">
        <v>5256777</v>
      </c>
      <c r="K130" s="1711">
        <v>5619860</v>
      </c>
      <c r="L130" s="373"/>
      <c r="Q130" s="246"/>
    </row>
    <row r="131" spans="1:17" ht="11.25" customHeight="1">
      <c r="A131" s="1641" t="str">
        <f t="shared" si="20"/>
        <v>Public Toilets</v>
      </c>
      <c r="B131" s="1233"/>
      <c r="C131" s="1708"/>
      <c r="D131" s="1708"/>
      <c r="E131" s="1709">
        <v>9524894</v>
      </c>
      <c r="F131" s="1710"/>
      <c r="G131" s="1708">
        <v>7734691</v>
      </c>
      <c r="H131" s="1708">
        <v>7734691</v>
      </c>
      <c r="I131" s="1711">
        <v>7404905</v>
      </c>
      <c r="J131" s="1708">
        <v>7905907</v>
      </c>
      <c r="K131" s="1711">
        <v>8441745</v>
      </c>
      <c r="L131" s="373"/>
      <c r="Q131" s="246"/>
    </row>
    <row r="132" spans="1:17" ht="11.25" customHeight="1">
      <c r="A132" s="1373" t="str">
        <f t="shared" si="20"/>
        <v>Waste management</v>
      </c>
      <c r="B132" s="1233"/>
      <c r="C132" s="1176">
        <f t="shared" ref="C132:K132" si="35">SUM(C133)</f>
        <v>149821907.19000012</v>
      </c>
      <c r="D132" s="1176">
        <f t="shared" si="35"/>
        <v>191420773</v>
      </c>
      <c r="E132" s="1176">
        <f t="shared" si="35"/>
        <v>101760951</v>
      </c>
      <c r="F132" s="1180">
        <f t="shared" si="35"/>
        <v>212924915</v>
      </c>
      <c r="G132" s="1176">
        <f t="shared" si="35"/>
        <v>93294435</v>
      </c>
      <c r="H132" s="1592">
        <f t="shared" si="35"/>
        <v>93294435</v>
      </c>
      <c r="I132" s="1592">
        <f>SUM(I133)</f>
        <v>72682700</v>
      </c>
      <c r="J132" s="1176">
        <f t="shared" si="35"/>
        <v>93481916</v>
      </c>
      <c r="K132" s="1592">
        <f t="shared" si="35"/>
        <v>99331502</v>
      </c>
      <c r="L132" s="373"/>
      <c r="Q132" s="246"/>
    </row>
    <row r="133" spans="1:17" ht="11.25" customHeight="1">
      <c r="A133" s="1641" t="str">
        <f t="shared" si="20"/>
        <v>Solid Waste</v>
      </c>
      <c r="B133" s="1231"/>
      <c r="C133" s="2232">
        <v>149821907.19000012</v>
      </c>
      <c r="D133" s="2376">
        <v>191420773</v>
      </c>
      <c r="E133" s="1709">
        <v>101760951</v>
      </c>
      <c r="F133" s="1710">
        <v>212924915</v>
      </c>
      <c r="G133" s="1708">
        <v>93294435</v>
      </c>
      <c r="H133" s="1708">
        <v>93294435</v>
      </c>
      <c r="I133" s="2335">
        <v>72682700</v>
      </c>
      <c r="J133" s="1708">
        <v>93481916</v>
      </c>
      <c r="K133" s="1711">
        <v>99331502</v>
      </c>
      <c r="L133" s="373"/>
    </row>
    <row r="134" spans="1:17" ht="11.25" customHeight="1">
      <c r="A134" s="1314" t="str">
        <f t="shared" si="20"/>
        <v>Other</v>
      </c>
      <c r="B134" s="1231"/>
      <c r="C134" s="1381">
        <f t="shared" ref="C134:K134" si="36">SUM(C135:C139)</f>
        <v>28872525.279999994</v>
      </c>
      <c r="D134" s="1381">
        <f t="shared" si="36"/>
        <v>24330403</v>
      </c>
      <c r="E134" s="1385">
        <f t="shared" si="36"/>
        <v>39914381</v>
      </c>
      <c r="F134" s="1385">
        <f t="shared" si="36"/>
        <v>21496693</v>
      </c>
      <c r="G134" s="1381">
        <f t="shared" si="36"/>
        <v>37025736</v>
      </c>
      <c r="H134" s="1590">
        <f t="shared" si="36"/>
        <v>37025736</v>
      </c>
      <c r="I134" s="1592">
        <f>SUM(I135:I139)</f>
        <v>47910992</v>
      </c>
      <c r="J134" s="1381">
        <f t="shared" si="36"/>
        <v>50449758</v>
      </c>
      <c r="K134" s="1590">
        <f t="shared" si="36"/>
        <v>53181232</v>
      </c>
      <c r="L134" s="373"/>
    </row>
    <row r="135" spans="1:17" ht="11.25" customHeight="1">
      <c r="A135" s="1373" t="str">
        <f t="shared" si="20"/>
        <v>Air Transport</v>
      </c>
      <c r="B135" s="1231"/>
      <c r="C135" s="2232">
        <v>6759268.0799999991</v>
      </c>
      <c r="D135" s="2376">
        <v>9460857</v>
      </c>
      <c r="E135" s="1709">
        <v>11034157</v>
      </c>
      <c r="F135" s="1710">
        <v>7971762</v>
      </c>
      <c r="G135" s="1708">
        <v>9618441</v>
      </c>
      <c r="H135" s="1708">
        <v>9618441</v>
      </c>
      <c r="I135" s="2335">
        <v>10045081</v>
      </c>
      <c r="J135" s="1708">
        <v>10541085</v>
      </c>
      <c r="K135" s="1711">
        <v>11067719</v>
      </c>
      <c r="L135" s="373"/>
    </row>
    <row r="136" spans="1:17" ht="11.25" customHeight="1">
      <c r="A136" s="1373" t="str">
        <f t="shared" si="20"/>
        <v>Abattoirs</v>
      </c>
      <c r="B136" s="1231"/>
      <c r="C136" s="1709"/>
      <c r="D136" s="2376">
        <v>0</v>
      </c>
      <c r="E136" s="1709"/>
      <c r="F136" s="1710"/>
      <c r="G136" s="1708"/>
      <c r="H136" s="1708"/>
      <c r="I136" s="1711"/>
      <c r="J136" s="1708"/>
      <c r="K136" s="1711"/>
      <c r="L136" s="373"/>
    </row>
    <row r="137" spans="1:17" ht="11.25" customHeight="1">
      <c r="A137" s="1373" t="str">
        <f t="shared" si="20"/>
        <v>Tourism</v>
      </c>
      <c r="B137" s="1231"/>
      <c r="C137" s="1709"/>
      <c r="D137" s="2376">
        <v>0</v>
      </c>
      <c r="E137" s="1709"/>
      <c r="F137" s="1710"/>
      <c r="G137" s="1708"/>
      <c r="H137" s="1708"/>
      <c r="I137" s="1711"/>
      <c r="J137" s="1708"/>
      <c r="K137" s="1711"/>
      <c r="L137" s="373"/>
    </row>
    <row r="138" spans="1:17" ht="11.25" customHeight="1">
      <c r="A138" s="1373" t="str">
        <f t="shared" si="20"/>
        <v>Forestry</v>
      </c>
      <c r="B138" s="1231"/>
      <c r="C138" s="2232">
        <v>8860522.4899999984</v>
      </c>
      <c r="D138" s="2376">
        <v>40839</v>
      </c>
      <c r="E138" s="1709">
        <v>9303547</v>
      </c>
      <c r="F138" s="1710">
        <v>9077</v>
      </c>
      <c r="G138" s="1708">
        <v>11176513</v>
      </c>
      <c r="H138" s="1708">
        <v>11176513</v>
      </c>
      <c r="I138" s="2335">
        <v>11213450</v>
      </c>
      <c r="J138" s="1708">
        <v>11753253</v>
      </c>
      <c r="K138" s="1711">
        <v>12319559</v>
      </c>
      <c r="L138" s="373"/>
    </row>
    <row r="139" spans="1:17" ht="11.25" customHeight="1">
      <c r="A139" s="1373" t="str">
        <f>A70</f>
        <v>Markets</v>
      </c>
      <c r="B139" s="1231"/>
      <c r="C139" s="2232">
        <v>13252734.709999995</v>
      </c>
      <c r="D139" s="2376">
        <v>14828707</v>
      </c>
      <c r="E139" s="1709">
        <v>19576677</v>
      </c>
      <c r="F139" s="1710">
        <v>13515854</v>
      </c>
      <c r="G139" s="1708">
        <v>16230782</v>
      </c>
      <c r="H139" s="1708">
        <v>16230782</v>
      </c>
      <c r="I139" s="2335">
        <v>26652461</v>
      </c>
      <c r="J139" s="1708">
        <v>28155420</v>
      </c>
      <c r="K139" s="1711">
        <v>29793954</v>
      </c>
      <c r="L139" s="373"/>
    </row>
    <row r="140" spans="1:17" ht="11.25" customHeight="1">
      <c r="A140" s="1232" t="str">
        <f>"Total "&amp;A73</f>
        <v>Total Expenditure - Standard</v>
      </c>
      <c r="B140" s="1231">
        <v>3</v>
      </c>
      <c r="C140" s="268">
        <f>C74+C84+C106+C121+C134</f>
        <v>1506797197.0200002</v>
      </c>
      <c r="D140" s="268">
        <f>D74+D84+D106+D121+D134</f>
        <v>1827270487</v>
      </c>
      <c r="E140" s="268">
        <f>E74+E84+E106+E121+E134</f>
        <v>2739150686</v>
      </c>
      <c r="F140" s="271">
        <f t="shared" ref="F140:K140" si="37">F74+F84+F106+F121+F134</f>
        <v>2388296301</v>
      </c>
      <c r="G140" s="268">
        <f t="shared" si="37"/>
        <v>3035455323</v>
      </c>
      <c r="H140" s="1601">
        <f t="shared" si="37"/>
        <v>3035455323</v>
      </c>
      <c r="I140" s="1602">
        <f t="shared" si="37"/>
        <v>3339106375</v>
      </c>
      <c r="J140" s="268">
        <f t="shared" si="37"/>
        <v>3551108161.5149999</v>
      </c>
      <c r="K140" s="1601">
        <f t="shared" si="37"/>
        <v>3711581029.8773251</v>
      </c>
      <c r="L140" s="373"/>
      <c r="Q140" s="281"/>
    </row>
    <row r="141" spans="1:17">
      <c r="A141" s="1234" t="str">
        <f>result</f>
        <v>Surplus/(Deficit) for the year</v>
      </c>
      <c r="B141" s="1235"/>
      <c r="C141" s="284">
        <f t="shared" ref="C141:K141" si="38">C71-C140</f>
        <v>116682811.96999979</v>
      </c>
      <c r="D141" s="284">
        <f t="shared" si="38"/>
        <v>4027872</v>
      </c>
      <c r="E141" s="284">
        <f t="shared" si="38"/>
        <v>-232981244</v>
      </c>
      <c r="F141" s="286">
        <f t="shared" si="38"/>
        <v>112899</v>
      </c>
      <c r="G141" s="284">
        <f t="shared" si="38"/>
        <v>112899</v>
      </c>
      <c r="H141" s="283">
        <f t="shared" si="38"/>
        <v>112899</v>
      </c>
      <c r="I141" s="287">
        <f t="shared" si="38"/>
        <v>89998</v>
      </c>
      <c r="J141" s="284">
        <f t="shared" si="38"/>
        <v>100000.41699981689</v>
      </c>
      <c r="K141" s="285">
        <f t="shared" si="38"/>
        <v>110002.24593496323</v>
      </c>
      <c r="L141" s="373"/>
    </row>
    <row r="142" spans="1:17">
      <c r="A142" s="1236" t="str">
        <f>head27a</f>
        <v>References</v>
      </c>
      <c r="B142" s="1237"/>
      <c r="C142" s="1086"/>
      <c r="D142" s="1086"/>
      <c r="E142" s="1086"/>
      <c r="F142" s="1086"/>
      <c r="G142" s="1086"/>
      <c r="H142" s="1086"/>
      <c r="I142" s="1086"/>
      <c r="J142" s="1086"/>
      <c r="K142" s="1086"/>
      <c r="L142" s="373"/>
    </row>
    <row r="143" spans="1:17" ht="11.25" customHeight="1">
      <c r="A143" s="1238" t="s">
        <v>461</v>
      </c>
      <c r="B143" s="1237"/>
      <c r="C143" s="1239"/>
      <c r="D143" s="1239"/>
      <c r="E143" s="1240"/>
      <c r="F143" s="1240"/>
      <c r="G143" s="1240"/>
      <c r="H143" s="1240"/>
      <c r="I143" s="1240"/>
      <c r="J143" s="1240"/>
      <c r="K143" s="1240"/>
    </row>
    <row r="144" spans="1:17" ht="11.25" customHeight="1">
      <c r="A144" s="1241" t="s">
        <v>1970</v>
      </c>
      <c r="B144" s="1237"/>
      <c r="C144" s="1239"/>
      <c r="D144" s="1239"/>
      <c r="E144" s="1240"/>
      <c r="F144" s="1240"/>
      <c r="G144" s="1240"/>
      <c r="H144" s="1240"/>
      <c r="I144" s="1240"/>
      <c r="J144" s="1240"/>
      <c r="K144" s="1240"/>
    </row>
    <row r="145" spans="1:11" ht="11.25" customHeight="1">
      <c r="A145" s="1238" t="s">
        <v>1971</v>
      </c>
      <c r="B145" s="1237"/>
      <c r="C145" s="1239"/>
      <c r="D145" s="1239"/>
      <c r="E145" s="1240"/>
      <c r="F145" s="1240"/>
      <c r="G145" s="1240"/>
      <c r="H145" s="1240"/>
      <c r="I145" s="1240"/>
      <c r="J145" s="1240"/>
      <c r="K145" s="1240"/>
    </row>
    <row r="146" spans="1:11" ht="22.5" customHeight="1">
      <c r="A146" s="2419" t="s">
        <v>142</v>
      </c>
      <c r="B146" s="2419"/>
      <c r="C146" s="2419"/>
      <c r="D146" s="2419"/>
      <c r="E146" s="2419"/>
      <c r="F146" s="2419"/>
      <c r="G146" s="2419"/>
      <c r="H146" s="2419"/>
      <c r="I146" s="2419"/>
      <c r="J146" s="2419"/>
      <c r="K146" s="2419"/>
    </row>
    <row r="147" spans="1:11" ht="11.25" customHeight="1">
      <c r="A147" s="247"/>
      <c r="B147" s="237"/>
      <c r="C147" s="241"/>
      <c r="D147" s="241"/>
      <c r="E147" s="242"/>
      <c r="F147" s="242"/>
      <c r="G147" s="242"/>
      <c r="H147" s="242"/>
      <c r="I147" s="242"/>
      <c r="J147" s="242"/>
      <c r="K147" s="242"/>
    </row>
    <row r="148" spans="1:11" ht="11.25" customHeight="1">
      <c r="A148" s="247"/>
      <c r="B148" s="237"/>
      <c r="C148" s="241"/>
      <c r="D148" s="241"/>
      <c r="E148" s="242"/>
      <c r="F148" s="242"/>
      <c r="G148" s="242"/>
      <c r="H148" s="242"/>
      <c r="I148" s="242"/>
      <c r="J148" s="242"/>
      <c r="K148" s="242"/>
    </row>
    <row r="149" spans="1:11" ht="11.25" customHeight="1">
      <c r="A149" s="289" t="s">
        <v>157</v>
      </c>
      <c r="B149" s="244"/>
      <c r="C149" s="290">
        <f>C71-'A4-FinPerf RE'!C60</f>
        <v>-323601803.00999999</v>
      </c>
      <c r="D149" s="290">
        <f>D71-'A4-FinPerf RE'!D60</f>
        <v>-97770078</v>
      </c>
      <c r="E149" s="1057">
        <f>E71-'A4-FinPerf RE'!E60</f>
        <v>-351213793</v>
      </c>
      <c r="F149" s="290">
        <f>F71-'A4-FinPerf RE'!F60</f>
        <v>-136512796</v>
      </c>
      <c r="G149" s="290">
        <f>G71-'A4-FinPerf RE'!G60</f>
        <v>-126513206</v>
      </c>
      <c r="H149" s="290">
        <f>H71-'A4-FinPerf RE'!H60</f>
        <v>-126513204</v>
      </c>
      <c r="I149" s="290">
        <f>I71-'A4-FinPerf RE'!J60</f>
        <v>-411313111</v>
      </c>
      <c r="J149" s="290">
        <f>J71-'A4-FinPerf RE'!K60</f>
        <v>-310819069.6970005</v>
      </c>
      <c r="K149" s="290">
        <f>K71-'A4-FinPerf RE'!L60</f>
        <v>-214215371.42033482</v>
      </c>
    </row>
    <row r="150" spans="1:11" ht="11.25" customHeight="1">
      <c r="A150" s="289" t="s">
        <v>944</v>
      </c>
      <c r="B150" s="244"/>
      <c r="C150" s="290">
        <f>C140-'A4-FinPerf RE'!C36</f>
        <v>-89419465.979999781</v>
      </c>
      <c r="D150" s="290">
        <f>D140-'A4-FinPerf RE'!D36</f>
        <v>471</v>
      </c>
      <c r="E150" s="1057">
        <f>E140-'A4-FinPerf RE'!E36</f>
        <v>-351123382</v>
      </c>
      <c r="F150" s="290">
        <f>F140-'A4-FinPerf RE'!F36</f>
        <v>472</v>
      </c>
      <c r="G150" s="290">
        <f>G140-'A4-FinPerf RE'!G36</f>
        <v>654</v>
      </c>
      <c r="H150" s="290">
        <f>H140-'A4-FinPerf RE'!H36</f>
        <v>654</v>
      </c>
      <c r="I150" s="290">
        <f>I140-'A4-FinPerf RE'!J36</f>
        <v>127</v>
      </c>
      <c r="J150" s="290">
        <f>J140-'A4-FinPerf RE'!K36</f>
        <v>46.328999996185303</v>
      </c>
      <c r="K150" s="290">
        <f>K140-'A4-FinPerf RE'!L36</f>
        <v>-450.48390483856201</v>
      </c>
    </row>
    <row r="151" spans="1:11" ht="11.25" customHeight="1"/>
    <row r="152" spans="1:11" ht="11.25" customHeight="1"/>
    <row r="153" spans="1:11" ht="11.25" customHeight="1"/>
    <row r="154" spans="1:11" ht="11.25" customHeight="1">
      <c r="E154" s="364"/>
    </row>
    <row r="155" spans="1:11" ht="11.25" customHeight="1"/>
    <row r="156" spans="1:11" ht="11.25" customHeight="1"/>
    <row r="157" spans="1:11" ht="11.25" customHeight="1"/>
    <row r="158" spans="1:11" ht="11.25" customHeight="1"/>
    <row r="159" spans="1:11" ht="11.25" customHeight="1"/>
    <row r="160" spans="1:11"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sheetData>
  <mergeCells count="3">
    <mergeCell ref="F2:H2"/>
    <mergeCell ref="I2:K2"/>
    <mergeCell ref="A146:K146"/>
  </mergeCells>
  <phoneticPr fontId="2" type="noConversion"/>
  <pageMargins left="0.25" right="0.25" top="0.75" bottom="0.75" header="0.3" footer="0.3"/>
  <pageSetup paperSize="9" scale="80"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1B105EF65D7DD4491576E22CD5875CF" ma:contentTypeVersion="0" ma:contentTypeDescription="Create a new document." ma:contentTypeScope="" ma:versionID="cddb5190987120b4bb0f5b1916b7e258">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9C0485B-0F27-4835-909D-CECBAB242B26}">
  <ds:schemaRefs>
    <ds:schemaRef ds:uri="http://schemas.microsoft.com/sharepoint/v3/contenttype/forms"/>
  </ds:schemaRefs>
</ds:datastoreItem>
</file>

<file path=customXml/itemProps2.xml><?xml version="1.0" encoding="utf-8"?>
<ds:datastoreItem xmlns:ds="http://schemas.openxmlformats.org/officeDocument/2006/customXml" ds:itemID="{BEF1994D-22C0-4C72-B378-4CF4C02C93AC}">
  <ds:schemaRefs>
    <ds:schemaRef ds:uri="http://schemas.microsoft.com/office/2006/metadata/properties"/>
    <ds:schemaRef ds:uri="http://purl.org/dc/elements/1.1/"/>
    <ds:schemaRef ds:uri="http://purl.org/dc/dcmitype/"/>
    <ds:schemaRef ds:uri="http://schemas.microsoft.com/office/2006/documentManagement/types"/>
    <ds:schemaRef ds:uri="http://www.w3.org/XML/1998/namespace"/>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357E2E55-DB2C-4785-9ADB-104E8244ED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237</vt:i4>
      </vt:variant>
    </vt:vector>
  </HeadingPairs>
  <TitlesOfParts>
    <vt:vector size="29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 &amp;13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SA35</vt:lpstr>
      <vt:lpstr>SA36</vt:lpstr>
      <vt:lpstr>SA37</vt:lpstr>
      <vt:lpstr>NERF</vt:lpstr>
      <vt:lpstr>MSCOA</vt:lpstr>
      <vt:lpstr>Compliance assessment</vt:lpstr>
      <vt:lpstr>Sheet1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Example_1___Vote1</vt:lpstr>
      <vt:lpstr>FinYear</vt:lpstr>
      <vt:lpstr>GrantNatCapex</vt:lpstr>
      <vt:lpstr>GrantNatOpex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 &amp;13'!Print_Area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Vote2</vt:lpstr>
      <vt:lpstr>Vote3</vt:lpstr>
      <vt:lpstr>Vote4</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Rajan Pillay</cp:lastModifiedBy>
  <cp:lastPrinted>2011-06-01T14:28:25Z</cp:lastPrinted>
  <dcterms:created xsi:type="dcterms:W3CDTF">2004-04-07T16:19:08Z</dcterms:created>
  <dcterms:modified xsi:type="dcterms:W3CDTF">2011-06-01T14:47:23Z</dcterms:modified>
</cp:coreProperties>
</file>