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MAY 2020\"/>
    </mc:Choice>
  </mc:AlternateContent>
  <workbookProtection workbookAlgorithmName="SHA-512" workbookHashValue="RVp2FNtNhP4AMFvrwaBXI1HO0u+s/r3TPZbrGcuCC1rt7uOnoHFDelNIAvZ/dsxjYR1tYfTgAsFSlf7CjDhOgw==" workbookSaltValue="xMgLkAZPzVZmMYsE6xvb3g==" workbookSpinCount="100000" lockStructure="1"/>
  <bookViews>
    <workbookView xWindow="0" yWindow="0" windowWidth="11970" windowHeight="9270" tabRatio="792" firstSheet="12" activeTab="33"/>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'SC1'!$A$1:$E$50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'SC6'!$A$1:$K$58</definedName>
    <definedName name="_xlnm.Print_Area" localSheetId="22">'SC7(1)'!$A$1:$K$58</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26" i="269" l="1"/>
  <c r="K26" i="269"/>
  <c r="K26" i="270"/>
  <c r="H26" i="270"/>
  <c r="H158" i="335" l="1"/>
  <c r="H152" i="335"/>
  <c r="H149" i="335"/>
  <c r="H108" i="335"/>
  <c r="H46" i="335"/>
  <c r="H30" i="335"/>
  <c r="H18" i="335"/>
  <c r="H9" i="335"/>
  <c r="H9" i="333"/>
  <c r="H21" i="333"/>
  <c r="H20" i="333"/>
  <c r="H19" i="333"/>
  <c r="H25" i="333"/>
  <c r="H30" i="333"/>
  <c r="H40" i="333"/>
  <c r="H46" i="333"/>
  <c r="H54" i="333"/>
  <c r="H119" i="333"/>
  <c r="H144" i="333"/>
  <c r="H149" i="333"/>
  <c r="H152" i="333"/>
  <c r="H155" i="333"/>
  <c r="H19" i="325"/>
  <c r="H22" i="325"/>
  <c r="H25" i="325"/>
  <c r="H96" i="325"/>
  <c r="H119" i="325"/>
  <c r="H155" i="325"/>
  <c r="H9" i="326"/>
  <c r="H46" i="326"/>
  <c r="H152" i="326"/>
  <c r="H155" i="326"/>
  <c r="H161" i="242"/>
  <c r="H155" i="242"/>
  <c r="H152" i="242"/>
  <c r="H149" i="242"/>
  <c r="H144" i="242"/>
  <c r="H108" i="242"/>
  <c r="H88" i="242"/>
  <c r="H84" i="242"/>
  <c r="H77" i="242"/>
  <c r="H46" i="242"/>
  <c r="H23" i="242"/>
  <c r="H18" i="242"/>
  <c r="H9" i="242"/>
  <c r="H39" i="181"/>
  <c r="H35" i="181"/>
  <c r="H34" i="181"/>
  <c r="H33" i="181"/>
  <c r="H32" i="181"/>
  <c r="H31" i="181"/>
  <c r="H30" i="181"/>
  <c r="H29" i="181"/>
  <c r="H28" i="181"/>
  <c r="H27" i="181"/>
  <c r="H26" i="181"/>
  <c r="H25" i="181"/>
  <c r="H20" i="181"/>
  <c r="H19" i="181"/>
  <c r="H18" i="181"/>
  <c r="H17" i="181"/>
  <c r="H16" i="181"/>
  <c r="H14" i="181"/>
  <c r="H13" i="181"/>
  <c r="H12" i="181"/>
  <c r="H10" i="181"/>
  <c r="H9" i="181"/>
  <c r="H8" i="181"/>
  <c r="H7" i="181"/>
  <c r="H6" i="181"/>
  <c r="H77" i="318"/>
  <c r="H76" i="318"/>
  <c r="H75" i="318"/>
  <c r="H74" i="318"/>
  <c r="H73" i="318"/>
  <c r="H72" i="318"/>
  <c r="H71" i="318"/>
  <c r="H63" i="318"/>
  <c r="H44" i="318"/>
  <c r="H42" i="318"/>
  <c r="H41" i="318"/>
  <c r="H40" i="318"/>
  <c r="H39" i="318"/>
  <c r="H38" i="318"/>
  <c r="H37" i="318"/>
  <c r="H36" i="318"/>
  <c r="H35" i="318"/>
  <c r="H34" i="318"/>
  <c r="H25" i="318"/>
  <c r="H24" i="318"/>
  <c r="H23" i="318"/>
  <c r="H22" i="318"/>
  <c r="H20" i="318"/>
  <c r="H19" i="318"/>
  <c r="H18" i="318"/>
  <c r="H12" i="318"/>
  <c r="H11" i="318"/>
  <c r="H10" i="318"/>
  <c r="H9" i="318"/>
  <c r="H8" i="318"/>
  <c r="H7" i="318"/>
  <c r="H51" i="269"/>
  <c r="H50" i="269"/>
  <c r="H49" i="269"/>
  <c r="H48" i="269"/>
  <c r="H43" i="269"/>
  <c r="H42" i="269"/>
  <c r="H38" i="269"/>
  <c r="H37" i="269"/>
  <c r="H36" i="269"/>
  <c r="H27" i="269"/>
  <c r="H25" i="269"/>
  <c r="H23" i="269"/>
  <c r="H22" i="269"/>
  <c r="H19" i="269"/>
  <c r="H16" i="269"/>
  <c r="H14" i="269"/>
  <c r="H12" i="269"/>
  <c r="H10" i="269"/>
  <c r="H9" i="269"/>
  <c r="H51" i="270"/>
  <c r="H50" i="270"/>
  <c r="H49" i="270"/>
  <c r="H48" i="270"/>
  <c r="H43" i="270"/>
  <c r="H42" i="270"/>
  <c r="H38" i="270"/>
  <c r="H37" i="270"/>
  <c r="H36" i="270"/>
  <c r="H27" i="270"/>
  <c r="H25" i="270"/>
  <c r="H23" i="270"/>
  <c r="H22" i="270"/>
  <c r="H19" i="270"/>
  <c r="H16" i="270"/>
  <c r="H14" i="270"/>
  <c r="H12" i="270"/>
  <c r="H10" i="270"/>
  <c r="H9" i="270"/>
  <c r="H36" i="177"/>
  <c r="H27" i="177"/>
  <c r="H17" i="177"/>
  <c r="H16" i="177"/>
  <c r="H15" i="177"/>
  <c r="H12" i="177"/>
  <c r="H11" i="177"/>
  <c r="H10" i="177"/>
  <c r="H9" i="177"/>
  <c r="H8" i="177"/>
  <c r="H7" i="177"/>
  <c r="H20" i="324"/>
  <c r="H19" i="324"/>
  <c r="H33" i="324"/>
  <c r="H32" i="324"/>
  <c r="H31" i="324"/>
  <c r="H30" i="324"/>
  <c r="H44" i="324"/>
  <c r="H55" i="324"/>
  <c r="H54" i="324"/>
  <c r="H52" i="324"/>
  <c r="H63" i="324"/>
  <c r="H66" i="324"/>
  <c r="H65" i="324"/>
  <c r="H180" i="324"/>
  <c r="H179" i="324"/>
  <c r="H178" i="324"/>
  <c r="H177" i="324"/>
  <c r="H189" i="324"/>
  <c r="H188" i="324"/>
  <c r="H192" i="324"/>
  <c r="H191" i="324"/>
  <c r="H201" i="324"/>
  <c r="H200" i="324"/>
  <c r="H199" i="324"/>
  <c r="H214" i="324"/>
  <c r="H213" i="324"/>
  <c r="H212" i="324"/>
  <c r="H211" i="324"/>
  <c r="H210" i="324"/>
  <c r="H224" i="324"/>
  <c r="H223" i="324"/>
  <c r="H222" i="324"/>
  <c r="H221" i="324"/>
  <c r="H232" i="324"/>
  <c r="H235" i="324"/>
  <c r="H234" i="324"/>
  <c r="H73" i="268"/>
  <c r="H72" i="268"/>
  <c r="H67" i="268"/>
  <c r="H66" i="268"/>
  <c r="H62" i="268"/>
  <c r="H61" i="268"/>
  <c r="H60" i="268"/>
  <c r="H59" i="268"/>
  <c r="H58" i="268"/>
  <c r="H55" i="268"/>
  <c r="H54" i="268"/>
  <c r="H51" i="268"/>
  <c r="H50" i="268"/>
  <c r="H49" i="268"/>
  <c r="H48" i="268"/>
  <c r="H46" i="268"/>
  <c r="H45" i="268"/>
  <c r="H44" i="268"/>
  <c r="H39" i="182"/>
  <c r="H34" i="182"/>
  <c r="H33" i="182"/>
  <c r="H32" i="182"/>
  <c r="H31" i="182"/>
  <c r="H30" i="182"/>
  <c r="H29" i="182"/>
  <c r="H28" i="182"/>
  <c r="H27" i="182"/>
  <c r="H26" i="182"/>
  <c r="H25" i="182"/>
  <c r="H20" i="182"/>
  <c r="H19" i="182"/>
  <c r="H18" i="182"/>
  <c r="H17" i="182"/>
  <c r="H16" i="182"/>
  <c r="H14" i="182"/>
  <c r="H13" i="182"/>
  <c r="H12" i="182"/>
  <c r="H10" i="182"/>
  <c r="H9" i="182"/>
  <c r="H8" i="182"/>
  <c r="H7" i="182"/>
  <c r="H6" i="182"/>
  <c r="H234" i="323"/>
  <c r="H233" i="323"/>
  <c r="H232" i="323"/>
  <c r="H231" i="323"/>
  <c r="H230" i="323"/>
  <c r="H223" i="323"/>
  <c r="H222" i="323"/>
  <c r="H221" i="323"/>
  <c r="H220" i="323"/>
  <c r="H219" i="323"/>
  <c r="H212" i="323"/>
  <c r="H211" i="323"/>
  <c r="H210" i="323"/>
  <c r="H209" i="323"/>
  <c r="H208" i="323"/>
  <c r="H200" i="323"/>
  <c r="H199" i="323"/>
  <c r="H198" i="323"/>
  <c r="H197" i="323"/>
  <c r="H190" i="323"/>
  <c r="H189" i="323"/>
  <c r="H188" i="323"/>
  <c r="H187" i="323"/>
  <c r="H186" i="323"/>
  <c r="H178" i="323"/>
  <c r="H177" i="323"/>
  <c r="H176" i="323"/>
  <c r="H175" i="323"/>
  <c r="H65" i="323"/>
  <c r="H64" i="323"/>
  <c r="H63" i="323"/>
  <c r="H62" i="323"/>
  <c r="H54" i="323"/>
  <c r="H53" i="323"/>
  <c r="H52" i="323"/>
  <c r="H51" i="323"/>
  <c r="H43" i="323"/>
  <c r="H42" i="323"/>
  <c r="H41" i="323"/>
  <c r="H40" i="323"/>
  <c r="H32" i="323"/>
  <c r="H31" i="323"/>
  <c r="H30" i="323"/>
  <c r="H29" i="323"/>
  <c r="H22" i="323"/>
  <c r="H21" i="323"/>
  <c r="H20" i="323"/>
  <c r="H19" i="323"/>
  <c r="H18" i="323"/>
  <c r="H8" i="323"/>
  <c r="H246" i="330"/>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7" i="330"/>
  <c r="H90" i="330"/>
  <c r="H88" i="330"/>
  <c r="H83" i="330"/>
  <c r="H65" i="330"/>
  <c r="H62" i="330"/>
  <c r="H60" i="330"/>
  <c r="H53" i="330"/>
  <c r="H44" i="330"/>
  <c r="H41" i="330"/>
  <c r="H33" i="330"/>
  <c r="H31" i="330"/>
  <c r="H22" i="330"/>
  <c r="H19" i="330"/>
  <c r="H17" i="330"/>
  <c r="H16" i="330"/>
  <c r="H15" i="330"/>
  <c r="H13" i="330"/>
  <c r="H12" i="330"/>
  <c r="H9" i="330"/>
  <c r="G47" i="178" l="1"/>
  <c r="G46" i="178"/>
  <c r="G39" i="178"/>
  <c r="G38" i="178"/>
  <c r="G34" i="178"/>
  <c r="G33" i="178"/>
  <c r="G32" i="178"/>
  <c r="G31" i="178"/>
  <c r="G23" i="178"/>
  <c r="G20" i="178"/>
  <c r="G18" i="178"/>
  <c r="G8" i="178"/>
  <c r="G9" i="178"/>
  <c r="G10" i="178"/>
  <c r="G12" i="178"/>
  <c r="G7" i="178"/>
  <c r="K234" i="324" l="1"/>
  <c r="K214" i="324"/>
  <c r="K213" i="324"/>
  <c r="K212" i="324"/>
  <c r="K211" i="324"/>
  <c r="K44" i="324"/>
  <c r="K84" i="242"/>
  <c r="K51" i="269"/>
  <c r="K50" i="269"/>
  <c r="K49" i="269"/>
  <c r="K48" i="269"/>
  <c r="K43" i="269"/>
  <c r="K42" i="269"/>
  <c r="K38" i="269"/>
  <c r="K37" i="269"/>
  <c r="K36" i="269"/>
  <c r="I51" i="269"/>
  <c r="J51" i="269" s="1"/>
  <c r="K25" i="269"/>
  <c r="K23" i="269"/>
  <c r="K22" i="269"/>
  <c r="K19" i="269"/>
  <c r="K16" i="269"/>
  <c r="K14" i="269"/>
  <c r="K12" i="269"/>
  <c r="K10" i="269"/>
  <c r="K9" i="269"/>
  <c r="K51" i="270"/>
  <c r="K50" i="270"/>
  <c r="K49" i="270"/>
  <c r="G18" i="270"/>
  <c r="F18" i="270"/>
  <c r="D18" i="270"/>
  <c r="E18" i="270"/>
  <c r="K19" i="270"/>
  <c r="I119" i="333" l="1"/>
  <c r="J119" i="333" s="1"/>
  <c r="I152" i="326"/>
  <c r="J152" i="326" s="1"/>
  <c r="H160" i="242"/>
  <c r="I160" i="242" s="1"/>
  <c r="J160" i="242" s="1"/>
  <c r="I108" i="242"/>
  <c r="J108" i="242" s="1"/>
  <c r="I33" i="181"/>
  <c r="J33" i="181" s="1"/>
  <c r="H36" i="181"/>
  <c r="I16" i="181"/>
  <c r="J16" i="181" s="1"/>
  <c r="I75" i="318"/>
  <c r="J75" i="318" s="1"/>
  <c r="I72" i="318"/>
  <c r="J72" i="318" s="1"/>
  <c r="H46" i="318"/>
  <c r="I10" i="318"/>
  <c r="J10" i="318" s="1"/>
  <c r="H14" i="318"/>
  <c r="H44" i="269"/>
  <c r="I43" i="269"/>
  <c r="J43" i="269" s="1"/>
  <c r="I27" i="269"/>
  <c r="J27" i="269" s="1"/>
  <c r="H18" i="269"/>
  <c r="I22" i="269"/>
  <c r="I16" i="269"/>
  <c r="J16" i="269" s="1"/>
  <c r="I10" i="269"/>
  <c r="J10" i="269" s="1"/>
  <c r="I43" i="270"/>
  <c r="J43" i="270" s="1"/>
  <c r="I42" i="270"/>
  <c r="I37" i="270"/>
  <c r="J37" i="270" s="1"/>
  <c r="I9" i="270"/>
  <c r="H18" i="177"/>
  <c r="H220" i="324"/>
  <c r="H28" i="268" s="1"/>
  <c r="I201" i="324"/>
  <c r="J201" i="324" s="1"/>
  <c r="H187" i="324"/>
  <c r="I177" i="324"/>
  <c r="J177" i="324" s="1"/>
  <c r="H40" i="324"/>
  <c r="H9" i="268" s="1"/>
  <c r="I30" i="324"/>
  <c r="J30" i="324" s="1"/>
  <c r="I20" i="324"/>
  <c r="J20" i="324" s="1"/>
  <c r="I19" i="324"/>
  <c r="J19" i="324" s="1"/>
  <c r="H70" i="268"/>
  <c r="G29" i="267" s="1"/>
  <c r="I66" i="268"/>
  <c r="J66" i="268" s="1"/>
  <c r="I55" i="268"/>
  <c r="J55" i="268" s="1"/>
  <c r="I50" i="268"/>
  <c r="J50" i="268" s="1"/>
  <c r="I49" i="268"/>
  <c r="J49" i="268" s="1"/>
  <c r="I35" i="182"/>
  <c r="J35" i="182" s="1"/>
  <c r="I34" i="182"/>
  <c r="J34" i="182" s="1"/>
  <c r="G16" i="267"/>
  <c r="I30" i="182"/>
  <c r="J30" i="182" s="1"/>
  <c r="I29" i="182"/>
  <c r="J29" i="182" s="1"/>
  <c r="G14" i="267"/>
  <c r="I26" i="182"/>
  <c r="J26" i="182" s="1"/>
  <c r="I25" i="182"/>
  <c r="J25" i="182" s="1"/>
  <c r="G9" i="267"/>
  <c r="I16" i="182"/>
  <c r="J16" i="182" s="1"/>
  <c r="I13" i="182"/>
  <c r="J13" i="182" s="1"/>
  <c r="I9" i="182"/>
  <c r="J9" i="182" s="1"/>
  <c r="I223" i="323"/>
  <c r="J223" i="323" s="1"/>
  <c r="I211" i="323"/>
  <c r="J211" i="323" s="1"/>
  <c r="I197" i="323"/>
  <c r="J197" i="323" s="1"/>
  <c r="I189" i="323"/>
  <c r="J189" i="323" s="1"/>
  <c r="I187" i="323"/>
  <c r="J187" i="323" s="1"/>
  <c r="I64" i="323"/>
  <c r="J64" i="323" s="1"/>
  <c r="H39" i="323"/>
  <c r="I41" i="323"/>
  <c r="J41" i="323" s="1"/>
  <c r="H28" i="323"/>
  <c r="I20" i="323"/>
  <c r="J20" i="323" s="1"/>
  <c r="H17" i="323"/>
  <c r="I231" i="330"/>
  <c r="J231" i="330" s="1"/>
  <c r="I187" i="330"/>
  <c r="J187" i="330" s="1"/>
  <c r="I167" i="330"/>
  <c r="J167" i="330" s="1"/>
  <c r="I140" i="330"/>
  <c r="J140" i="330" s="1"/>
  <c r="I133" i="330"/>
  <c r="J133" i="330" s="1"/>
  <c r="I131" i="330"/>
  <c r="J131" i="330" s="1"/>
  <c r="H129" i="330"/>
  <c r="H104" i="330"/>
  <c r="I15" i="330"/>
  <c r="J15" i="330" s="1"/>
  <c r="H148" i="335"/>
  <c r="I148" i="335" s="1"/>
  <c r="J148" i="335" s="1"/>
  <c r="I29" i="181"/>
  <c r="J29" i="181" s="1"/>
  <c r="I12" i="181"/>
  <c r="J12" i="181" s="1"/>
  <c r="I76" i="318"/>
  <c r="J76" i="318" s="1"/>
  <c r="I44" i="318"/>
  <c r="J44" i="318" s="1"/>
  <c r="I39" i="318"/>
  <c r="J39" i="318" s="1"/>
  <c r="I35" i="318"/>
  <c r="J35" i="318" s="1"/>
  <c r="H30" i="318"/>
  <c r="I36" i="269"/>
  <c r="I15" i="177"/>
  <c r="J15" i="177" s="1"/>
  <c r="I9" i="177"/>
  <c r="J9" i="177" s="1"/>
  <c r="I60" i="268"/>
  <c r="J60" i="268" s="1"/>
  <c r="H57" i="268"/>
  <c r="H43" i="268"/>
  <c r="G17" i="267"/>
  <c r="G7" i="267"/>
  <c r="I231" i="323"/>
  <c r="J231" i="323" s="1"/>
  <c r="I220" i="323"/>
  <c r="J220" i="323" s="1"/>
  <c r="I177" i="323"/>
  <c r="J177" i="323" s="1"/>
  <c r="I63" i="323"/>
  <c r="J63" i="323" s="1"/>
  <c r="I40" i="323"/>
  <c r="J40" i="323" s="1"/>
  <c r="I174" i="330"/>
  <c r="J174" i="330" s="1"/>
  <c r="I116" i="330"/>
  <c r="J116" i="330" s="1"/>
  <c r="I158" i="335"/>
  <c r="J158" i="335" s="1"/>
  <c r="H27" i="335"/>
  <c r="I27" i="335" s="1"/>
  <c r="J27" i="335" s="1"/>
  <c r="H151" i="326"/>
  <c r="I17" i="181"/>
  <c r="J17" i="181" s="1"/>
  <c r="I22" i="318"/>
  <c r="J22" i="318" s="1"/>
  <c r="I18" i="318"/>
  <c r="J18" i="318" s="1"/>
  <c r="I14" i="270"/>
  <c r="J14" i="270" s="1"/>
  <c r="I16" i="177"/>
  <c r="J16" i="177" s="1"/>
  <c r="I10" i="177"/>
  <c r="J10" i="177" s="1"/>
  <c r="H198" i="324"/>
  <c r="H26" i="268" s="1"/>
  <c r="I61" i="268"/>
  <c r="J61" i="268" s="1"/>
  <c r="I18" i="182"/>
  <c r="J18" i="182" s="1"/>
  <c r="I139" i="330"/>
  <c r="J139" i="330" s="1"/>
  <c r="I134" i="330"/>
  <c r="J134" i="330" s="1"/>
  <c r="I83" i="330"/>
  <c r="J83" i="330" s="1"/>
  <c r="H10" i="330"/>
  <c r="H8" i="241" s="1"/>
  <c r="K44" i="318"/>
  <c r="K42" i="318"/>
  <c r="K41" i="318"/>
  <c r="K40" i="318"/>
  <c r="K39" i="318"/>
  <c r="K38" i="318"/>
  <c r="K37" i="318"/>
  <c r="K36" i="318"/>
  <c r="K35" i="318"/>
  <c r="K34" i="318"/>
  <c r="K25" i="318"/>
  <c r="K24" i="318"/>
  <c r="K23" i="318"/>
  <c r="K22" i="318"/>
  <c r="K20" i="318"/>
  <c r="K19" i="318"/>
  <c r="K18" i="318"/>
  <c r="K12" i="318"/>
  <c r="K11" i="318"/>
  <c r="K10" i="318"/>
  <c r="K9" i="318"/>
  <c r="K8" i="318"/>
  <c r="K7" i="318"/>
  <c r="K63" i="318"/>
  <c r="K77" i="318"/>
  <c r="K76" i="318"/>
  <c r="K75" i="318"/>
  <c r="K74" i="318"/>
  <c r="K73" i="318"/>
  <c r="K72" i="318"/>
  <c r="K71" i="318"/>
  <c r="K9" i="242"/>
  <c r="K8" i="242" s="1"/>
  <c r="K18" i="242"/>
  <c r="K23" i="242"/>
  <c r="K46" i="242"/>
  <c r="K77" i="242"/>
  <c r="K88" i="242"/>
  <c r="K108" i="242"/>
  <c r="K144" i="242"/>
  <c r="K149" i="242"/>
  <c r="K152" i="242"/>
  <c r="K155" i="242"/>
  <c r="K161" i="242"/>
  <c r="K155" i="326"/>
  <c r="K152" i="326"/>
  <c r="K46" i="326"/>
  <c r="K9" i="326"/>
  <c r="K9" i="335"/>
  <c r="K18" i="335"/>
  <c r="K30" i="335"/>
  <c r="K46" i="335"/>
  <c r="K108" i="335"/>
  <c r="K149" i="335"/>
  <c r="K152" i="335"/>
  <c r="K158" i="335"/>
  <c r="K155" i="333"/>
  <c r="K152" i="333"/>
  <c r="K149" i="333"/>
  <c r="K144" i="333"/>
  <c r="K119" i="333"/>
  <c r="K54" i="333"/>
  <c r="K46" i="333"/>
  <c r="K40" i="333"/>
  <c r="K30" i="333"/>
  <c r="K25" i="333"/>
  <c r="K21" i="333"/>
  <c r="K20" i="333"/>
  <c r="K19" i="333"/>
  <c r="K9" i="333"/>
  <c r="K10" i="181"/>
  <c r="K9" i="181"/>
  <c r="K8" i="181"/>
  <c r="K7" i="181"/>
  <c r="K6" i="181"/>
  <c r="K20" i="181"/>
  <c r="K19" i="181"/>
  <c r="K18" i="181"/>
  <c r="K17" i="181"/>
  <c r="K16" i="181"/>
  <c r="K14" i="181"/>
  <c r="K13" i="181"/>
  <c r="K12" i="181"/>
  <c r="K35" i="181"/>
  <c r="K34" i="181"/>
  <c r="K33" i="181"/>
  <c r="K32" i="181"/>
  <c r="K31" i="181"/>
  <c r="K30" i="181"/>
  <c r="K29" i="181"/>
  <c r="K28" i="181"/>
  <c r="K27" i="181"/>
  <c r="K26" i="181"/>
  <c r="K25" i="181"/>
  <c r="K39" i="181"/>
  <c r="K48" i="270"/>
  <c r="K44" i="270" s="1"/>
  <c r="K43" i="270"/>
  <c r="K42" i="270"/>
  <c r="K38" i="270"/>
  <c r="K37" i="270"/>
  <c r="K36" i="270"/>
  <c r="K35" i="270" s="1"/>
  <c r="K18" i="270"/>
  <c r="K25" i="270"/>
  <c r="K23" i="270"/>
  <c r="K22" i="270"/>
  <c r="K16" i="270"/>
  <c r="K14" i="270"/>
  <c r="K12" i="270"/>
  <c r="K10" i="270"/>
  <c r="K9" i="270"/>
  <c r="K12" i="177"/>
  <c r="K11" i="177"/>
  <c r="K10" i="177"/>
  <c r="K9" i="177"/>
  <c r="K8" i="177"/>
  <c r="K7" i="177"/>
  <c r="K17" i="177"/>
  <c r="K16" i="177"/>
  <c r="K15" i="177"/>
  <c r="K27" i="177"/>
  <c r="K36" i="177"/>
  <c r="I223" i="324"/>
  <c r="J223" i="324" s="1"/>
  <c r="I63" i="324"/>
  <c r="J63" i="324" s="1"/>
  <c r="I32" i="324"/>
  <c r="J32" i="324" s="1"/>
  <c r="K235" i="324"/>
  <c r="K231" i="324"/>
  <c r="K29" i="268" s="1"/>
  <c r="K232" i="324"/>
  <c r="K224" i="324"/>
  <c r="K223" i="324"/>
  <c r="K222" i="324"/>
  <c r="K221" i="324"/>
  <c r="K210" i="324"/>
  <c r="K201" i="324"/>
  <c r="K200" i="324"/>
  <c r="K199" i="324"/>
  <c r="K192" i="324"/>
  <c r="K191" i="324"/>
  <c r="K189" i="324"/>
  <c r="K188" i="324"/>
  <c r="K187" i="324" s="1"/>
  <c r="K180" i="324"/>
  <c r="K179" i="324"/>
  <c r="K178" i="324"/>
  <c r="K177" i="324"/>
  <c r="K66" i="324"/>
  <c r="K65" i="324"/>
  <c r="K63" i="324"/>
  <c r="K55" i="324"/>
  <c r="K54" i="324"/>
  <c r="K52" i="324"/>
  <c r="K51" i="324" s="1"/>
  <c r="K10" i="268" s="1"/>
  <c r="K33" i="324"/>
  <c r="K29" i="324" s="1"/>
  <c r="K8" i="268" s="1"/>
  <c r="K32" i="324"/>
  <c r="K31" i="324"/>
  <c r="K30" i="324"/>
  <c r="K20" i="324"/>
  <c r="K19" i="324"/>
  <c r="K18" i="324"/>
  <c r="K9" i="324"/>
  <c r="H7" i="324"/>
  <c r="K73" i="268"/>
  <c r="K72" i="268"/>
  <c r="K67" i="268"/>
  <c r="K66" i="268"/>
  <c r="K70" i="268" s="1"/>
  <c r="K62" i="268"/>
  <c r="K61" i="268"/>
  <c r="K60" i="268"/>
  <c r="K59" i="268"/>
  <c r="K58" i="268"/>
  <c r="K53" i="268"/>
  <c r="K55" i="268"/>
  <c r="K54" i="268"/>
  <c r="K51" i="268"/>
  <c r="K50" i="268"/>
  <c r="K49" i="268"/>
  <c r="K47" i="268" s="1"/>
  <c r="K48" i="268"/>
  <c r="K46" i="268"/>
  <c r="K45" i="268"/>
  <c r="K44" i="268"/>
  <c r="I32" i="182"/>
  <c r="J32" i="182" s="1"/>
  <c r="I12" i="182"/>
  <c r="J12" i="182" s="1"/>
  <c r="K39" i="182"/>
  <c r="K35" i="182"/>
  <c r="K34" i="182"/>
  <c r="K33" i="182"/>
  <c r="K32" i="182"/>
  <c r="K31" i="182"/>
  <c r="K30" i="182"/>
  <c r="K29" i="182"/>
  <c r="H42" i="174" s="1"/>
  <c r="K28" i="182"/>
  <c r="K27" i="182"/>
  <c r="K26" i="182"/>
  <c r="K25" i="182"/>
  <c r="J12" i="267" s="1"/>
  <c r="K20" i="182"/>
  <c r="K19" i="182"/>
  <c r="K18" i="182"/>
  <c r="K17" i="182"/>
  <c r="K16" i="182"/>
  <c r="K14" i="182"/>
  <c r="K13" i="182"/>
  <c r="K12" i="182"/>
  <c r="J10" i="267" s="1"/>
  <c r="K10" i="182"/>
  <c r="K9" i="182"/>
  <c r="K8" i="182"/>
  <c r="J7" i="267" s="1"/>
  <c r="K7" i="182"/>
  <c r="K6" i="182"/>
  <c r="K234" i="323"/>
  <c r="K233" i="323"/>
  <c r="K232" i="323"/>
  <c r="K231" i="323"/>
  <c r="K230" i="323"/>
  <c r="K223" i="323"/>
  <c r="K222" i="323"/>
  <c r="K221" i="323"/>
  <c r="K220" i="323"/>
  <c r="K218" i="323" s="1"/>
  <c r="K28" i="272" s="1"/>
  <c r="K219" i="323"/>
  <c r="K212" i="323"/>
  <c r="K211" i="323"/>
  <c r="K210" i="323"/>
  <c r="K207" i="323"/>
  <c r="K27" i="272" s="1"/>
  <c r="K209" i="323"/>
  <c r="K208" i="323"/>
  <c r="K200" i="323"/>
  <c r="K199" i="323"/>
  <c r="K198" i="323"/>
  <c r="K196" i="323"/>
  <c r="K26" i="272" s="1"/>
  <c r="K197" i="323"/>
  <c r="K190" i="323"/>
  <c r="K189" i="323"/>
  <c r="K188" i="323"/>
  <c r="K187" i="323"/>
  <c r="K186" i="323"/>
  <c r="K185" i="323" s="1"/>
  <c r="K25" i="272" s="1"/>
  <c r="K178" i="323"/>
  <c r="K177" i="323"/>
  <c r="K176" i="323"/>
  <c r="K174" i="323" s="1"/>
  <c r="K175" i="323"/>
  <c r="K65" i="323"/>
  <c r="K64" i="323"/>
  <c r="K61" i="323" s="1"/>
  <c r="K11" i="272" s="1"/>
  <c r="K63" i="323"/>
  <c r="K62" i="323"/>
  <c r="K54" i="323"/>
  <c r="K53" i="323"/>
  <c r="K50" i="323" s="1"/>
  <c r="K10" i="272" s="1"/>
  <c r="K52" i="323"/>
  <c r="K51" i="323"/>
  <c r="K43" i="323"/>
  <c r="K42" i="323"/>
  <c r="K39" i="323" s="1"/>
  <c r="K9" i="272" s="1"/>
  <c r="K41" i="323"/>
  <c r="K40" i="323"/>
  <c r="K32" i="323"/>
  <c r="K31" i="323"/>
  <c r="K30" i="323"/>
  <c r="K28" i="323" s="1"/>
  <c r="K8" i="272" s="1"/>
  <c r="K29" i="323"/>
  <c r="K22" i="323"/>
  <c r="K21" i="323"/>
  <c r="K20" i="323"/>
  <c r="K19" i="323"/>
  <c r="K18" i="323"/>
  <c r="K17" i="323" s="1"/>
  <c r="K7" i="272" s="1"/>
  <c r="K8" i="323"/>
  <c r="K246" i="330"/>
  <c r="K245" i="330"/>
  <c r="K244" i="330"/>
  <c r="K243" i="330"/>
  <c r="K242" i="330"/>
  <c r="K238" i="330"/>
  <c r="K237" i="330"/>
  <c r="K233" i="330"/>
  <c r="K232" i="330"/>
  <c r="K231" i="330"/>
  <c r="K228" i="330"/>
  <c r="K224" i="330"/>
  <c r="K223" i="330"/>
  <c r="K219" i="330"/>
  <c r="K218" i="330"/>
  <c r="K213" i="330"/>
  <c r="K212" i="330"/>
  <c r="K210" i="330"/>
  <c r="K205" i="330"/>
  <c r="K203" i="330"/>
  <c r="K200" i="330"/>
  <c r="K191" i="330"/>
  <c r="K187" i="330"/>
  <c r="K184" i="330"/>
  <c r="K182" i="330"/>
  <c r="K178" i="330"/>
  <c r="K175" i="330"/>
  <c r="K174" i="330"/>
  <c r="K167" i="330"/>
  <c r="K166" i="330"/>
  <c r="K149" i="330" s="1"/>
  <c r="K163" i="330"/>
  <c r="K155" i="330"/>
  <c r="K153" i="330"/>
  <c r="K152" i="330"/>
  <c r="K150" i="330"/>
  <c r="K147" i="330"/>
  <c r="K144" i="330"/>
  <c r="K143" i="330"/>
  <c r="K141" i="330"/>
  <c r="K140" i="330"/>
  <c r="K139" i="330"/>
  <c r="K138" i="330"/>
  <c r="K137" i="330"/>
  <c r="K135" i="330"/>
  <c r="K134" i="330"/>
  <c r="K133" i="330"/>
  <c r="K132" i="330" s="1"/>
  <c r="K31" i="241" s="1"/>
  <c r="K131" i="330"/>
  <c r="K130" i="330"/>
  <c r="K9" i="330"/>
  <c r="K13" i="330"/>
  <c r="K12" i="330"/>
  <c r="K17" i="330"/>
  <c r="K16" i="330"/>
  <c r="K10" i="330" s="1"/>
  <c r="K15" i="330"/>
  <c r="K19" i="330"/>
  <c r="K22" i="330"/>
  <c r="K33" i="330"/>
  <c r="K31" i="330"/>
  <c r="K41" i="330"/>
  <c r="K44" i="330"/>
  <c r="K53" i="330"/>
  <c r="K60" i="330"/>
  <c r="K62" i="330"/>
  <c r="K65" i="330"/>
  <c r="K83" i="330"/>
  <c r="K90" i="330"/>
  <c r="K88" i="330"/>
  <c r="K97" i="330"/>
  <c r="K101" i="330"/>
  <c r="K106" i="330"/>
  <c r="K110" i="330"/>
  <c r="K116" i="330"/>
  <c r="K115" i="330"/>
  <c r="K122" i="330"/>
  <c r="K121" i="330"/>
  <c r="K120" i="330"/>
  <c r="K123" i="330"/>
  <c r="I19" i="181"/>
  <c r="J19" i="181" s="1"/>
  <c r="I18" i="181"/>
  <c r="J18" i="181" s="1"/>
  <c r="I77" i="318"/>
  <c r="J77" i="318" s="1"/>
  <c r="I40" i="318"/>
  <c r="J40" i="318" s="1"/>
  <c r="I36" i="318"/>
  <c r="J36" i="318" s="1"/>
  <c r="I54" i="324"/>
  <c r="J54" i="324" s="1"/>
  <c r="I28" i="182"/>
  <c r="J28" i="182" s="1"/>
  <c r="I17" i="182"/>
  <c r="J17" i="182" s="1"/>
  <c r="I14" i="182"/>
  <c r="J14" i="182" s="1"/>
  <c r="I233" i="323"/>
  <c r="J233" i="323" s="1"/>
  <c r="I209" i="323"/>
  <c r="J209" i="323" s="1"/>
  <c r="I198" i="323"/>
  <c r="J198" i="323" s="1"/>
  <c r="I137" i="330"/>
  <c r="J137" i="330" s="1"/>
  <c r="I28" i="181"/>
  <c r="J28" i="181" s="1"/>
  <c r="I23" i="318"/>
  <c r="J23" i="318" s="1"/>
  <c r="I37" i="269"/>
  <c r="J37" i="269" s="1"/>
  <c r="I218" i="330"/>
  <c r="J218" i="330" s="1"/>
  <c r="I20" i="333"/>
  <c r="J20" i="333" s="1"/>
  <c r="I46" i="242"/>
  <c r="J46" i="242" s="1"/>
  <c r="I74" i="318"/>
  <c r="J74" i="318" s="1"/>
  <c r="I73" i="318"/>
  <c r="J73" i="318" s="1"/>
  <c r="I42" i="318"/>
  <c r="J42" i="318" s="1"/>
  <c r="I42" i="269"/>
  <c r="J42" i="269" s="1"/>
  <c r="I210" i="324"/>
  <c r="J210" i="324" s="1"/>
  <c r="G31" i="267"/>
  <c r="I176" i="323"/>
  <c r="J176" i="323" s="1"/>
  <c r="I53" i="323"/>
  <c r="J53" i="323" s="1"/>
  <c r="H6" i="323"/>
  <c r="I237" i="330"/>
  <c r="J237" i="330" s="1"/>
  <c r="I223" i="330"/>
  <c r="J223" i="330" s="1"/>
  <c r="I154" i="330"/>
  <c r="J154" i="330" s="1"/>
  <c r="I143" i="330"/>
  <c r="J143" i="330" s="1"/>
  <c r="K36" i="181"/>
  <c r="I32" i="181"/>
  <c r="J32" i="181" s="1"/>
  <c r="K83" i="318"/>
  <c r="K84" i="318"/>
  <c r="H157" i="335"/>
  <c r="K27" i="333"/>
  <c r="K17" i="333"/>
  <c r="H8" i="333"/>
  <c r="I144" i="333"/>
  <c r="J144" i="333" s="1"/>
  <c r="H148" i="333"/>
  <c r="I155" i="333"/>
  <c r="J155" i="333" s="1"/>
  <c r="K155" i="325"/>
  <c r="K119" i="325"/>
  <c r="K96" i="325"/>
  <c r="K25" i="325"/>
  <c r="K22" i="325"/>
  <c r="K19" i="325"/>
  <c r="K14" i="318"/>
  <c r="I49" i="269"/>
  <c r="J49" i="269" s="1"/>
  <c r="I47" i="269"/>
  <c r="J47" i="269" s="1"/>
  <c r="I46" i="269"/>
  <c r="J46" i="269" s="1"/>
  <c r="I45" i="269"/>
  <c r="J45" i="269" s="1"/>
  <c r="I41" i="269"/>
  <c r="J41" i="269" s="1"/>
  <c r="I40" i="269"/>
  <c r="J40" i="269" s="1"/>
  <c r="I39" i="269"/>
  <c r="J39" i="269" s="1"/>
  <c r="I24" i="269"/>
  <c r="J24" i="269" s="1"/>
  <c r="I21" i="269"/>
  <c r="J21" i="269" s="1"/>
  <c r="I20" i="269"/>
  <c r="J20" i="269" s="1"/>
  <c r="I11" i="269"/>
  <c r="J11" i="269" s="1"/>
  <c r="I13" i="269"/>
  <c r="I15" i="269"/>
  <c r="J15" i="269" s="1"/>
  <c r="I17" i="269"/>
  <c r="J17" i="269" s="1"/>
  <c r="K35" i="269"/>
  <c r="K18" i="269"/>
  <c r="K8" i="269"/>
  <c r="I38" i="269"/>
  <c r="J38" i="269" s="1"/>
  <c r="I23" i="269"/>
  <c r="J23" i="269" s="1"/>
  <c r="I14" i="269"/>
  <c r="J14" i="269" s="1"/>
  <c r="I12" i="269"/>
  <c r="J12" i="269" s="1"/>
  <c r="A46" i="269"/>
  <c r="A47" i="269"/>
  <c r="A48" i="269"/>
  <c r="A49" i="269"/>
  <c r="A45" i="269"/>
  <c r="A37" i="269"/>
  <c r="A38" i="269"/>
  <c r="A39" i="269"/>
  <c r="A40" i="269"/>
  <c r="A41" i="269"/>
  <c r="A42" i="269"/>
  <c r="A43" i="269"/>
  <c r="A10" i="269"/>
  <c r="A11" i="269"/>
  <c r="A12" i="269"/>
  <c r="A13" i="269"/>
  <c r="A14" i="269"/>
  <c r="A15" i="269"/>
  <c r="A16" i="269"/>
  <c r="A17" i="269"/>
  <c r="A21" i="269"/>
  <c r="A22" i="269"/>
  <c r="A23" i="269"/>
  <c r="A24" i="269"/>
  <c r="A25" i="269"/>
  <c r="A27" i="269"/>
  <c r="I55" i="270"/>
  <c r="J55" i="270" s="1"/>
  <c r="I53" i="270"/>
  <c r="J53" i="270" s="1"/>
  <c r="I51" i="270"/>
  <c r="J51" i="270" s="1"/>
  <c r="I49" i="270"/>
  <c r="J49" i="270" s="1"/>
  <c r="I48" i="270"/>
  <c r="J48" i="270" s="1"/>
  <c r="I47" i="270"/>
  <c r="J47" i="270"/>
  <c r="I46" i="270"/>
  <c r="J46" i="270" s="1"/>
  <c r="I45" i="270"/>
  <c r="J45" i="270"/>
  <c r="I41" i="270"/>
  <c r="J41" i="270" s="1"/>
  <c r="I40" i="270"/>
  <c r="J40" i="270" s="1"/>
  <c r="I39" i="270"/>
  <c r="J39" i="270" s="1"/>
  <c r="I38" i="270"/>
  <c r="J38" i="270" s="1"/>
  <c r="I21" i="270"/>
  <c r="J21" i="270"/>
  <c r="J20" i="270"/>
  <c r="I20" i="270"/>
  <c r="I25" i="270"/>
  <c r="J25" i="270" s="1"/>
  <c r="I24" i="270"/>
  <c r="J24" i="270" s="1"/>
  <c r="I13" i="270"/>
  <c r="J13" i="270" s="1"/>
  <c r="I11" i="270"/>
  <c r="J11" i="270" s="1"/>
  <c r="K8" i="270"/>
  <c r="I12" i="270"/>
  <c r="J12" i="270" s="1"/>
  <c r="I10" i="270"/>
  <c r="J10" i="270" s="1"/>
  <c r="H37" i="177"/>
  <c r="G45" i="267" s="1"/>
  <c r="H45" i="267" s="1"/>
  <c r="I45" i="267" s="1"/>
  <c r="I27" i="177"/>
  <c r="J27" i="177" s="1"/>
  <c r="I17" i="177"/>
  <c r="J17" i="177" s="1"/>
  <c r="I12" i="177"/>
  <c r="J12" i="177" s="1"/>
  <c r="H51" i="174"/>
  <c r="H48" i="174"/>
  <c r="H10" i="174" s="1"/>
  <c r="H54" i="174"/>
  <c r="G38" i="174"/>
  <c r="F35" i="178"/>
  <c r="G54" i="174"/>
  <c r="K40" i="324"/>
  <c r="K9" i="268" s="1"/>
  <c r="K176" i="324"/>
  <c r="K24" i="268"/>
  <c r="I235" i="324"/>
  <c r="J235" i="324" s="1"/>
  <c r="I179" i="324"/>
  <c r="J179" i="324" s="1"/>
  <c r="I33" i="324"/>
  <c r="J33" i="324" s="1"/>
  <c r="K43" i="268"/>
  <c r="I56" i="268"/>
  <c r="J56" i="268" s="1"/>
  <c r="J9" i="267"/>
  <c r="I39" i="182"/>
  <c r="J39" i="182" s="1"/>
  <c r="I199" i="323"/>
  <c r="J199" i="323" s="1"/>
  <c r="I32" i="323"/>
  <c r="J32" i="323" s="1"/>
  <c r="D229" i="323"/>
  <c r="K240" i="330"/>
  <c r="K48" i="241"/>
  <c r="K235" i="330"/>
  <c r="K47" i="241"/>
  <c r="K230" i="330"/>
  <c r="K209" i="330"/>
  <c r="K41" i="241" s="1"/>
  <c r="K189" i="330"/>
  <c r="K38" i="241"/>
  <c r="K113" i="330"/>
  <c r="K76" i="330"/>
  <c r="K27" i="330"/>
  <c r="K11" i="241"/>
  <c r="I245" i="330"/>
  <c r="J245" i="330" s="1"/>
  <c r="I233" i="330"/>
  <c r="J233" i="330" s="1"/>
  <c r="H209" i="330"/>
  <c r="H41" i="241" s="1"/>
  <c r="I203" i="330"/>
  <c r="J203" i="330" s="1"/>
  <c r="I184" i="330"/>
  <c r="J184" i="330" s="1"/>
  <c r="I152" i="330"/>
  <c r="J152" i="330" s="1"/>
  <c r="H146" i="330"/>
  <c r="H32" i="241" s="1"/>
  <c r="I135" i="330"/>
  <c r="J135" i="330" s="1"/>
  <c r="I101" i="330"/>
  <c r="J101" i="330" s="1"/>
  <c r="I88" i="330"/>
  <c r="J88" i="330" s="1"/>
  <c r="I60" i="330"/>
  <c r="J60" i="330" s="1"/>
  <c r="I53" i="330"/>
  <c r="J53" i="330" s="1"/>
  <c r="I31" i="330"/>
  <c r="J31" i="330" s="1"/>
  <c r="I17" i="330"/>
  <c r="J17" i="330" s="1"/>
  <c r="I12" i="330"/>
  <c r="J12" i="330" s="1"/>
  <c r="H7" i="330"/>
  <c r="A25" i="238"/>
  <c r="N22" i="238"/>
  <c r="K22" i="238"/>
  <c r="N12" i="238"/>
  <c r="M12" i="238"/>
  <c r="K12" i="238"/>
  <c r="O21" i="238"/>
  <c r="O19" i="238"/>
  <c r="O18" i="238"/>
  <c r="O17" i="238"/>
  <c r="O16" i="238"/>
  <c r="O15" i="238"/>
  <c r="O11" i="238"/>
  <c r="O10" i="238"/>
  <c r="O9" i="238"/>
  <c r="O8" i="238"/>
  <c r="O7" i="238"/>
  <c r="O6" i="238"/>
  <c r="O5" i="238"/>
  <c r="F7" i="267"/>
  <c r="E7" i="267"/>
  <c r="D7" i="267"/>
  <c r="C7" i="267"/>
  <c r="B7" i="267"/>
  <c r="G22" i="181"/>
  <c r="F22" i="181"/>
  <c r="E22" i="181"/>
  <c r="D22" i="181"/>
  <c r="C22" i="181"/>
  <c r="C38" i="181" s="1"/>
  <c r="C42" i="181" s="1"/>
  <c r="C44" i="181" s="1"/>
  <c r="Q21" i="317"/>
  <c r="P21" i="317"/>
  <c r="O21" i="317"/>
  <c r="M21" i="317"/>
  <c r="L21" i="317"/>
  <c r="K21" i="317"/>
  <c r="J21" i="317"/>
  <c r="I21" i="317"/>
  <c r="H21" i="317"/>
  <c r="G21" i="317"/>
  <c r="F21" i="317"/>
  <c r="E21" i="317"/>
  <c r="D21" i="317"/>
  <c r="C21" i="317"/>
  <c r="G25" i="178"/>
  <c r="F25" i="178"/>
  <c r="F37" i="267" s="1"/>
  <c r="E25" i="178"/>
  <c r="D25" i="178"/>
  <c r="C37" i="267"/>
  <c r="C25" i="178"/>
  <c r="B37" i="267" s="1"/>
  <c r="G22" i="182"/>
  <c r="G53" i="182" s="1"/>
  <c r="F22" i="182"/>
  <c r="F53" i="182" s="1"/>
  <c r="E22" i="182"/>
  <c r="D22" i="182"/>
  <c r="D53" i="182"/>
  <c r="C22" i="182"/>
  <c r="A184" i="330"/>
  <c r="I183" i="330"/>
  <c r="J183" i="330" s="1"/>
  <c r="A183" i="330"/>
  <c r="I62" i="330"/>
  <c r="J62" i="330" s="1"/>
  <c r="I61" i="330"/>
  <c r="J61" i="330" s="1"/>
  <c r="K53" i="333"/>
  <c r="H53" i="333"/>
  <c r="G53" i="333"/>
  <c r="F53" i="333"/>
  <c r="E53" i="333"/>
  <c r="D53" i="333"/>
  <c r="K53" i="335"/>
  <c r="H53" i="335"/>
  <c r="G53" i="335"/>
  <c r="F53" i="335"/>
  <c r="E53" i="335"/>
  <c r="D53" i="335"/>
  <c r="K8" i="335"/>
  <c r="H8" i="335"/>
  <c r="I8" i="335" s="1"/>
  <c r="J8" i="335" s="1"/>
  <c r="G8" i="335"/>
  <c r="F8" i="335"/>
  <c r="E8" i="335"/>
  <c r="D8" i="335"/>
  <c r="K8" i="333"/>
  <c r="G8" i="333"/>
  <c r="F8" i="333"/>
  <c r="E8" i="333"/>
  <c r="D8" i="333"/>
  <c r="K53" i="325"/>
  <c r="H53" i="325"/>
  <c r="G53" i="325"/>
  <c r="F53" i="325"/>
  <c r="E53" i="325"/>
  <c r="D53" i="325"/>
  <c r="K8" i="325"/>
  <c r="H8" i="325"/>
  <c r="G8" i="325"/>
  <c r="F8" i="325"/>
  <c r="E8" i="325"/>
  <c r="D8" i="325"/>
  <c r="K53" i="326"/>
  <c r="H53" i="326"/>
  <c r="G53" i="326"/>
  <c r="I53" i="326"/>
  <c r="J53" i="326"/>
  <c r="F53" i="326"/>
  <c r="E53" i="326"/>
  <c r="D53" i="326"/>
  <c r="K8" i="326"/>
  <c r="H8" i="326"/>
  <c r="I8" i="326" s="1"/>
  <c r="J8" i="326" s="1"/>
  <c r="G8" i="326"/>
  <c r="F8" i="326"/>
  <c r="E8" i="326"/>
  <c r="D8" i="326"/>
  <c r="K53" i="242"/>
  <c r="H53" i="242"/>
  <c r="G53" i="242"/>
  <c r="F53" i="242"/>
  <c r="E53" i="242"/>
  <c r="D53" i="242"/>
  <c r="H8" i="242"/>
  <c r="I8" i="242" s="1"/>
  <c r="J8" i="242" s="1"/>
  <c r="G8" i="242"/>
  <c r="F8" i="242"/>
  <c r="E8" i="242"/>
  <c r="D8" i="242"/>
  <c r="I180" i="330"/>
  <c r="J180" i="330" s="1"/>
  <c r="A180" i="330"/>
  <c r="E100" i="100"/>
  <c r="F100" i="100"/>
  <c r="A168" i="335"/>
  <c r="J165" i="335"/>
  <c r="I164" i="335"/>
  <c r="J164" i="335"/>
  <c r="K163" i="335"/>
  <c r="H163" i="335"/>
  <c r="I163" i="335"/>
  <c r="J163" i="335"/>
  <c r="G163" i="335"/>
  <c r="F163" i="335"/>
  <c r="E163" i="335"/>
  <c r="D163" i="335"/>
  <c r="C163" i="335"/>
  <c r="I161" i="335"/>
  <c r="J161" i="335"/>
  <c r="K160" i="335"/>
  <c r="H160" i="335"/>
  <c r="I160" i="335"/>
  <c r="J160" i="335"/>
  <c r="G160" i="335"/>
  <c r="F160" i="335"/>
  <c r="E160" i="335"/>
  <c r="D160" i="335"/>
  <c r="C160" i="335"/>
  <c r="K157" i="335"/>
  <c r="G157" i="335"/>
  <c r="F157" i="335"/>
  <c r="E157" i="335"/>
  <c r="D157" i="335"/>
  <c r="C157" i="335"/>
  <c r="I155" i="335"/>
  <c r="J155" i="335" s="1"/>
  <c r="K154" i="335"/>
  <c r="H154" i="335"/>
  <c r="G154" i="335"/>
  <c r="I154" i="335" s="1"/>
  <c r="J154" i="335" s="1"/>
  <c r="F154" i="335"/>
  <c r="E154" i="335"/>
  <c r="D154" i="335"/>
  <c r="C154" i="335"/>
  <c r="J153" i="335"/>
  <c r="I152" i="335"/>
  <c r="J152" i="335" s="1"/>
  <c r="K151" i="335"/>
  <c r="H151" i="335"/>
  <c r="G151" i="335"/>
  <c r="F151" i="335"/>
  <c r="E151" i="335"/>
  <c r="D151" i="335"/>
  <c r="C151" i="335"/>
  <c r="K148" i="335"/>
  <c r="G148" i="335"/>
  <c r="F148" i="335"/>
  <c r="E148" i="335"/>
  <c r="D148" i="335"/>
  <c r="C148" i="335"/>
  <c r="I146" i="335"/>
  <c r="J146" i="335"/>
  <c r="I145" i="335"/>
  <c r="J145" i="335"/>
  <c r="I144" i="335"/>
  <c r="J144" i="335"/>
  <c r="I143" i="335"/>
  <c r="J143" i="335"/>
  <c r="I142" i="335"/>
  <c r="J142" i="335"/>
  <c r="I141" i="335"/>
  <c r="J141" i="335"/>
  <c r="K140" i="335"/>
  <c r="H140" i="335"/>
  <c r="I140" i="335"/>
  <c r="J140" i="335"/>
  <c r="G140" i="335"/>
  <c r="F140" i="335"/>
  <c r="F138" i="335"/>
  <c r="E140" i="335"/>
  <c r="E138" i="335"/>
  <c r="D140" i="335"/>
  <c r="D138" i="335"/>
  <c r="C140" i="335"/>
  <c r="I139" i="335"/>
  <c r="J139" i="335"/>
  <c r="K138" i="335"/>
  <c r="G138" i="335"/>
  <c r="C138" i="335"/>
  <c r="J137" i="335"/>
  <c r="I136" i="335"/>
  <c r="J136" i="335"/>
  <c r="K135" i="335"/>
  <c r="H135" i="335"/>
  <c r="G135" i="335"/>
  <c r="F135" i="335"/>
  <c r="E135" i="335"/>
  <c r="D135" i="335"/>
  <c r="C135" i="335"/>
  <c r="J134" i="335"/>
  <c r="I133" i="335"/>
  <c r="J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D118" i="335"/>
  <c r="C118" i="335"/>
  <c r="C117" i="335"/>
  <c r="E117" i="335"/>
  <c r="D117" i="335"/>
  <c r="I116" i="335"/>
  <c r="J116" i="335"/>
  <c r="J115" i="335"/>
  <c r="I115" i="335"/>
  <c r="K114" i="335"/>
  <c r="I114" i="335"/>
  <c r="J114" i="335"/>
  <c r="H114" i="335"/>
  <c r="G114" i="335"/>
  <c r="F114" i="335"/>
  <c r="E114" i="335"/>
  <c r="D114" i="335"/>
  <c r="C114" i="335"/>
  <c r="J113" i="335"/>
  <c r="I113" i="335"/>
  <c r="I112" i="335"/>
  <c r="J112" i="335"/>
  <c r="K111" i="335"/>
  <c r="K110" i="335"/>
  <c r="H111" i="335"/>
  <c r="G111" i="335"/>
  <c r="I111" i="335"/>
  <c r="J111" i="335"/>
  <c r="F111" i="335"/>
  <c r="F110" i="335"/>
  <c r="E111" i="335"/>
  <c r="E110" i="335"/>
  <c r="D111" i="335"/>
  <c r="D110" i="335"/>
  <c r="C111" i="335"/>
  <c r="C110" i="335"/>
  <c r="H110" i="335"/>
  <c r="I109" i="335"/>
  <c r="J109" i="335"/>
  <c r="I108" i="335"/>
  <c r="J108" i="335" s="1"/>
  <c r="I107" i="335"/>
  <c r="J107" i="335"/>
  <c r="I106" i="335"/>
  <c r="J106" i="335"/>
  <c r="I105" i="335"/>
  <c r="J105" i="335"/>
  <c r="I104" i="335"/>
  <c r="J104" i="335"/>
  <c r="K103" i="335"/>
  <c r="H103" i="335"/>
  <c r="G103" i="335"/>
  <c r="F103" i="335"/>
  <c r="E103" i="335"/>
  <c r="D103" i="335"/>
  <c r="C103" i="335"/>
  <c r="I102" i="335"/>
  <c r="J102" i="335"/>
  <c r="J101" i="335"/>
  <c r="I101" i="335"/>
  <c r="I100" i="335"/>
  <c r="J100" i="335"/>
  <c r="K99" i="335"/>
  <c r="H99" i="335"/>
  <c r="G99" i="335"/>
  <c r="F99"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H76" i="335"/>
  <c r="I76" i="335"/>
  <c r="J76" i="335"/>
  <c r="G76" i="335"/>
  <c r="G75" i="335"/>
  <c r="F76" i="335"/>
  <c r="F75" i="335"/>
  <c r="E76" i="335"/>
  <c r="E75" i="335"/>
  <c r="D76" i="335"/>
  <c r="D75" i="335"/>
  <c r="C76" i="335"/>
  <c r="C75" i="335"/>
  <c r="J74" i="335"/>
  <c r="I73" i="335"/>
  <c r="J73" i="335"/>
  <c r="I72" i="335"/>
  <c r="J72" i="335"/>
  <c r="I71" i="335"/>
  <c r="J71" i="335"/>
  <c r="I70" i="335"/>
  <c r="J70" i="335"/>
  <c r="K69" i="335"/>
  <c r="H69" i="335"/>
  <c r="I69" i="335"/>
  <c r="G69" i="335"/>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s="1"/>
  <c r="K45" i="335"/>
  <c r="H45" i="335"/>
  <c r="I45" i="335" s="1"/>
  <c r="J45" i="335" s="1"/>
  <c r="G45" i="335"/>
  <c r="F45" i="335"/>
  <c r="E45" i="335"/>
  <c r="D45" i="335"/>
  <c r="C45" i="335"/>
  <c r="I44" i="335"/>
  <c r="J44" i="335"/>
  <c r="J43" i="335"/>
  <c r="I43" i="335"/>
  <c r="I42" i="335"/>
  <c r="J42" i="335"/>
  <c r="J41" i="335"/>
  <c r="I41" i="335"/>
  <c r="I40" i="335"/>
  <c r="J40" i="335"/>
  <c r="J39" i="335"/>
  <c r="I39" i="335"/>
  <c r="K38" i="335"/>
  <c r="H38" i="335"/>
  <c r="I38" i="335"/>
  <c r="J38" i="335"/>
  <c r="G38" i="335"/>
  <c r="F38" i="335"/>
  <c r="E38" i="335"/>
  <c r="D38" i="335"/>
  <c r="C38" i="335"/>
  <c r="I37" i="335"/>
  <c r="J37" i="335"/>
  <c r="I36" i="335"/>
  <c r="J36" i="335"/>
  <c r="I35" i="335"/>
  <c r="J35" i="335"/>
  <c r="I34" i="335"/>
  <c r="J34" i="335"/>
  <c r="I33" i="335"/>
  <c r="J33" i="335"/>
  <c r="I32" i="335"/>
  <c r="J32" i="335"/>
  <c r="I31" i="335"/>
  <c r="J31" i="335"/>
  <c r="I30" i="335"/>
  <c r="J30" i="335" s="1"/>
  <c r="I29" i="335"/>
  <c r="J29" i="335"/>
  <c r="I28" i="335"/>
  <c r="J28" i="335"/>
  <c r="K27" i="335"/>
  <c r="G27" i="335"/>
  <c r="F27" i="335"/>
  <c r="E27" i="335"/>
  <c r="D27" i="335"/>
  <c r="C27" i="335"/>
  <c r="I26" i="335"/>
  <c r="J26" i="335"/>
  <c r="I25" i="335"/>
  <c r="J25" i="335"/>
  <c r="I24" i="335"/>
  <c r="J24" i="335"/>
  <c r="I23" i="335"/>
  <c r="J23" i="335"/>
  <c r="I22" i="335"/>
  <c r="J22" i="335"/>
  <c r="I21" i="335"/>
  <c r="J21" i="335"/>
  <c r="I20" i="335"/>
  <c r="J20" i="335"/>
  <c r="I19" i="335"/>
  <c r="J19" i="335"/>
  <c r="I18" i="335"/>
  <c r="J18" i="335" s="1"/>
  <c r="K17" i="335"/>
  <c r="H17" i="335"/>
  <c r="I17" i="335" s="1"/>
  <c r="J17" i="335" s="1"/>
  <c r="G17" i="335"/>
  <c r="F17" i="335"/>
  <c r="E17" i="335"/>
  <c r="D17" i="335"/>
  <c r="C17" i="335"/>
  <c r="I16" i="335"/>
  <c r="J16" i="335"/>
  <c r="I15" i="335"/>
  <c r="J15" i="335"/>
  <c r="I14" i="335"/>
  <c r="J14" i="335"/>
  <c r="K13" i="335"/>
  <c r="H13" i="335"/>
  <c r="I13" i="335"/>
  <c r="J13" i="335"/>
  <c r="G13" i="335"/>
  <c r="F13" i="335"/>
  <c r="E13" i="335"/>
  <c r="D13" i="335"/>
  <c r="C13" i="335"/>
  <c r="I12" i="335"/>
  <c r="J12" i="335"/>
  <c r="I11" i="335"/>
  <c r="J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s="1"/>
  <c r="K157" i="333"/>
  <c r="H157" i="333"/>
  <c r="G157" i="333"/>
  <c r="I157" i="333" s="1"/>
  <c r="J157" i="333" s="1"/>
  <c r="F157" i="333"/>
  <c r="E157" i="333"/>
  <c r="D157" i="333"/>
  <c r="C157" i="333"/>
  <c r="K154" i="333"/>
  <c r="G154" i="333"/>
  <c r="F154" i="333"/>
  <c r="E154" i="333"/>
  <c r="D154" i="333"/>
  <c r="C154" i="333"/>
  <c r="J153" i="333"/>
  <c r="I152" i="333"/>
  <c r="J152" i="333" s="1"/>
  <c r="K151" i="333"/>
  <c r="H151" i="333"/>
  <c r="G151" i="333"/>
  <c r="F151" i="333"/>
  <c r="E151" i="333"/>
  <c r="D151" i="333"/>
  <c r="C151" i="333"/>
  <c r="I149" i="333"/>
  <c r="J149" i="333" s="1"/>
  <c r="K148" i="333"/>
  <c r="G148" i="333"/>
  <c r="F148" i="333"/>
  <c r="E148" i="333"/>
  <c r="D148" i="333"/>
  <c r="C148" i="333"/>
  <c r="I146" i="333"/>
  <c r="J146" i="333"/>
  <c r="I145" i="333"/>
  <c r="J145" i="333"/>
  <c r="I143" i="333"/>
  <c r="J143" i="333"/>
  <c r="I142" i="333"/>
  <c r="J142" i="333"/>
  <c r="I141" i="333"/>
  <c r="J141" i="333"/>
  <c r="K140" i="333"/>
  <c r="K138" i="333"/>
  <c r="H140" i="333"/>
  <c r="G140" i="333"/>
  <c r="F140" i="333"/>
  <c r="F138" i="333" s="1"/>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s="1"/>
  <c r="I131" i="333"/>
  <c r="J131" i="333" s="1"/>
  <c r="K130" i="333"/>
  <c r="H130" i="333"/>
  <c r="G130" i="333"/>
  <c r="F130" i="333"/>
  <c r="E130" i="333"/>
  <c r="D130" i="333"/>
  <c r="C130" i="333"/>
  <c r="I129" i="333"/>
  <c r="J129" i="333"/>
  <c r="I128" i="333"/>
  <c r="J128" i="333"/>
  <c r="I127" i="333"/>
  <c r="J127" i="333"/>
  <c r="I126" i="333"/>
  <c r="J126" i="333"/>
  <c r="I125" i="333"/>
  <c r="J125" i="333"/>
  <c r="J124" i="333"/>
  <c r="I124" i="333"/>
  <c r="I123" i="333"/>
  <c r="J123" i="333" s="1"/>
  <c r="I122" i="333"/>
  <c r="J122" i="333" s="1"/>
  <c r="I121" i="333"/>
  <c r="J121" i="333" s="1"/>
  <c r="I120" i="333"/>
  <c r="J120" i="333" s="1"/>
  <c r="K118" i="333"/>
  <c r="K117" i="333"/>
  <c r="G118" i="333"/>
  <c r="F118" i="333"/>
  <c r="E118" i="333"/>
  <c r="D118" i="333"/>
  <c r="C118" i="333"/>
  <c r="I116" i="333"/>
  <c r="J116" i="333"/>
  <c r="I115" i="333"/>
  <c r="J115" i="333"/>
  <c r="K114" i="333"/>
  <c r="H114" i="333"/>
  <c r="I114" i="333"/>
  <c r="J114" i="333"/>
  <c r="G114" i="333"/>
  <c r="F114" i="333"/>
  <c r="E114" i="333"/>
  <c r="D114" i="333"/>
  <c r="C114" i="333"/>
  <c r="I113" i="333"/>
  <c r="J113" i="333"/>
  <c r="I112" i="333"/>
  <c r="J112" i="333"/>
  <c r="K111" i="333"/>
  <c r="K110" i="333"/>
  <c r="H111" i="333"/>
  <c r="G111" i="333"/>
  <c r="G110" i="333"/>
  <c r="F111" i="333"/>
  <c r="E111" i="333"/>
  <c r="E110" i="333"/>
  <c r="D111" i="333"/>
  <c r="D110" i="333"/>
  <c r="C111" i="333"/>
  <c r="C110" i="333"/>
  <c r="I109" i="333"/>
  <c r="J109" i="333"/>
  <c r="I108" i="333"/>
  <c r="J108" i="333"/>
  <c r="I107" i="333"/>
  <c r="J107" i="333"/>
  <c r="I106" i="333"/>
  <c r="J106" i="333"/>
  <c r="I105" i="333"/>
  <c r="J105" i="333"/>
  <c r="I104" i="333"/>
  <c r="J104" i="333"/>
  <c r="K103" i="333"/>
  <c r="H103" i="333"/>
  <c r="G103" i="333"/>
  <c r="I103" i="333"/>
  <c r="J103" i="333"/>
  <c r="F103" i="333"/>
  <c r="E103" i="333"/>
  <c r="D103" i="333"/>
  <c r="C103" i="333"/>
  <c r="I102" i="333"/>
  <c r="J102" i="333"/>
  <c r="I101" i="333"/>
  <c r="J101" i="333" s="1"/>
  <c r="I100" i="333"/>
  <c r="J100" i="333"/>
  <c r="K99" i="333"/>
  <c r="H99" i="333"/>
  <c r="G99" i="333"/>
  <c r="I99" i="333" s="1"/>
  <c r="J99" i="333" s="1"/>
  <c r="F99" i="333"/>
  <c r="E99" i="333"/>
  <c r="D99" i="333"/>
  <c r="C99" i="333"/>
  <c r="I98" i="333"/>
  <c r="J98" i="333"/>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c r="K76" i="333"/>
  <c r="H76" i="333"/>
  <c r="G76" i="333"/>
  <c r="F76" i="333"/>
  <c r="E76" i="333"/>
  <c r="D76" i="333"/>
  <c r="D75"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I56" i="333"/>
  <c r="J56" i="333"/>
  <c r="I55" i="333"/>
  <c r="J55" i="333"/>
  <c r="I54" i="333"/>
  <c r="J54" i="333" s="1"/>
  <c r="C53" i="333"/>
  <c r="I52" i="333"/>
  <c r="J52" i="333"/>
  <c r="I51" i="333"/>
  <c r="J51" i="333"/>
  <c r="I50" i="333"/>
  <c r="J50" i="333"/>
  <c r="I49" i="333"/>
  <c r="J49" i="333"/>
  <c r="I48" i="333"/>
  <c r="J48" i="333"/>
  <c r="I47" i="333"/>
  <c r="J47" i="333"/>
  <c r="I46" i="333"/>
  <c r="J46" i="333" s="1"/>
  <c r="K45" i="333"/>
  <c r="H45" i="333"/>
  <c r="G45" i="333"/>
  <c r="F45" i="333"/>
  <c r="E45" i="333"/>
  <c r="D45" i="333"/>
  <c r="C45" i="333"/>
  <c r="I44" i="333"/>
  <c r="J44" i="333"/>
  <c r="I43" i="333"/>
  <c r="J43" i="333"/>
  <c r="I42" i="333"/>
  <c r="J42" i="333"/>
  <c r="I41" i="333"/>
  <c r="J41" i="333"/>
  <c r="I40" i="333"/>
  <c r="J40" i="333" s="1"/>
  <c r="I39" i="333"/>
  <c r="J39" i="333"/>
  <c r="K38" i="333"/>
  <c r="H38" i="333"/>
  <c r="G38" i="333"/>
  <c r="F38" i="333"/>
  <c r="E38" i="333"/>
  <c r="D38" i="333"/>
  <c r="C38" i="333"/>
  <c r="I37" i="333"/>
  <c r="J37" i="333"/>
  <c r="I36" i="333"/>
  <c r="J36" i="333"/>
  <c r="I35" i="333"/>
  <c r="J35" i="333"/>
  <c r="I34" i="333"/>
  <c r="J34" i="333"/>
  <c r="J33" i="333"/>
  <c r="I33" i="333"/>
  <c r="I32" i="333"/>
  <c r="J32" i="333"/>
  <c r="I31" i="333"/>
  <c r="J31" i="333"/>
  <c r="I30" i="333"/>
  <c r="J30" i="333" s="1"/>
  <c r="I29" i="333"/>
  <c r="J29" i="333"/>
  <c r="I28" i="333"/>
  <c r="J28" i="333"/>
  <c r="H27" i="333"/>
  <c r="G27" i="333"/>
  <c r="F27" i="333"/>
  <c r="E27" i="333"/>
  <c r="D27" i="333"/>
  <c r="C27" i="333"/>
  <c r="I26" i="333"/>
  <c r="J26" i="333"/>
  <c r="I25" i="333"/>
  <c r="J25" i="333" s="1"/>
  <c r="I24" i="333"/>
  <c r="J24" i="333" s="1"/>
  <c r="I23" i="333"/>
  <c r="J23" i="333" s="1"/>
  <c r="I22" i="333"/>
  <c r="J22" i="333" s="1"/>
  <c r="I21" i="333"/>
  <c r="J21" i="333" s="1"/>
  <c r="I18" i="333"/>
  <c r="J18"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s="1"/>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c r="K157" i="325"/>
  <c r="H157" i="325"/>
  <c r="G157" i="325"/>
  <c r="F157" i="325"/>
  <c r="E157" i="325"/>
  <c r="D157" i="325"/>
  <c r="C157" i="325"/>
  <c r="I155" i="325"/>
  <c r="J155" i="325" s="1"/>
  <c r="K154" i="325"/>
  <c r="H154" i="325"/>
  <c r="G154" i="325"/>
  <c r="F154" i="325"/>
  <c r="E154" i="325"/>
  <c r="D154" i="325"/>
  <c r="C154" i="325"/>
  <c r="J153" i="325"/>
  <c r="I152" i="325"/>
  <c r="J152" i="325"/>
  <c r="K151" i="325"/>
  <c r="H151" i="325"/>
  <c r="I151" i="325"/>
  <c r="G151" i="325"/>
  <c r="F151" i="325"/>
  <c r="E151" i="325"/>
  <c r="D151" i="325"/>
  <c r="C151" i="325"/>
  <c r="I149" i="325"/>
  <c r="J149" i="325"/>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s="1"/>
  <c r="K118" i="325"/>
  <c r="K117" i="325"/>
  <c r="H118" i="325"/>
  <c r="H117" i="325" s="1"/>
  <c r="G118" i="325"/>
  <c r="G117" i="325" s="1"/>
  <c r="F118" i="325"/>
  <c r="F117" i="325" s="1"/>
  <c r="E118" i="325"/>
  <c r="E117" i="325" s="1"/>
  <c r="D118" i="325"/>
  <c r="C118" i="325"/>
  <c r="I116" i="325"/>
  <c r="J116" i="325"/>
  <c r="I115" i="325"/>
  <c r="J115" i="325"/>
  <c r="K114" i="325"/>
  <c r="H114" i="325"/>
  <c r="G114" i="325"/>
  <c r="F114" i="325"/>
  <c r="E114" i="325"/>
  <c r="D114" i="325"/>
  <c r="C114" i="325"/>
  <c r="I113" i="325"/>
  <c r="J113" i="325"/>
  <c r="I112" i="325"/>
  <c r="J112" i="325"/>
  <c r="K111" i="325"/>
  <c r="H111" i="325"/>
  <c r="G111" i="325"/>
  <c r="G110" i="325"/>
  <c r="F111" i="325"/>
  <c r="E111" i="325"/>
  <c r="D111" i="325"/>
  <c r="D110"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F99" i="325"/>
  <c r="E99" i="325"/>
  <c r="D99" i="325"/>
  <c r="C99" i="325"/>
  <c r="I98" i="325"/>
  <c r="J98" i="325"/>
  <c r="I97" i="325"/>
  <c r="J97" i="325"/>
  <c r="I96" i="325"/>
  <c r="J96" i="325" s="1"/>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H75" i="325" s="1"/>
  <c r="I75" i="325" s="1"/>
  <c r="J75" i="325" s="1"/>
  <c r="G76" i="325"/>
  <c r="G75" i="325"/>
  <c r="F76" i="325"/>
  <c r="F75" i="325"/>
  <c r="E76" i="325"/>
  <c r="E75" i="325"/>
  <c r="D76" i="325"/>
  <c r="D75"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G45" i="325"/>
  <c r="I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s="1"/>
  <c r="I25" i="325"/>
  <c r="J25" i="325" s="1"/>
  <c r="I24" i="325"/>
  <c r="J24" i="325" s="1"/>
  <c r="I23" i="325"/>
  <c r="J23" i="325" s="1"/>
  <c r="I22" i="325"/>
  <c r="J22" i="325" s="1"/>
  <c r="I21" i="325"/>
  <c r="J21" i="325"/>
  <c r="I20" i="325"/>
  <c r="J20" i="325" s="1"/>
  <c r="I19" i="325"/>
  <c r="J19" i="325" s="1"/>
  <c r="I18" i="325"/>
  <c r="J18" i="325"/>
  <c r="K17" i="325"/>
  <c r="H17" i="325"/>
  <c r="H7" i="325" s="1"/>
  <c r="G17" i="325"/>
  <c r="F17" i="325"/>
  <c r="E17" i="325"/>
  <c r="D17" i="325"/>
  <c r="C17" i="325"/>
  <c r="I16" i="325"/>
  <c r="J16" i="325"/>
  <c r="I15" i="325"/>
  <c r="J15" i="325"/>
  <c r="I14" i="325"/>
  <c r="J14" i="325"/>
  <c r="K13" i="325"/>
  <c r="H13" i="325"/>
  <c r="G13" i="325"/>
  <c r="F13" i="325"/>
  <c r="E13" i="325"/>
  <c r="D13" i="325"/>
  <c r="C13" i="325"/>
  <c r="I12" i="325"/>
  <c r="J12" i="325"/>
  <c r="I11" i="325"/>
  <c r="J11" i="325"/>
  <c r="I10" i="325"/>
  <c r="J10" i="325"/>
  <c r="I9" i="325"/>
  <c r="J9" i="325"/>
  <c r="C8" i="325"/>
  <c r="J165" i="326"/>
  <c r="I164" i="326"/>
  <c r="J164" i="326"/>
  <c r="K163" i="326"/>
  <c r="H163" i="326"/>
  <c r="G163" i="326"/>
  <c r="I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s="1"/>
  <c r="K154" i="326"/>
  <c r="H154" i="326"/>
  <c r="G154" i="326"/>
  <c r="G166" i="326" s="1"/>
  <c r="F154" i="326"/>
  <c r="E154" i="326"/>
  <c r="D154" i="326"/>
  <c r="C154" i="326"/>
  <c r="J153" i="326"/>
  <c r="K151" i="326"/>
  <c r="K166" i="326" s="1"/>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s="1"/>
  <c r="I107" i="326"/>
  <c r="J107" i="326"/>
  <c r="I106" i="326"/>
  <c r="J106" i="326"/>
  <c r="I105" i="326"/>
  <c r="J105" i="326"/>
  <c r="I104" i="326"/>
  <c r="J104" i="326"/>
  <c r="K103" i="326"/>
  <c r="H103" i="326"/>
  <c r="G103" i="326"/>
  <c r="F103" i="326"/>
  <c r="F166" i="326" s="1"/>
  <c r="E103" i="326"/>
  <c r="D103" i="326"/>
  <c r="C103" i="326"/>
  <c r="I102" i="326"/>
  <c r="J102" i="326"/>
  <c r="I101" i="326"/>
  <c r="J101" i="326"/>
  <c r="I100" i="326"/>
  <c r="J100" i="326"/>
  <c r="K99" i="326"/>
  <c r="H99" i="326"/>
  <c r="G99" i="326"/>
  <c r="F99" i="326"/>
  <c r="F75"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K75" i="326"/>
  <c r="H76" i="326"/>
  <c r="G76" i="326"/>
  <c r="F76"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I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s="1"/>
  <c r="K45" i="326"/>
  <c r="H45" i="326"/>
  <c r="I45" i="326" s="1"/>
  <c r="J45" i="326" s="1"/>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s="1"/>
  <c r="C8" i="326"/>
  <c r="K160" i="242"/>
  <c r="G160" i="242"/>
  <c r="F160" i="242"/>
  <c r="E160" i="242"/>
  <c r="D160" i="242"/>
  <c r="C160" i="242"/>
  <c r="K140" i="242"/>
  <c r="K138" i="242"/>
  <c r="H140" i="242"/>
  <c r="H138" i="242" s="1"/>
  <c r="I138" i="242" s="1"/>
  <c r="J138" i="242" s="1"/>
  <c r="G140" i="242"/>
  <c r="F140" i="242"/>
  <c r="F138" i="242"/>
  <c r="E140" i="242"/>
  <c r="E138" i="242"/>
  <c r="D140" i="242"/>
  <c r="D138" i="242"/>
  <c r="C140" i="242"/>
  <c r="C138" i="242"/>
  <c r="I142" i="242"/>
  <c r="J142" i="242"/>
  <c r="I141" i="242"/>
  <c r="J141" i="242"/>
  <c r="I144" i="242"/>
  <c r="J144" i="242" s="1"/>
  <c r="I143" i="242"/>
  <c r="J143" i="242"/>
  <c r="I145" i="242"/>
  <c r="J145" i="242"/>
  <c r="J165" i="242"/>
  <c r="I164" i="242"/>
  <c r="J164" i="242"/>
  <c r="K163" i="242"/>
  <c r="H163" i="242"/>
  <c r="G163" i="242"/>
  <c r="F163" i="242"/>
  <c r="E163" i="242"/>
  <c r="D163" i="242"/>
  <c r="C163" i="242"/>
  <c r="I158" i="242"/>
  <c r="J158" i="242" s="1"/>
  <c r="K157" i="242"/>
  <c r="H157" i="242"/>
  <c r="G157" i="242"/>
  <c r="I157" i="242" s="1"/>
  <c r="J157" i="242" s="1"/>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C111" i="242"/>
  <c r="C110" i="242"/>
  <c r="K114" i="242"/>
  <c r="H114" i="242"/>
  <c r="G114" i="242"/>
  <c r="F114" i="242"/>
  <c r="E114" i="242"/>
  <c r="D114" i="242"/>
  <c r="D110" i="242"/>
  <c r="C114"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K75" i="242" s="1"/>
  <c r="H76" i="242"/>
  <c r="H75" i="242" s="1"/>
  <c r="G76" i="242"/>
  <c r="F76" i="242"/>
  <c r="F75" i="242"/>
  <c r="E76" i="242"/>
  <c r="E75" i="242" s="1"/>
  <c r="D76" i="242"/>
  <c r="C99" i="242"/>
  <c r="C76" i="242"/>
  <c r="I87" i="242"/>
  <c r="J87" i="242"/>
  <c r="I86" i="242"/>
  <c r="J86" i="242"/>
  <c r="I85" i="242"/>
  <c r="J85" i="242"/>
  <c r="I84" i="242"/>
  <c r="J84" i="242" s="1"/>
  <c r="I83" i="242"/>
  <c r="J83" i="242"/>
  <c r="I82" i="242"/>
  <c r="J82" i="242"/>
  <c r="I81" i="242"/>
  <c r="J81" i="242"/>
  <c r="I80" i="242"/>
  <c r="J80" i="242"/>
  <c r="I79" i="242"/>
  <c r="J79" i="242"/>
  <c r="I78" i="242"/>
  <c r="J78" i="242"/>
  <c r="I77" i="242"/>
  <c r="J77" i="242" s="1"/>
  <c r="K63" i="242"/>
  <c r="H63" i="242"/>
  <c r="G63" i="242"/>
  <c r="F63" i="242"/>
  <c r="E63" i="242"/>
  <c r="D63" i="242"/>
  <c r="C63" i="242"/>
  <c r="I68" i="242"/>
  <c r="J68" i="242"/>
  <c r="I67" i="242"/>
  <c r="J67" i="242"/>
  <c r="I66" i="242"/>
  <c r="J66" i="242"/>
  <c r="I65" i="242"/>
  <c r="J65" i="242"/>
  <c r="I64" i="242"/>
  <c r="J64" i="242"/>
  <c r="D17" i="242"/>
  <c r="E17" i="242"/>
  <c r="F17" i="242"/>
  <c r="G17" i="242"/>
  <c r="H17" i="242"/>
  <c r="I17" i="242" s="1"/>
  <c r="J17" i="242" s="1"/>
  <c r="K17" i="242"/>
  <c r="I18" i="242"/>
  <c r="J18" i="242" s="1"/>
  <c r="I19" i="242"/>
  <c r="J19" i="242"/>
  <c r="I20" i="242"/>
  <c r="J20" i="242"/>
  <c r="I21" i="242"/>
  <c r="J21" i="242"/>
  <c r="I22" i="242"/>
  <c r="J22" i="242"/>
  <c r="I23" i="242"/>
  <c r="J23" i="242" s="1"/>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K45" i="242"/>
  <c r="H45" i="242"/>
  <c r="I45" i="242" s="1"/>
  <c r="J45" i="242" s="1"/>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I10" i="242"/>
  <c r="J10" i="242"/>
  <c r="I9" i="242"/>
  <c r="J9" i="242" s="1"/>
  <c r="A243" i="330"/>
  <c r="A239" i="330"/>
  <c r="G235" i="330"/>
  <c r="G47" i="241" s="1"/>
  <c r="F235" i="330"/>
  <c r="F47" i="241" s="1"/>
  <c r="E235" i="330"/>
  <c r="E47" i="241" s="1"/>
  <c r="D235" i="330"/>
  <c r="D47" i="241"/>
  <c r="C235" i="330"/>
  <c r="C47" i="241" s="1"/>
  <c r="I238" i="330"/>
  <c r="J238" i="330" s="1"/>
  <c r="A238" i="330"/>
  <c r="A237" i="330"/>
  <c r="I236" i="330"/>
  <c r="J236" i="330"/>
  <c r="A236" i="330"/>
  <c r="A233" i="330"/>
  <c r="I228" i="330"/>
  <c r="J228" i="330" s="1"/>
  <c r="A228" i="330"/>
  <c r="A229" i="330"/>
  <c r="I229" i="330"/>
  <c r="J229" i="330"/>
  <c r="I224" i="330"/>
  <c r="J224" i="330" s="1"/>
  <c r="A224" i="330"/>
  <c r="A220" i="330"/>
  <c r="A219" i="330"/>
  <c r="A218" i="330"/>
  <c r="A217" i="330"/>
  <c r="A216" i="330"/>
  <c r="I219" i="330"/>
  <c r="J219" i="330" s="1"/>
  <c r="I217" i="330"/>
  <c r="J217" i="330"/>
  <c r="A213" i="330"/>
  <c r="A212" i="330"/>
  <c r="A211" i="330"/>
  <c r="A210" i="330"/>
  <c r="I211" i="330"/>
  <c r="J211" i="330" s="1"/>
  <c r="A208" i="330"/>
  <c r="A207" i="330"/>
  <c r="A206" i="330"/>
  <c r="A205" i="330"/>
  <c r="A204" i="330"/>
  <c r="A203" i="330"/>
  <c r="A202" i="330"/>
  <c r="A201" i="330"/>
  <c r="A200" i="330"/>
  <c r="A199" i="330"/>
  <c r="I204" i="330"/>
  <c r="J204" i="330" s="1"/>
  <c r="I202" i="330"/>
  <c r="J202" i="330" s="1"/>
  <c r="I201" i="330"/>
  <c r="J201" i="330" s="1"/>
  <c r="I200" i="330"/>
  <c r="J200" i="330" s="1"/>
  <c r="I206" i="330"/>
  <c r="J206" i="330"/>
  <c r="I205" i="330"/>
  <c r="J205" i="330" s="1"/>
  <c r="I207" i="330"/>
  <c r="J207" i="330"/>
  <c r="I208" i="330"/>
  <c r="J208" i="330"/>
  <c r="A196" i="330"/>
  <c r="A195" i="330"/>
  <c r="A194" i="330"/>
  <c r="A193" i="330"/>
  <c r="A192" i="330"/>
  <c r="A191" i="330"/>
  <c r="A190" i="330"/>
  <c r="I192" i="330"/>
  <c r="J192" i="330"/>
  <c r="I191" i="330"/>
  <c r="J191" i="330" s="1"/>
  <c r="I194" i="330"/>
  <c r="J194" i="330"/>
  <c r="I193" i="330"/>
  <c r="J193" i="330"/>
  <c r="A188" i="330"/>
  <c r="A187" i="330"/>
  <c r="K186" i="330"/>
  <c r="K37" i="241" s="1"/>
  <c r="G186" i="330"/>
  <c r="G37" i="241" s="1"/>
  <c r="F186" i="330"/>
  <c r="F37" i="241" s="1"/>
  <c r="E186" i="330"/>
  <c r="E37" i="241" s="1"/>
  <c r="D186" i="330"/>
  <c r="D37" i="241"/>
  <c r="C186" i="330"/>
  <c r="C37" i="241" s="1"/>
  <c r="I188" i="330"/>
  <c r="J188" i="330"/>
  <c r="A176" i="330"/>
  <c r="A175" i="330"/>
  <c r="A174" i="330"/>
  <c r="K171" i="330"/>
  <c r="K35" i="241"/>
  <c r="H171" i="330"/>
  <c r="H35" i="241" s="1"/>
  <c r="G171" i="330"/>
  <c r="G35" i="241" s="1"/>
  <c r="F171" i="330"/>
  <c r="F35" i="241" s="1"/>
  <c r="E171" i="330"/>
  <c r="E35" i="241" s="1"/>
  <c r="D171" i="330"/>
  <c r="D35" i="241"/>
  <c r="C171" i="330"/>
  <c r="C35" i="241" s="1"/>
  <c r="I176" i="330"/>
  <c r="J176" i="330"/>
  <c r="I175" i="330"/>
  <c r="J175" i="330" s="1"/>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G132" i="330"/>
  <c r="G31" i="241" s="1"/>
  <c r="F132" i="330"/>
  <c r="F31" i="241" s="1"/>
  <c r="E132" i="330"/>
  <c r="D132" i="330"/>
  <c r="D31" i="241"/>
  <c r="G27" i="330"/>
  <c r="F27" i="330"/>
  <c r="F11" i="241" s="1"/>
  <c r="E27" i="330"/>
  <c r="E11" i="241" s="1"/>
  <c r="D27" i="330"/>
  <c r="C27" i="330"/>
  <c r="C11" i="241" s="1"/>
  <c r="G10" i="330"/>
  <c r="F10" i="330"/>
  <c r="E10" i="330"/>
  <c r="D10" i="330"/>
  <c r="C10" i="330"/>
  <c r="C132" i="330"/>
  <c r="C31" i="241"/>
  <c r="I145" i="330"/>
  <c r="J145" i="330"/>
  <c r="I144" i="330"/>
  <c r="J144" i="330" s="1"/>
  <c r="I142" i="330"/>
  <c r="J142" i="330" s="1"/>
  <c r="I141" i="330"/>
  <c r="J141" i="330" s="1"/>
  <c r="I138" i="330"/>
  <c r="J138" i="330" s="1"/>
  <c r="I136" i="330"/>
  <c r="J136" i="330" s="1"/>
  <c r="A146" i="330"/>
  <c r="C146" i="330"/>
  <c r="C32" i="241" s="1"/>
  <c r="D146" i="330"/>
  <c r="E146" i="330"/>
  <c r="E32" i="241"/>
  <c r="F146" i="330"/>
  <c r="F32" i="241" s="1"/>
  <c r="G146" i="330"/>
  <c r="I146" i="330" s="1"/>
  <c r="J146" i="330" s="1"/>
  <c r="K146" i="330"/>
  <c r="K32" i="241" s="1"/>
  <c r="A148" i="330"/>
  <c r="A149" i="330"/>
  <c r="C149" i="330"/>
  <c r="C34" i="241" s="1"/>
  <c r="D149" i="330"/>
  <c r="D34" i="241"/>
  <c r="E149" i="330"/>
  <c r="E34" i="241" s="1"/>
  <c r="F149" i="330"/>
  <c r="F34" i="241" s="1"/>
  <c r="G149" i="330"/>
  <c r="G34" i="241" s="1"/>
  <c r="I150" i="330"/>
  <c r="J150" i="330" s="1"/>
  <c r="I165" i="330"/>
  <c r="J165" i="330" s="1"/>
  <c r="I166" i="330"/>
  <c r="J166" i="330" s="1"/>
  <c r="I168" i="330"/>
  <c r="J168" i="330" s="1"/>
  <c r="I169" i="330"/>
  <c r="J169" i="330" s="1"/>
  <c r="I170" i="330"/>
  <c r="J170" i="330"/>
  <c r="H113" i="330"/>
  <c r="H24" i="241" s="1"/>
  <c r="G113" i="330"/>
  <c r="F113" i="330"/>
  <c r="F24" i="241" s="1"/>
  <c r="E113" i="330"/>
  <c r="D113" i="330"/>
  <c r="D24" i="241"/>
  <c r="C113" i="330"/>
  <c r="C24" i="241" s="1"/>
  <c r="I115" i="330"/>
  <c r="J115" i="330" s="1"/>
  <c r="I114" i="330"/>
  <c r="J114" i="330"/>
  <c r="I117" i="330"/>
  <c r="J117" i="330"/>
  <c r="I111" i="330"/>
  <c r="J111" i="330"/>
  <c r="I106" i="330"/>
  <c r="J106" i="330" s="1"/>
  <c r="I102" i="330"/>
  <c r="J102" i="330"/>
  <c r="I95" i="330"/>
  <c r="J95" i="330"/>
  <c r="I94" i="330"/>
  <c r="J94" i="330"/>
  <c r="I96" i="330"/>
  <c r="J96" i="330"/>
  <c r="H76" i="330"/>
  <c r="H17" i="241" s="1"/>
  <c r="G76" i="330"/>
  <c r="G17" i="241" s="1"/>
  <c r="F76" i="330"/>
  <c r="F17" i="241" s="1"/>
  <c r="E76" i="330"/>
  <c r="E17" i="241" s="1"/>
  <c r="D76" i="330"/>
  <c r="D75" i="330"/>
  <c r="C76" i="330"/>
  <c r="C75" i="330" s="1"/>
  <c r="I77" i="330"/>
  <c r="J77" i="330"/>
  <c r="I81" i="330"/>
  <c r="J81" i="330"/>
  <c r="I80" i="330"/>
  <c r="J80" i="330"/>
  <c r="I79" i="330"/>
  <c r="J79" i="330"/>
  <c r="I78" i="330"/>
  <c r="J78" i="330"/>
  <c r="I82" i="330"/>
  <c r="J82" i="330"/>
  <c r="K67" i="330"/>
  <c r="K15" i="241"/>
  <c r="H67" i="330"/>
  <c r="H15" i="241"/>
  <c r="G67" i="330"/>
  <c r="F67" i="330"/>
  <c r="F15" i="241"/>
  <c r="E67" i="330"/>
  <c r="E15" i="241"/>
  <c r="D67" i="330"/>
  <c r="C67" i="330"/>
  <c r="C15" i="241"/>
  <c r="H64" i="330"/>
  <c r="H14" i="241" s="1"/>
  <c r="G64" i="330"/>
  <c r="G14" i="241" s="1"/>
  <c r="F64" i="330"/>
  <c r="F14" i="241" s="1"/>
  <c r="E64" i="330"/>
  <c r="E14" i="241" s="1"/>
  <c r="D64" i="330"/>
  <c r="D14" i="241"/>
  <c r="K64" i="330"/>
  <c r="K14" i="241" s="1"/>
  <c r="K10" i="241" s="1"/>
  <c r="C64" i="330"/>
  <c r="C14" i="241" s="1"/>
  <c r="I69" i="330"/>
  <c r="J69" i="330"/>
  <c r="I68" i="330"/>
  <c r="J68" i="330"/>
  <c r="I71" i="330"/>
  <c r="J71" i="330"/>
  <c r="I70" i="330"/>
  <c r="J70" i="330"/>
  <c r="I66" i="330"/>
  <c r="J66" i="330"/>
  <c r="I65" i="330"/>
  <c r="J65" i="330" s="1"/>
  <c r="I58" i="330"/>
  <c r="J58" i="330"/>
  <c r="K49" i="330"/>
  <c r="K12" i="241"/>
  <c r="G49" i="330"/>
  <c r="G12" i="241" s="1"/>
  <c r="F49" i="330"/>
  <c r="F12" i="241"/>
  <c r="E49" i="330"/>
  <c r="E12" i="241" s="1"/>
  <c r="D49" i="330"/>
  <c r="D12" i="241"/>
  <c r="C49" i="330"/>
  <c r="C12" i="241" s="1"/>
  <c r="I54" i="330"/>
  <c r="J54" i="330"/>
  <c r="I52" i="330"/>
  <c r="J52" i="330"/>
  <c r="I51" i="330"/>
  <c r="J51" i="330"/>
  <c r="I50" i="330"/>
  <c r="J50" i="330"/>
  <c r="C55" i="330"/>
  <c r="C13" i="241" s="1"/>
  <c r="D55" i="330"/>
  <c r="D13" i="241"/>
  <c r="E55" i="330"/>
  <c r="E13" i="241" s="1"/>
  <c r="F55" i="330"/>
  <c r="G55" i="330"/>
  <c r="G13" i="241" s="1"/>
  <c r="K55" i="330"/>
  <c r="K13" i="241"/>
  <c r="I56" i="330"/>
  <c r="J56" i="330"/>
  <c r="I57" i="330"/>
  <c r="J57" i="330"/>
  <c r="I59" i="330"/>
  <c r="J59" i="330"/>
  <c r="I40" i="330"/>
  <c r="J40" i="330" s="1"/>
  <c r="I39" i="330"/>
  <c r="J39" i="330" s="1"/>
  <c r="I38" i="330"/>
  <c r="J38" i="330" s="1"/>
  <c r="I37" i="330"/>
  <c r="J37" i="330" s="1"/>
  <c r="I36" i="330"/>
  <c r="J36" i="330" s="1"/>
  <c r="I35" i="330"/>
  <c r="J35" i="330" s="1"/>
  <c r="I34" i="330"/>
  <c r="J34" i="330" s="1"/>
  <c r="I33" i="330"/>
  <c r="J33" i="330" s="1"/>
  <c r="I32" i="330"/>
  <c r="J32" i="330" s="1"/>
  <c r="I30" i="330"/>
  <c r="J30" i="330"/>
  <c r="I29" i="330"/>
  <c r="J29" i="330"/>
  <c r="I28" i="330"/>
  <c r="J28" i="330"/>
  <c r="I16" i="330"/>
  <c r="J16" i="330" s="1"/>
  <c r="I14" i="330"/>
  <c r="J14" i="330" s="1"/>
  <c r="I13" i="330"/>
  <c r="J13" i="330" s="1"/>
  <c r="I11" i="330"/>
  <c r="J11" i="330"/>
  <c r="I19" i="330"/>
  <c r="J19" i="330" s="1"/>
  <c r="I18" i="330"/>
  <c r="J18" i="330" s="1"/>
  <c r="I23" i="330"/>
  <c r="J23" i="330" s="1"/>
  <c r="I22" i="330"/>
  <c r="J22" i="330" s="1"/>
  <c r="I21" i="330"/>
  <c r="J21" i="330" s="1"/>
  <c r="I20" i="330"/>
  <c r="J20" i="330" s="1"/>
  <c r="E81" i="100"/>
  <c r="E79" i="100"/>
  <c r="F81" i="100"/>
  <c r="F79" i="100"/>
  <c r="A21" i="267"/>
  <c r="H40" i="177"/>
  <c r="J8" i="267"/>
  <c r="L20" i="175"/>
  <c r="L19" i="175"/>
  <c r="L18" i="175"/>
  <c r="L17" i="175"/>
  <c r="L9" i="175"/>
  <c r="L10" i="175"/>
  <c r="L13" i="175"/>
  <c r="K15" i="175"/>
  <c r="L15" i="175"/>
  <c r="L12" i="175"/>
  <c r="L11" i="175"/>
  <c r="L8" i="175"/>
  <c r="L7" i="175"/>
  <c r="L6" i="175"/>
  <c r="L5" i="175"/>
  <c r="X11" i="329"/>
  <c r="A1" i="268" s="1"/>
  <c r="F9" i="334"/>
  <c r="G30" i="334"/>
  <c r="G29" i="334"/>
  <c r="F46" i="334"/>
  <c r="F44" i="334"/>
  <c r="G44" i="334"/>
  <c r="F45"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c r="B80" i="172" s="1"/>
  <c r="K13" i="175"/>
  <c r="K12" i="175"/>
  <c r="K11" i="175"/>
  <c r="K10" i="175"/>
  <c r="K9" i="175"/>
  <c r="K8" i="175"/>
  <c r="K7" i="175"/>
  <c r="A50" i="334"/>
  <c r="A46" i="334"/>
  <c r="E44" i="334"/>
  <c r="D44" i="334"/>
  <c r="C44" i="334"/>
  <c r="A43" i="334"/>
  <c r="E41" i="334"/>
  <c r="D41" i="334"/>
  <c r="C41" i="334"/>
  <c r="A40" i="334"/>
  <c r="E38" i="334"/>
  <c r="D38" i="334"/>
  <c r="C38" i="334"/>
  <c r="C47" i="334"/>
  <c r="A37" i="334"/>
  <c r="A36" i="334"/>
  <c r="A35" i="334"/>
  <c r="A34" i="334"/>
  <c r="A33" i="334"/>
  <c r="A32" i="334"/>
  <c r="E31" i="334"/>
  <c r="E47" i="334"/>
  <c r="D31" i="334"/>
  <c r="D47"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8" i="269"/>
  <c r="B91" i="100"/>
  <c r="F10" i="267"/>
  <c r="E10" i="267"/>
  <c r="D10" i="267"/>
  <c r="C10" i="267"/>
  <c r="F8" i="267"/>
  <c r="E8" i="267"/>
  <c r="D8" i="267"/>
  <c r="C8" i="267"/>
  <c r="C11" i="267"/>
  <c r="B10" i="267"/>
  <c r="B8" i="267"/>
  <c r="B9" i="267"/>
  <c r="C307" i="322"/>
  <c r="I92" i="318"/>
  <c r="J92" i="318" s="1"/>
  <c r="I91" i="318"/>
  <c r="J91" i="318" s="1"/>
  <c r="I90" i="318"/>
  <c r="J90" i="318" s="1"/>
  <c r="I89" i="318"/>
  <c r="J89" i="318" s="1"/>
  <c r="I78" i="318"/>
  <c r="J78" i="318"/>
  <c r="I63" i="318"/>
  <c r="J63" i="318" s="1"/>
  <c r="I61" i="318"/>
  <c r="J61" i="318"/>
  <c r="I60" i="318"/>
  <c r="J60" i="318"/>
  <c r="I59" i="318"/>
  <c r="J59" i="318"/>
  <c r="I58" i="318"/>
  <c r="J58" i="318"/>
  <c r="I57" i="318"/>
  <c r="J57" i="318"/>
  <c r="I41" i="318"/>
  <c r="J41" i="318" s="1"/>
  <c r="I34" i="318"/>
  <c r="J34" i="318" s="1"/>
  <c r="I38" i="318"/>
  <c r="J38" i="318" s="1"/>
  <c r="I43" i="318"/>
  <c r="J43" i="318" s="1"/>
  <c r="I45" i="318"/>
  <c r="J45" i="318"/>
  <c r="I25" i="318"/>
  <c r="J25" i="318" s="1"/>
  <c r="I24" i="318"/>
  <c r="J24" i="318" s="1"/>
  <c r="I12" i="318"/>
  <c r="J12" i="318" s="1"/>
  <c r="I11" i="318"/>
  <c r="J11"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c r="E174" i="323"/>
  <c r="E24" i="272" s="1"/>
  <c r="F174" i="323"/>
  <c r="F24" i="272" s="1"/>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c r="A3" i="332"/>
  <c r="A17" i="323"/>
  <c r="D3" i="332"/>
  <c r="A4" i="332"/>
  <c r="D4" i="332"/>
  <c r="A5" i="332"/>
  <c r="D5" i="332"/>
  <c r="A6" i="332"/>
  <c r="A10" i="272"/>
  <c r="D6" i="332"/>
  <c r="A7" i="332"/>
  <c r="A229" i="323"/>
  <c r="D7" i="332"/>
  <c r="A8" i="332"/>
  <c r="D8" i="332"/>
  <c r="A9" i="332"/>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F54" i="174"/>
  <c r="E54" i="174"/>
  <c r="D54" i="174"/>
  <c r="I40" i="182"/>
  <c r="J40" i="182"/>
  <c r="I41" i="182"/>
  <c r="J41" i="182"/>
  <c r="K57" i="268"/>
  <c r="G57" i="268"/>
  <c r="F57" i="268"/>
  <c r="E57" i="268"/>
  <c r="D57" i="268"/>
  <c r="C57" i="268"/>
  <c r="C118" i="330"/>
  <c r="C25" i="241" s="1"/>
  <c r="E31" i="241"/>
  <c r="C8" i="241"/>
  <c r="J13" i="267"/>
  <c r="J14" i="267"/>
  <c r="J16" i="267"/>
  <c r="J17" i="267"/>
  <c r="F12" i="267"/>
  <c r="F13" i="267"/>
  <c r="F14" i="267"/>
  <c r="F15" i="267"/>
  <c r="F16" i="267"/>
  <c r="F17" i="267"/>
  <c r="E12" i="267"/>
  <c r="E13" i="267"/>
  <c r="E14" i="267"/>
  <c r="E15" i="267"/>
  <c r="E16" i="267"/>
  <c r="E17" i="267"/>
  <c r="D12" i="267"/>
  <c r="D13" i="267"/>
  <c r="D14" i="267"/>
  <c r="D15" i="267"/>
  <c r="D16" i="267"/>
  <c r="D17" i="267"/>
  <c r="C12" i="267"/>
  <c r="C19" i="267"/>
  <c r="C13" i="267"/>
  <c r="C14" i="267"/>
  <c r="C15" i="267"/>
  <c r="C16" i="267"/>
  <c r="C17" i="267"/>
  <c r="B12" i="267"/>
  <c r="B18" i="267" s="1"/>
  <c r="B13" i="267"/>
  <c r="B14" i="267"/>
  <c r="B15" i="267"/>
  <c r="B16" i="267"/>
  <c r="B17" i="267"/>
  <c r="C54" i="270"/>
  <c r="C44" i="270"/>
  <c r="C30" i="270"/>
  <c r="K240" i="323"/>
  <c r="K30" i="272"/>
  <c r="K251" i="323"/>
  <c r="K31" i="272"/>
  <c r="K262" i="323"/>
  <c r="K273" i="323"/>
  <c r="K284" i="323"/>
  <c r="K34" i="272"/>
  <c r="K295" i="323"/>
  <c r="K35" i="272"/>
  <c r="K306" i="323"/>
  <c r="K317" i="323"/>
  <c r="K37" i="272"/>
  <c r="K328" i="323"/>
  <c r="K38" i="272"/>
  <c r="H240" i="323"/>
  <c r="H30" i="272"/>
  <c r="H251" i="323"/>
  <c r="H31" i="272"/>
  <c r="H262" i="323"/>
  <c r="I262" i="323"/>
  <c r="J262" i="323"/>
  <c r="H273" i="323"/>
  <c r="H284" i="323"/>
  <c r="H34" i="272"/>
  <c r="H295" i="323"/>
  <c r="H35" i="272"/>
  <c r="H306" i="323"/>
  <c r="H36" i="272"/>
  <c r="H317" i="323"/>
  <c r="H328" i="323"/>
  <c r="H38" i="272"/>
  <c r="G185" i="323"/>
  <c r="G196" i="323"/>
  <c r="G26" i="272" s="1"/>
  <c r="G207" i="323"/>
  <c r="G27" i="272" s="1"/>
  <c r="G218" i="323"/>
  <c r="G28" i="272" s="1"/>
  <c r="G229" i="323"/>
  <c r="G29" i="272" s="1"/>
  <c r="G240" i="323"/>
  <c r="I240" i="323"/>
  <c r="J240" i="323"/>
  <c r="G251" i="323"/>
  <c r="G262" i="323"/>
  <c r="G273" i="323"/>
  <c r="I273" i="323"/>
  <c r="J273" i="323"/>
  <c r="G284" i="323"/>
  <c r="G34" i="272"/>
  <c r="I34" i="272"/>
  <c r="J34" i="272"/>
  <c r="G295" i="323"/>
  <c r="G306" i="323"/>
  <c r="G36" i="272"/>
  <c r="G317" i="323"/>
  <c r="I317" i="323"/>
  <c r="J317" i="323"/>
  <c r="G328" i="323"/>
  <c r="F185" i="323"/>
  <c r="F25" i="272" s="1"/>
  <c r="F196" i="323"/>
  <c r="F26" i="272" s="1"/>
  <c r="F207" i="323"/>
  <c r="F218" i="323"/>
  <c r="F28" i="272" s="1"/>
  <c r="F229" i="323"/>
  <c r="F29" i="272" s="1"/>
  <c r="F240" i="323"/>
  <c r="F251" i="323"/>
  <c r="F31" i="272"/>
  <c r="F262" i="323"/>
  <c r="F32" i="272"/>
  <c r="F273" i="323"/>
  <c r="F284" i="323"/>
  <c r="F34" i="272"/>
  <c r="F295" i="323"/>
  <c r="F35" i="272"/>
  <c r="F306" i="323"/>
  <c r="F36" i="272"/>
  <c r="F317" i="323"/>
  <c r="F37" i="272"/>
  <c r="F328" i="323"/>
  <c r="F38" i="272"/>
  <c r="E185" i="323"/>
  <c r="E25" i="272" s="1"/>
  <c r="E196" i="323"/>
  <c r="E207" i="323"/>
  <c r="E27" i="272" s="1"/>
  <c r="E218" i="323"/>
  <c r="E28" i="272"/>
  <c r="E229" i="323"/>
  <c r="K229" i="323" s="1"/>
  <c r="K29" i="272" s="1"/>
  <c r="E240" i="323"/>
  <c r="E251" i="323"/>
  <c r="E31" i="272"/>
  <c r="E262" i="323"/>
  <c r="E32" i="272"/>
  <c r="E273" i="323"/>
  <c r="E33" i="272"/>
  <c r="E284" i="323"/>
  <c r="E34" i="272"/>
  <c r="E295" i="323"/>
  <c r="E35" i="272"/>
  <c r="E306" i="323"/>
  <c r="E36" i="272"/>
  <c r="E317" i="323"/>
  <c r="E37" i="272"/>
  <c r="E328" i="323"/>
  <c r="E38" i="272"/>
  <c r="D185" i="323"/>
  <c r="D196" i="323"/>
  <c r="D26" i="272"/>
  <c r="D207" i="323"/>
  <c r="D27" i="272"/>
  <c r="D218" i="323"/>
  <c r="D28" i="272"/>
  <c r="D29" i="272"/>
  <c r="D240" i="323"/>
  <c r="D30" i="272"/>
  <c r="D251" i="323"/>
  <c r="D262" i="323"/>
  <c r="D32" i="272"/>
  <c r="D273" i="323"/>
  <c r="D33" i="272"/>
  <c r="D284" i="323"/>
  <c r="D34" i="272"/>
  <c r="D295" i="323"/>
  <c r="D35" i="272"/>
  <c r="D306" i="323"/>
  <c r="D36" i="272"/>
  <c r="D317" i="323"/>
  <c r="D37" i="272"/>
  <c r="D328" i="323"/>
  <c r="D38" i="272"/>
  <c r="C185" i="323"/>
  <c r="C25" i="272" s="1"/>
  <c r="C196" i="323"/>
  <c r="C207" i="323"/>
  <c r="C27" i="272" s="1"/>
  <c r="C218" i="323"/>
  <c r="C28" i="272" s="1"/>
  <c r="C229" i="323"/>
  <c r="C29" i="272"/>
  <c r="C240" i="323"/>
  <c r="C251" i="323"/>
  <c r="C262" i="323"/>
  <c r="C32" i="272"/>
  <c r="C273" i="323"/>
  <c r="C33" i="272"/>
  <c r="C284" i="323"/>
  <c r="C34" i="272"/>
  <c r="C295" i="323"/>
  <c r="C306" i="323"/>
  <c r="C36" i="272"/>
  <c r="C317" i="323"/>
  <c r="C37" i="272"/>
  <c r="C328" i="323"/>
  <c r="D28" i="177"/>
  <c r="D18" i="177"/>
  <c r="C43" i="267"/>
  <c r="K330" i="324"/>
  <c r="K38" i="268"/>
  <c r="K319" i="324"/>
  <c r="K37" i="268"/>
  <c r="K308" i="324"/>
  <c r="K36" i="268"/>
  <c r="K297" i="324"/>
  <c r="K35" i="268"/>
  <c r="K286" i="324"/>
  <c r="K34" i="268"/>
  <c r="K275" i="324"/>
  <c r="K33" i="268"/>
  <c r="K264" i="324"/>
  <c r="K32" i="268"/>
  <c r="K253" i="324"/>
  <c r="K31" i="268"/>
  <c r="K242" i="324"/>
  <c r="K30" i="268"/>
  <c r="G330" i="324"/>
  <c r="G38" i="268"/>
  <c r="H330" i="324"/>
  <c r="H38" i="268"/>
  <c r="F330" i="324"/>
  <c r="F38" i="268"/>
  <c r="E330" i="324"/>
  <c r="E38" i="268"/>
  <c r="D330" i="324"/>
  <c r="G319" i="324"/>
  <c r="G37" i="268"/>
  <c r="H319" i="324"/>
  <c r="H37" i="268"/>
  <c r="F319" i="324"/>
  <c r="F37" i="268"/>
  <c r="E319" i="324"/>
  <c r="E37" i="268"/>
  <c r="D319" i="324"/>
  <c r="D37" i="268"/>
  <c r="G308" i="324"/>
  <c r="H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H253" i="324"/>
  <c r="H31" i="268"/>
  <c r="F253" i="324"/>
  <c r="F31" i="268"/>
  <c r="E253" i="324"/>
  <c r="E31" i="268"/>
  <c r="D253" i="324"/>
  <c r="D31" i="268"/>
  <c r="G242" i="324"/>
  <c r="G30" i="268"/>
  <c r="H242" i="324"/>
  <c r="H30" i="268"/>
  <c r="F242" i="324"/>
  <c r="F30" i="268"/>
  <c r="E242" i="324"/>
  <c r="E30" i="268"/>
  <c r="D242" i="324"/>
  <c r="D30" i="268"/>
  <c r="G231" i="324"/>
  <c r="G29" i="268" s="1"/>
  <c r="H231" i="324"/>
  <c r="H29" i="268" s="1"/>
  <c r="F231" i="324"/>
  <c r="F29" i="268" s="1"/>
  <c r="E231" i="324"/>
  <c r="E29" i="268" s="1"/>
  <c r="D231" i="324"/>
  <c r="D29" i="268"/>
  <c r="G220" i="324"/>
  <c r="G28" i="268" s="1"/>
  <c r="F220" i="324"/>
  <c r="F28" i="268" s="1"/>
  <c r="E220" i="324"/>
  <c r="E28" i="268"/>
  <c r="D220" i="324"/>
  <c r="D28" i="268"/>
  <c r="G209" i="324"/>
  <c r="G27" i="268" s="1"/>
  <c r="F209" i="324"/>
  <c r="F27" i="268" s="1"/>
  <c r="E209" i="324"/>
  <c r="E27" i="268" s="1"/>
  <c r="D209" i="324"/>
  <c r="D341" i="324"/>
  <c r="G198" i="324"/>
  <c r="F198" i="324"/>
  <c r="F26" i="268" s="1"/>
  <c r="E198" i="324"/>
  <c r="E26" i="268"/>
  <c r="D198" i="324"/>
  <c r="D26" i="268"/>
  <c r="G187" i="324"/>
  <c r="G25" i="268" s="1"/>
  <c r="F187" i="324"/>
  <c r="F25" i="268" s="1"/>
  <c r="E187" i="324"/>
  <c r="E25" i="268"/>
  <c r="D187" i="324"/>
  <c r="D25" i="268"/>
  <c r="G176" i="324"/>
  <c r="G24" i="268"/>
  <c r="F176" i="324"/>
  <c r="E176" i="324"/>
  <c r="E24" i="268"/>
  <c r="D176" i="324"/>
  <c r="D24" i="268"/>
  <c r="C319" i="324"/>
  <c r="C37" i="268"/>
  <c r="C308" i="324"/>
  <c r="C36" i="268"/>
  <c r="C297" i="324"/>
  <c r="C35" i="268"/>
  <c r="C286" i="324"/>
  <c r="C34" i="268"/>
  <c r="C275" i="324"/>
  <c r="C33" i="268"/>
  <c r="C176" i="324"/>
  <c r="C24" i="268" s="1"/>
  <c r="C330" i="324"/>
  <c r="C264" i="324"/>
  <c r="C32" i="268"/>
  <c r="C253" i="324"/>
  <c r="C31" i="268"/>
  <c r="C242" i="324"/>
  <c r="C231" i="324"/>
  <c r="C29" i="268" s="1"/>
  <c r="C220" i="324"/>
  <c r="C28" i="268" s="1"/>
  <c r="C209" i="324"/>
  <c r="C27" i="268" s="1"/>
  <c r="C198" i="324"/>
  <c r="C26" i="268" s="1"/>
  <c r="C187" i="324"/>
  <c r="C25" i="268" s="1"/>
  <c r="K161" i="324"/>
  <c r="K20" i="268"/>
  <c r="K150" i="324"/>
  <c r="K19" i="268"/>
  <c r="K139" i="324"/>
  <c r="K18" i="268"/>
  <c r="K128" i="324"/>
  <c r="K17" i="268"/>
  <c r="K117" i="324"/>
  <c r="K16" i="268"/>
  <c r="K106" i="324"/>
  <c r="K15" i="268"/>
  <c r="K95" i="324"/>
  <c r="K14" i="268"/>
  <c r="K84" i="324"/>
  <c r="K13" i="268"/>
  <c r="K73" i="324"/>
  <c r="K12" i="268"/>
  <c r="K62" i="324"/>
  <c r="K11" i="268" s="1"/>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I18" i="268"/>
  <c r="J18" i="268"/>
  <c r="F139" i="324"/>
  <c r="F18" i="268"/>
  <c r="E139" i="324"/>
  <c r="E18" i="268"/>
  <c r="D139" i="324"/>
  <c r="D18" i="268"/>
  <c r="H128" i="324"/>
  <c r="G128" i="324"/>
  <c r="G17" i="268"/>
  <c r="I17" i="268"/>
  <c r="J17" i="268"/>
  <c r="F128" i="324"/>
  <c r="F17" i="268"/>
  <c r="E128" i="324"/>
  <c r="E17" i="268"/>
  <c r="D128" i="324"/>
  <c r="D17" i="268"/>
  <c r="H117" i="324"/>
  <c r="G117" i="324"/>
  <c r="I117" i="324"/>
  <c r="J117" i="324"/>
  <c r="F117" i="324"/>
  <c r="F16" i="268"/>
  <c r="E117" i="324"/>
  <c r="E16" i="268"/>
  <c r="D117" i="324"/>
  <c r="D16" i="268"/>
  <c r="H106" i="324"/>
  <c r="H15" i="268"/>
  <c r="G106" i="324"/>
  <c r="G15" i="268"/>
  <c r="I15" i="268"/>
  <c r="J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D73" i="324"/>
  <c r="D12" i="268"/>
  <c r="G62" i="324"/>
  <c r="F62" i="324"/>
  <c r="F11" i="268" s="1"/>
  <c r="E62" i="324"/>
  <c r="D62" i="324"/>
  <c r="D11" i="268"/>
  <c r="G51" i="324"/>
  <c r="G10" i="268" s="1"/>
  <c r="F51" i="324"/>
  <c r="F10" i="268" s="1"/>
  <c r="E51" i="324"/>
  <c r="E10" i="268"/>
  <c r="D51" i="324"/>
  <c r="D172" i="324"/>
  <c r="G40" i="324"/>
  <c r="G9" i="268" s="1"/>
  <c r="F40" i="324"/>
  <c r="F9" i="268" s="1"/>
  <c r="E40" i="324"/>
  <c r="E9" i="268" s="1"/>
  <c r="D40" i="324"/>
  <c r="D9" i="268"/>
  <c r="G29" i="324"/>
  <c r="G8" i="268" s="1"/>
  <c r="F29" i="324"/>
  <c r="F8" i="268" s="1"/>
  <c r="E29" i="324"/>
  <c r="E8" i="268" s="1"/>
  <c r="D29" i="324"/>
  <c r="G18" i="324"/>
  <c r="F18" i="324"/>
  <c r="F7" i="268" s="1"/>
  <c r="E18" i="324"/>
  <c r="E7" i="268" s="1"/>
  <c r="D18" i="324"/>
  <c r="D7" i="268"/>
  <c r="G7" i="324"/>
  <c r="F7" i="324"/>
  <c r="F6" i="268"/>
  <c r="E7" i="324"/>
  <c r="D7" i="324"/>
  <c r="D6" i="268"/>
  <c r="C161" i="324"/>
  <c r="C20" i="268"/>
  <c r="C150" i="324"/>
  <c r="C19" i="268"/>
  <c r="C139" i="324"/>
  <c r="C18" i="268"/>
  <c r="C128" i="324"/>
  <c r="C17" i="268"/>
  <c r="C117" i="324"/>
  <c r="C16" i="268"/>
  <c r="C106" i="324"/>
  <c r="C15" i="268"/>
  <c r="C95" i="324"/>
  <c r="C14" i="268"/>
  <c r="C84" i="324"/>
  <c r="C13" i="268"/>
  <c r="C73" i="324"/>
  <c r="C12" i="268"/>
  <c r="C62" i="324"/>
  <c r="C11" i="268" s="1"/>
  <c r="C51" i="324"/>
  <c r="C172" i="324" s="1"/>
  <c r="C40" i="324"/>
  <c r="C9" i="268" s="1"/>
  <c r="C29" i="324"/>
  <c r="C8" i="268"/>
  <c r="C18" i="324"/>
  <c r="C7" i="268"/>
  <c r="C7" i="324"/>
  <c r="C6" i="268" s="1"/>
  <c r="D70" i="268"/>
  <c r="D74" i="268"/>
  <c r="E70" i="268"/>
  <c r="E74" i="268"/>
  <c r="F70" i="268"/>
  <c r="F74" i="268" s="1"/>
  <c r="G70" i="268"/>
  <c r="F29" i="267" s="1"/>
  <c r="C70" i="268"/>
  <c r="C74" i="268" s="1"/>
  <c r="A75" i="100"/>
  <c r="B99" i="100"/>
  <c r="C18" i="177"/>
  <c r="B43" i="267"/>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I148" i="242" s="1"/>
  <c r="J148" i="242" s="1"/>
  <c r="K13" i="242"/>
  <c r="K27" i="242"/>
  <c r="K69" i="242"/>
  <c r="K135" i="242"/>
  <c r="K148" i="242"/>
  <c r="C13" i="242"/>
  <c r="C27" i="242"/>
  <c r="C69" i="242"/>
  <c r="C135" i="242"/>
  <c r="C148" i="242"/>
  <c r="K36" i="272"/>
  <c r="K33" i="272"/>
  <c r="G38" i="272"/>
  <c r="I38" i="272"/>
  <c r="J38" i="272"/>
  <c r="H37"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G16" i="272"/>
  <c r="H116" i="323"/>
  <c r="H16" i="272"/>
  <c r="G127" i="323"/>
  <c r="G17" i="272"/>
  <c r="H127" i="323"/>
  <c r="H17" i="272"/>
  <c r="G138" i="323"/>
  <c r="H138" i="323"/>
  <c r="H18" i="272"/>
  <c r="G149" i="323"/>
  <c r="G19" i="272"/>
  <c r="H149" i="323"/>
  <c r="H19" i="272"/>
  <c r="I19" i="272"/>
  <c r="J19" i="272"/>
  <c r="G160" i="323"/>
  <c r="G20" i="272"/>
  <c r="H160" i="323"/>
  <c r="I160" i="323"/>
  <c r="J160" i="323"/>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F77" i="100"/>
  <c r="B27" i="322"/>
  <c r="B73" i="100"/>
  <c r="C7" i="330"/>
  <c r="C24" i="330"/>
  <c r="C9" i="241"/>
  <c r="C87" i="330"/>
  <c r="C18" i="241" s="1"/>
  <c r="C92" i="330"/>
  <c r="C19" i="241" s="1"/>
  <c r="C100" i="330"/>
  <c r="C21" i="241" s="1"/>
  <c r="C104" i="330"/>
  <c r="C22" i="241" s="1"/>
  <c r="C108" i="330"/>
  <c r="C23" i="241"/>
  <c r="K7" i="330"/>
  <c r="K24" i="330"/>
  <c r="K9" i="241"/>
  <c r="K87" i="330"/>
  <c r="K18" i="241"/>
  <c r="K92" i="330"/>
  <c r="K75" i="330"/>
  <c r="K100" i="330"/>
  <c r="K104" i="330"/>
  <c r="K22" i="241"/>
  <c r="K108" i="330"/>
  <c r="K23" i="241"/>
  <c r="K118" i="330"/>
  <c r="K25" i="241"/>
  <c r="K129" i="330"/>
  <c r="K30" i="241" s="1"/>
  <c r="K177" i="330"/>
  <c r="K36" i="241" s="1"/>
  <c r="K198" i="330"/>
  <c r="K40" i="241"/>
  <c r="K214" i="330"/>
  <c r="K42" i="241" s="1"/>
  <c r="K222" i="330"/>
  <c r="K44" i="241"/>
  <c r="K226" i="330"/>
  <c r="K221" i="330" s="1"/>
  <c r="H24" i="330"/>
  <c r="H9" i="241"/>
  <c r="H92" i="330"/>
  <c r="H19" i="241" s="1"/>
  <c r="H108" i="330"/>
  <c r="H23" i="241" s="1"/>
  <c r="H177" i="330"/>
  <c r="H36" i="241" s="1"/>
  <c r="H189" i="330"/>
  <c r="H222" i="330"/>
  <c r="I222" i="330" s="1"/>
  <c r="J222" i="330" s="1"/>
  <c r="H226" i="330"/>
  <c r="H45" i="241" s="1"/>
  <c r="G7" i="330"/>
  <c r="G6" i="330" s="1"/>
  <c r="G7" i="241"/>
  <c r="G24" i="330"/>
  <c r="G87" i="330"/>
  <c r="G18" i="241" s="1"/>
  <c r="G92" i="330"/>
  <c r="G100" i="330"/>
  <c r="G21" i="241" s="1"/>
  <c r="G104" i="330"/>
  <c r="G108" i="330"/>
  <c r="G23" i="241" s="1"/>
  <c r="G118" i="330"/>
  <c r="G25" i="241" s="1"/>
  <c r="G129" i="330"/>
  <c r="G30" i="241" s="1"/>
  <c r="G177" i="330"/>
  <c r="G36" i="241" s="1"/>
  <c r="G189" i="330"/>
  <c r="G38" i="241" s="1"/>
  <c r="G198" i="330"/>
  <c r="G40" i="241" s="1"/>
  <c r="G209" i="330"/>
  <c r="G41" i="241" s="1"/>
  <c r="G214" i="330"/>
  <c r="G222" i="330"/>
  <c r="G44" i="241" s="1"/>
  <c r="G226" i="330"/>
  <c r="G45" i="241" s="1"/>
  <c r="G230" i="330"/>
  <c r="G46" i="241" s="1"/>
  <c r="G240" i="330"/>
  <c r="G48" i="241" s="1"/>
  <c r="F7" i="330"/>
  <c r="F6" i="330" s="1"/>
  <c r="F24" i="330"/>
  <c r="F87" i="330"/>
  <c r="F18" i="241" s="1"/>
  <c r="F92" i="330"/>
  <c r="F19" i="241" s="1"/>
  <c r="F100" i="330"/>
  <c r="F21" i="241" s="1"/>
  <c r="F104" i="330"/>
  <c r="F22" i="241" s="1"/>
  <c r="F108" i="330"/>
  <c r="F118" i="330"/>
  <c r="F25" i="241" s="1"/>
  <c r="F129" i="330"/>
  <c r="F30" i="241" s="1"/>
  <c r="F177" i="330"/>
  <c r="F36" i="241" s="1"/>
  <c r="F189" i="330"/>
  <c r="F38" i="241" s="1"/>
  <c r="F198" i="330"/>
  <c r="F40" i="241" s="1"/>
  <c r="F209" i="330"/>
  <c r="F214" i="330"/>
  <c r="F42" i="241" s="1"/>
  <c r="F222" i="330"/>
  <c r="F44" i="241" s="1"/>
  <c r="F226" i="330"/>
  <c r="F45" i="241" s="1"/>
  <c r="F230" i="330"/>
  <c r="F46" i="241" s="1"/>
  <c r="F240" i="330"/>
  <c r="F48" i="241" s="1"/>
  <c r="E7" i="330"/>
  <c r="E7" i="241"/>
  <c r="E24" i="330"/>
  <c r="E9" i="241"/>
  <c r="E87" i="330"/>
  <c r="E18" i="241" s="1"/>
  <c r="E92" i="330"/>
  <c r="E19" i="241" s="1"/>
  <c r="E100" i="330"/>
  <c r="E21" i="241" s="1"/>
  <c r="E104" i="330"/>
  <c r="E108" i="330"/>
  <c r="E23" i="241" s="1"/>
  <c r="E118" i="330"/>
  <c r="E25" i="241" s="1"/>
  <c r="E30" i="241"/>
  <c r="E177" i="330"/>
  <c r="E36" i="241" s="1"/>
  <c r="E189" i="330"/>
  <c r="E38" i="241" s="1"/>
  <c r="E198" i="330"/>
  <c r="E209" i="330"/>
  <c r="E214" i="330"/>
  <c r="E42" i="241" s="1"/>
  <c r="E222" i="330"/>
  <c r="E44" i="241" s="1"/>
  <c r="E226" i="330"/>
  <c r="E230" i="330"/>
  <c r="E46" i="241"/>
  <c r="E240" i="330"/>
  <c r="E48" i="241" s="1"/>
  <c r="D7" i="330"/>
  <c r="D7" i="241"/>
  <c r="D24" i="330"/>
  <c r="D9" i="241"/>
  <c r="D15" i="241"/>
  <c r="D87" i="330"/>
  <c r="D18" i="241"/>
  <c r="D92" i="330"/>
  <c r="D19" i="241"/>
  <c r="D100" i="330"/>
  <c r="D104" i="330"/>
  <c r="D108" i="330"/>
  <c r="D23" i="241"/>
  <c r="D118" i="330"/>
  <c r="D25" i="241"/>
  <c r="D129" i="330"/>
  <c r="D32" i="241"/>
  <c r="D177" i="330"/>
  <c r="D189" i="330"/>
  <c r="D38" i="241"/>
  <c r="D198" i="330"/>
  <c r="D40" i="241"/>
  <c r="D209" i="330"/>
  <c r="D41" i="241"/>
  <c r="D214" i="330"/>
  <c r="D42" i="241"/>
  <c r="D222" i="330"/>
  <c r="D44" i="241"/>
  <c r="D226" i="330"/>
  <c r="D45" i="241"/>
  <c r="D230" i="330"/>
  <c r="D221" i="330"/>
  <c r="D240" i="330"/>
  <c r="D48" i="241"/>
  <c r="C240" i="330"/>
  <c r="C48" i="241" s="1"/>
  <c r="C230" i="330"/>
  <c r="C46" i="241" s="1"/>
  <c r="C226" i="330"/>
  <c r="C45" i="241" s="1"/>
  <c r="C222" i="330"/>
  <c r="C44" i="241" s="1"/>
  <c r="C214" i="330"/>
  <c r="C42" i="241" s="1"/>
  <c r="C209" i="330"/>
  <c r="C41" i="241"/>
  <c r="C198" i="330"/>
  <c r="C40" i="241" s="1"/>
  <c r="C189" i="330"/>
  <c r="C38" i="241" s="1"/>
  <c r="C177" i="330"/>
  <c r="C129" i="330"/>
  <c r="C30" i="241"/>
  <c r="I246" i="330"/>
  <c r="J246" i="330" s="1"/>
  <c r="I242" i="330"/>
  <c r="J242" i="330" s="1"/>
  <c r="I241" i="330"/>
  <c r="J241" i="330"/>
  <c r="I239" i="330"/>
  <c r="J239" i="330"/>
  <c r="I234" i="330"/>
  <c r="J234" i="330"/>
  <c r="I232" i="330"/>
  <c r="J232" i="330" s="1"/>
  <c r="I227" i="330"/>
  <c r="J227" i="330"/>
  <c r="I225" i="330"/>
  <c r="J225" i="330"/>
  <c r="I220" i="330"/>
  <c r="J220" i="330"/>
  <c r="I216" i="330"/>
  <c r="J216" i="330"/>
  <c r="I215" i="330"/>
  <c r="J215" i="330"/>
  <c r="I212" i="330"/>
  <c r="J212" i="330" s="1"/>
  <c r="I210" i="330"/>
  <c r="J210" i="330" s="1"/>
  <c r="I199" i="330"/>
  <c r="J199" i="330"/>
  <c r="I196" i="330"/>
  <c r="J196" i="330"/>
  <c r="I195" i="330"/>
  <c r="J195" i="330"/>
  <c r="I190" i="330"/>
  <c r="J190" i="330"/>
  <c r="I185" i="330"/>
  <c r="J185" i="330"/>
  <c r="I182" i="330"/>
  <c r="J182" i="330" s="1"/>
  <c r="I181" i="330"/>
  <c r="J181" i="330" s="1"/>
  <c r="I179" i="330"/>
  <c r="J179" i="330" s="1"/>
  <c r="I178" i="330"/>
  <c r="J178" i="330" s="1"/>
  <c r="I124" i="330"/>
  <c r="J124" i="330"/>
  <c r="I123" i="330"/>
  <c r="J123" i="330" s="1"/>
  <c r="I122" i="330"/>
  <c r="J122" i="330" s="1"/>
  <c r="I119" i="330"/>
  <c r="J119" i="330"/>
  <c r="I112" i="330"/>
  <c r="J112" i="330"/>
  <c r="I110" i="330"/>
  <c r="J110" i="330" s="1"/>
  <c r="I109" i="330"/>
  <c r="J109" i="330"/>
  <c r="I107" i="330"/>
  <c r="J107" i="330"/>
  <c r="I105" i="330"/>
  <c r="J105" i="330"/>
  <c r="I103" i="330"/>
  <c r="J103" i="330"/>
  <c r="I98" i="330"/>
  <c r="J98" i="330" s="1"/>
  <c r="I97" i="330"/>
  <c r="J97" i="330" s="1"/>
  <c r="I93" i="330"/>
  <c r="J93" i="330"/>
  <c r="I91" i="330"/>
  <c r="J91" i="330"/>
  <c r="I90" i="330"/>
  <c r="J90" i="330" s="1"/>
  <c r="I89" i="330"/>
  <c r="J89" i="330" s="1"/>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s="1"/>
  <c r="I43" i="330"/>
  <c r="J43" i="330" s="1"/>
  <c r="I42" i="330"/>
  <c r="J42" i="330" s="1"/>
  <c r="I41" i="330"/>
  <c r="J41" i="330" s="1"/>
  <c r="I25" i="330"/>
  <c r="J25"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B5" i="100"/>
  <c r="B47" i="100"/>
  <c r="J3" i="322"/>
  <c r="K3" i="322"/>
  <c r="L3" i="322"/>
  <c r="M3" i="322"/>
  <c r="N3" i="322"/>
  <c r="O3" i="322"/>
  <c r="F4" i="322"/>
  <c r="G4" i="322"/>
  <c r="H4" i="322"/>
  <c r="I4" i="322"/>
  <c r="J4" i="322"/>
  <c r="K4" i="322"/>
  <c r="L4" i="322"/>
  <c r="M4" i="322"/>
  <c r="N4" i="322"/>
  <c r="O4" i="322"/>
  <c r="F5" i="322"/>
  <c r="G5" i="322"/>
  <c r="H5" i="322"/>
  <c r="I5" i="322"/>
  <c r="B12" i="100"/>
  <c r="O3" i="317"/>
  <c r="J5" i="322"/>
  <c r="K5" i="322"/>
  <c r="L5" i="322"/>
  <c r="M5" i="322"/>
  <c r="N5" i="322"/>
  <c r="O5" i="322"/>
  <c r="F6" i="322"/>
  <c r="G6" i="322"/>
  <c r="H6" i="322"/>
  <c r="I6" i="322"/>
  <c r="J6" i="322"/>
  <c r="K6" i="322"/>
  <c r="L6" i="322"/>
  <c r="M6" i="322"/>
  <c r="N6" i="322"/>
  <c r="O6" i="322"/>
  <c r="F7" i="322"/>
  <c r="G7" i="322"/>
  <c r="H7" i="322"/>
  <c r="I7" i="322"/>
  <c r="B14" i="100"/>
  <c r="J7" i="322"/>
  <c r="K7" i="322"/>
  <c r="L7" i="322"/>
  <c r="M7" i="322"/>
  <c r="N7" i="322"/>
  <c r="O7" i="322"/>
  <c r="E7" i="322"/>
  <c r="E6" i="322"/>
  <c r="E4" i="322"/>
  <c r="E3" i="322"/>
  <c r="X38" i="329"/>
  <c r="K37" i="177"/>
  <c r="J45" i="267"/>
  <c r="G37" i="177"/>
  <c r="F37" i="177"/>
  <c r="E45" i="267"/>
  <c r="E37" i="177"/>
  <c r="D45" i="267"/>
  <c r="D37" i="177"/>
  <c r="C45" i="267"/>
  <c r="C37" i="177"/>
  <c r="B45" i="267"/>
  <c r="K28" i="177"/>
  <c r="J44" i="267"/>
  <c r="G28" i="177"/>
  <c r="F44" i="267" s="1"/>
  <c r="F28" i="177"/>
  <c r="E44" i="267" s="1"/>
  <c r="E28" i="177"/>
  <c r="D44" i="267"/>
  <c r="C28" i="177"/>
  <c r="B44" i="267"/>
  <c r="K18" i="177"/>
  <c r="G18" i="177"/>
  <c r="F43" i="267" s="1"/>
  <c r="F18" i="177"/>
  <c r="E18" i="177"/>
  <c r="D43" i="267"/>
  <c r="E77" i="100"/>
  <c r="E46" i="267"/>
  <c r="G48" i="178"/>
  <c r="J40" i="267" s="1"/>
  <c r="G40" i="178"/>
  <c r="J39" i="267" s="1"/>
  <c r="E48" i="178"/>
  <c r="D40" i="267" s="1"/>
  <c r="D48" i="178"/>
  <c r="E49" i="174"/>
  <c r="E40" i="178"/>
  <c r="D39" i="267" s="1"/>
  <c r="D40" i="178"/>
  <c r="C39" i="267"/>
  <c r="E35" i="178"/>
  <c r="D35" i="178"/>
  <c r="E53" i="174"/>
  <c r="E13" i="178"/>
  <c r="E26" i="178" s="1"/>
  <c r="D13" i="178"/>
  <c r="C36" i="267"/>
  <c r="C48" i="178"/>
  <c r="B40" i="267" s="1"/>
  <c r="C40" i="178"/>
  <c r="C35" i="178"/>
  <c r="B38" i="267"/>
  <c r="C13" i="178"/>
  <c r="J32" i="267"/>
  <c r="J31" i="267"/>
  <c r="G32" i="267"/>
  <c r="F32" i="267"/>
  <c r="E32" i="267"/>
  <c r="D32" i="267"/>
  <c r="C32" i="267"/>
  <c r="F31" i="267"/>
  <c r="E31" i="267"/>
  <c r="D31" i="267"/>
  <c r="C31" i="267"/>
  <c r="B32" i="267"/>
  <c r="B31" i="267"/>
  <c r="J24" i="267"/>
  <c r="G24" i="267"/>
  <c r="F24" i="267"/>
  <c r="H24" i="267"/>
  <c r="E24" i="267"/>
  <c r="D24" i="267"/>
  <c r="C24" i="267"/>
  <c r="B24" i="267"/>
  <c r="J6" i="267"/>
  <c r="J21" i="267"/>
  <c r="J22" i="267"/>
  <c r="G22" i="267"/>
  <c r="H22" i="267"/>
  <c r="I22" i="267"/>
  <c r="F22" i="267"/>
  <c r="E22" i="267"/>
  <c r="D22" i="267"/>
  <c r="C22" i="267"/>
  <c r="F21" i="267"/>
  <c r="E21" i="267"/>
  <c r="D21" i="267"/>
  <c r="C21" i="267"/>
  <c r="B22" i="267"/>
  <c r="B21" i="267"/>
  <c r="G36" i="182"/>
  <c r="G38" i="182" s="1"/>
  <c r="G42" i="182" s="1"/>
  <c r="G44" i="182" s="1"/>
  <c r="G46" i="182" s="1"/>
  <c r="G48" i="182" s="1"/>
  <c r="F36" i="182"/>
  <c r="E36" i="182"/>
  <c r="D36" i="182"/>
  <c r="C36" i="182"/>
  <c r="C38" i="182" s="1"/>
  <c r="C42" i="182" s="1"/>
  <c r="C44" i="182" s="1"/>
  <c r="C46" i="182" s="1"/>
  <c r="C48" i="182" s="1"/>
  <c r="F6" i="267"/>
  <c r="F9" i="267"/>
  <c r="G6" i="267"/>
  <c r="I6" i="182"/>
  <c r="J6" i="182" s="1"/>
  <c r="I7" i="182"/>
  <c r="J7" i="182" s="1"/>
  <c r="I10" i="182"/>
  <c r="J10" i="182" s="1"/>
  <c r="E6" i="267"/>
  <c r="E9" i="267"/>
  <c r="D6" i="267"/>
  <c r="D9" i="267"/>
  <c r="C6" i="267"/>
  <c r="C9" i="267"/>
  <c r="B6" i="267"/>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E104" i="172" s="1"/>
  <c r="K10" i="173"/>
  <c r="F104" i="172" s="1"/>
  <c r="K11" i="173"/>
  <c r="G104" i="172" s="1"/>
  <c r="K12" i="173"/>
  <c r="H104" i="172" s="1"/>
  <c r="K13" i="173"/>
  <c r="I104" i="172" s="1"/>
  <c r="K14" i="173"/>
  <c r="J104" i="172" s="1"/>
  <c r="C14" i="175"/>
  <c r="B50" i="267" s="1"/>
  <c r="D14" i="175"/>
  <c r="C53" i="172" s="1"/>
  <c r="E14" i="175"/>
  <c r="D53" i="172" s="1"/>
  <c r="F14" i="175"/>
  <c r="E50" i="267" s="1"/>
  <c r="G14" i="175"/>
  <c r="F50" i="267" s="1"/>
  <c r="H14" i="175"/>
  <c r="G50" i="267" s="1"/>
  <c r="I14" i="175"/>
  <c r="J14" i="175"/>
  <c r="I53" i="172" s="1"/>
  <c r="K40" i="177"/>
  <c r="B29" i="267"/>
  <c r="C6" i="323"/>
  <c r="C17" i="323"/>
  <c r="C7" i="272" s="1"/>
  <c r="C28" i="323"/>
  <c r="C39" i="323"/>
  <c r="C9" i="272" s="1"/>
  <c r="C50" i="323"/>
  <c r="C10" i="272" s="1"/>
  <c r="C61" i="323"/>
  <c r="C11" i="272" s="1"/>
  <c r="C72" i="323"/>
  <c r="C83" i="323"/>
  <c r="C13" i="272"/>
  <c r="C94" i="323"/>
  <c r="C14" i="272"/>
  <c r="C105" i="323"/>
  <c r="C15" i="272"/>
  <c r="H72" i="323"/>
  <c r="H12" i="272"/>
  <c r="H83" i="323"/>
  <c r="H13" i="272"/>
  <c r="H94" i="323"/>
  <c r="G6" i="323"/>
  <c r="G17" i="323"/>
  <c r="G7" i="272" s="1"/>
  <c r="G28" i="323"/>
  <c r="G8" i="272" s="1"/>
  <c r="G39" i="323"/>
  <c r="G50" i="323"/>
  <c r="G61" i="323"/>
  <c r="G11" i="272" s="1"/>
  <c r="G72" i="323"/>
  <c r="G12" i="272"/>
  <c r="G83" i="323"/>
  <c r="G13" i="272"/>
  <c r="I13" i="272"/>
  <c r="J13" i="272"/>
  <c r="G94" i="323"/>
  <c r="D6" i="323"/>
  <c r="D17" i="323"/>
  <c r="D7" i="272"/>
  <c r="D28" i="323"/>
  <c r="D8" i="272"/>
  <c r="D39" i="323"/>
  <c r="D9" i="272"/>
  <c r="D50" i="323"/>
  <c r="D10" i="272"/>
  <c r="D61" i="323"/>
  <c r="D11" i="272"/>
  <c r="D72" i="323"/>
  <c r="D83" i="323"/>
  <c r="D13" i="272"/>
  <c r="D94" i="323"/>
  <c r="D14" i="272"/>
  <c r="E6" i="323"/>
  <c r="E17" i="323"/>
  <c r="E28" i="323"/>
  <c r="E8" i="272" s="1"/>
  <c r="E39" i="323"/>
  <c r="E50" i="323"/>
  <c r="E10" i="272" s="1"/>
  <c r="E61" i="323"/>
  <c r="E11" i="272" s="1"/>
  <c r="E72" i="323"/>
  <c r="E12" i="272"/>
  <c r="E83" i="323"/>
  <c r="E13" i="272"/>
  <c r="E94" i="323"/>
  <c r="E14" i="272"/>
  <c r="F6" i="323"/>
  <c r="F17" i="323"/>
  <c r="F7" i="272" s="1"/>
  <c r="F28" i="323"/>
  <c r="F8" i="272" s="1"/>
  <c r="F39" i="323"/>
  <c r="F9" i="272" s="1"/>
  <c r="F50" i="323"/>
  <c r="F10" i="272" s="1"/>
  <c r="F61" i="323"/>
  <c r="F11" i="272" s="1"/>
  <c r="F72" i="323"/>
  <c r="F12" i="272"/>
  <c r="F83" i="323"/>
  <c r="F13" i="272"/>
  <c r="F94" i="323"/>
  <c r="F14" i="272"/>
  <c r="K6" i="323"/>
  <c r="K6" i="272" s="1"/>
  <c r="K72" i="323"/>
  <c r="K12" i="272"/>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s="1"/>
  <c r="I230" i="323"/>
  <c r="J230" i="323" s="1"/>
  <c r="I228" i="323"/>
  <c r="J228" i="323"/>
  <c r="I227" i="323"/>
  <c r="J227" i="323"/>
  <c r="I226" i="323"/>
  <c r="J226" i="323"/>
  <c r="I225" i="323"/>
  <c r="J225" i="323"/>
  <c r="I224" i="323"/>
  <c r="J224" i="323"/>
  <c r="I222" i="323"/>
  <c r="J222" i="323" s="1"/>
  <c r="I219" i="323"/>
  <c r="J219" i="323" s="1"/>
  <c r="I217" i="323"/>
  <c r="J217" i="323"/>
  <c r="I216" i="323"/>
  <c r="J216" i="323"/>
  <c r="I215" i="323"/>
  <c r="J215" i="323"/>
  <c r="I214" i="323"/>
  <c r="J214" i="323"/>
  <c r="I213" i="323"/>
  <c r="J213" i="323"/>
  <c r="I212" i="323"/>
  <c r="J212" i="323" s="1"/>
  <c r="I208" i="323"/>
  <c r="J208" i="323" s="1"/>
  <c r="I206" i="323"/>
  <c r="J206" i="323"/>
  <c r="I205" i="323"/>
  <c r="J205" i="323"/>
  <c r="I204" i="323"/>
  <c r="J204" i="323"/>
  <c r="I203" i="323"/>
  <c r="J203" i="323"/>
  <c r="I202" i="323"/>
  <c r="J202" i="323"/>
  <c r="I201" i="323"/>
  <c r="J201" i="323"/>
  <c r="I200" i="323"/>
  <c r="J200" i="323" s="1"/>
  <c r="I195" i="323"/>
  <c r="J195" i="323"/>
  <c r="I194" i="323"/>
  <c r="J194" i="323"/>
  <c r="I193" i="323"/>
  <c r="J193" i="323"/>
  <c r="I192" i="323"/>
  <c r="J192" i="323"/>
  <c r="I191" i="323"/>
  <c r="J191" i="323"/>
  <c r="I190" i="323"/>
  <c r="J190" i="323" s="1"/>
  <c r="I186" i="323"/>
  <c r="J186" i="323" s="1"/>
  <c r="I184" i="323"/>
  <c r="J184" i="323"/>
  <c r="I183" i="323"/>
  <c r="J183" i="323"/>
  <c r="I182" i="323"/>
  <c r="J182" i="323"/>
  <c r="I181" i="323"/>
  <c r="J181" i="323"/>
  <c r="I180" i="323"/>
  <c r="J180" i="323"/>
  <c r="I179" i="323"/>
  <c r="J179" i="323"/>
  <c r="I178" i="323"/>
  <c r="J178"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s="1"/>
  <c r="I60" i="323"/>
  <c r="J60" i="323"/>
  <c r="I59" i="323"/>
  <c r="J59" i="323"/>
  <c r="I58" i="323"/>
  <c r="J58" i="323"/>
  <c r="I57" i="323"/>
  <c r="J57" i="323"/>
  <c r="I56" i="323"/>
  <c r="J56" i="323"/>
  <c r="I55" i="323"/>
  <c r="J55" i="323"/>
  <c r="I54" i="323"/>
  <c r="J54" i="323" s="1"/>
  <c r="I51" i="323"/>
  <c r="J51" i="323" s="1"/>
  <c r="I49" i="323"/>
  <c r="J49" i="323"/>
  <c r="I48" i="323"/>
  <c r="J48" i="323"/>
  <c r="I47" i="323"/>
  <c r="J47" i="323"/>
  <c r="I46" i="323"/>
  <c r="J46" i="323"/>
  <c r="I45" i="323"/>
  <c r="J45" i="323"/>
  <c r="I44" i="323"/>
  <c r="J44" i="323" s="1"/>
  <c r="I42" i="323"/>
  <c r="J42" i="323" s="1"/>
  <c r="I38" i="323"/>
  <c r="J38" i="323"/>
  <c r="I37" i="323"/>
  <c r="J37" i="323"/>
  <c r="I36" i="323"/>
  <c r="J36" i="323"/>
  <c r="I35" i="323"/>
  <c r="J35" i="323"/>
  <c r="I34" i="323"/>
  <c r="J34" i="323"/>
  <c r="I33" i="323"/>
  <c r="J33" i="323"/>
  <c r="I30" i="323"/>
  <c r="J30" i="323" s="1"/>
  <c r="I27" i="323"/>
  <c r="J27" i="323"/>
  <c r="I26" i="323"/>
  <c r="J26" i="323"/>
  <c r="I25" i="323"/>
  <c r="J25" i="323"/>
  <c r="I24" i="323"/>
  <c r="J24" i="323"/>
  <c r="I23" i="323"/>
  <c r="J23" i="323"/>
  <c r="I22" i="323"/>
  <c r="J22" i="323" s="1"/>
  <c r="I19" i="323"/>
  <c r="J19" i="323" s="1"/>
  <c r="I16" i="323"/>
  <c r="J16" i="323"/>
  <c r="I15" i="323"/>
  <c r="J15" i="323"/>
  <c r="I14" i="323"/>
  <c r="J14" i="323"/>
  <c r="I13" i="323"/>
  <c r="J13" i="323"/>
  <c r="I12" i="323"/>
  <c r="J12" i="323"/>
  <c r="I11" i="323"/>
  <c r="J11" i="323"/>
  <c r="I10" i="323"/>
  <c r="J10" i="323"/>
  <c r="I9" i="323"/>
  <c r="J9" i="323"/>
  <c r="I7" i="323"/>
  <c r="J7" i="323"/>
  <c r="K3" i="323"/>
  <c r="J3" i="323"/>
  <c r="I3" i="323"/>
  <c r="H3" i="323"/>
  <c r="G3" i="323"/>
  <c r="F3" i="323"/>
  <c r="E3" i="323"/>
  <c r="D3" i="323"/>
  <c r="C3" i="323"/>
  <c r="A342" i="323"/>
  <c r="W170" i="323"/>
  <c r="W338" i="323"/>
  <c r="W340" i="323"/>
  <c r="V170" i="323"/>
  <c r="V338" i="323"/>
  <c r="U170" i="323"/>
  <c r="U338" i="323"/>
  <c r="U340" i="323"/>
  <c r="T170" i="323"/>
  <c r="T338" i="323"/>
  <c r="S170" i="323"/>
  <c r="S338" i="323"/>
  <c r="S340" i="323"/>
  <c r="R170" i="323"/>
  <c r="R338" i="323"/>
  <c r="Q170" i="323"/>
  <c r="Q338" i="323"/>
  <c r="Q340" i="323"/>
  <c r="P170" i="323"/>
  <c r="P338" i="323"/>
  <c r="O170" i="323"/>
  <c r="O338" i="323"/>
  <c r="O340" i="323"/>
  <c r="N170" i="323"/>
  <c r="N338" i="323"/>
  <c r="M170" i="323"/>
  <c r="M338" i="323"/>
  <c r="M340" i="323"/>
  <c r="L170" i="323"/>
  <c r="L338" i="323"/>
  <c r="A341" i="323"/>
  <c r="W3" i="323"/>
  <c r="V3" i="323"/>
  <c r="U3" i="323"/>
  <c r="T3" i="323"/>
  <c r="S3" i="323"/>
  <c r="R3" i="323"/>
  <c r="Q3" i="323"/>
  <c r="P3" i="323"/>
  <c r="O3" i="323"/>
  <c r="N3" i="323"/>
  <c r="M3" i="323"/>
  <c r="L3" i="323"/>
  <c r="L2" i="323"/>
  <c r="B2" i="323"/>
  <c r="A2" i="323"/>
  <c r="B106" i="100"/>
  <c r="A101" i="172"/>
  <c r="K13" i="272"/>
  <c r="G14" i="272"/>
  <c r="F6" i="272"/>
  <c r="D12" i="272"/>
  <c r="G31" i="272"/>
  <c r="G32" i="272"/>
  <c r="K32" i="272"/>
  <c r="F27" i="272"/>
  <c r="E26" i="272"/>
  <c r="E30" i="272"/>
  <c r="D25" i="272"/>
  <c r="D31" i="272"/>
  <c r="C31" i="272"/>
  <c r="C30" i="272"/>
  <c r="C26" i="272"/>
  <c r="C12" i="272"/>
  <c r="C8" i="272"/>
  <c r="E78" i="100"/>
  <c r="C3" i="272"/>
  <c r="A2" i="272"/>
  <c r="B2" i="272"/>
  <c r="F3" i="272"/>
  <c r="E3" i="272"/>
  <c r="D3" i="272"/>
  <c r="K3" i="272"/>
  <c r="J3" i="272"/>
  <c r="I3" i="272"/>
  <c r="H3" i="272"/>
  <c r="G3" i="272"/>
  <c r="A40" i="272"/>
  <c r="A41" i="272"/>
  <c r="E80" i="100"/>
  <c r="E53" i="182"/>
  <c r="A53" i="182"/>
  <c r="I43" i="182"/>
  <c r="J43" i="182"/>
  <c r="I27" i="182"/>
  <c r="J27" i="182" s="1"/>
  <c r="I21" i="182"/>
  <c r="J21" i="182" s="1"/>
  <c r="I20" i="182"/>
  <c r="J20" i="182" s="1"/>
  <c r="I15" i="182"/>
  <c r="J15" i="182" s="1"/>
  <c r="A49" i="182"/>
  <c r="K3" i="182"/>
  <c r="J3" i="182"/>
  <c r="I3" i="182"/>
  <c r="H3" i="182"/>
  <c r="G3" i="182"/>
  <c r="F3" i="182"/>
  <c r="E3" i="182"/>
  <c r="D3" i="182"/>
  <c r="C3" i="182"/>
  <c r="B2" i="182"/>
  <c r="A2" i="182"/>
  <c r="A344" i="324"/>
  <c r="W171" i="324"/>
  <c r="W340" i="324"/>
  <c r="W342" i="324"/>
  <c r="V171" i="324"/>
  <c r="V340" i="324"/>
  <c r="V342" i="324"/>
  <c r="U171" i="324"/>
  <c r="U340" i="324"/>
  <c r="T171" i="324"/>
  <c r="T340" i="324"/>
  <c r="T342" i="324"/>
  <c r="S171" i="324"/>
  <c r="S340" i="324"/>
  <c r="R171" i="324"/>
  <c r="R340" i="324"/>
  <c r="Q171" i="324"/>
  <c r="Q340" i="324"/>
  <c r="P171" i="324"/>
  <c r="P340" i="324"/>
  <c r="O171" i="324"/>
  <c r="O340" i="324"/>
  <c r="N171" i="324"/>
  <c r="N340" i="324"/>
  <c r="M171" i="324"/>
  <c r="M340" i="324"/>
  <c r="L171"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4" i="324"/>
  <c r="J234" i="324" s="1"/>
  <c r="I233" i="324"/>
  <c r="J233" i="324" s="1"/>
  <c r="I232" i="324"/>
  <c r="J232" i="324" s="1"/>
  <c r="I230" i="324"/>
  <c r="J230" i="324"/>
  <c r="I229" i="324"/>
  <c r="J229" i="324"/>
  <c r="I228" i="324"/>
  <c r="J228" i="324"/>
  <c r="I227" i="324"/>
  <c r="J227" i="324"/>
  <c r="I226" i="324"/>
  <c r="J226" i="324"/>
  <c r="I225" i="324"/>
  <c r="J225" i="324"/>
  <c r="I221" i="324"/>
  <c r="J221" i="324" s="1"/>
  <c r="I219" i="324"/>
  <c r="J219" i="324"/>
  <c r="I218" i="324"/>
  <c r="J218" i="324"/>
  <c r="I217" i="324"/>
  <c r="J217" i="324"/>
  <c r="I216" i="324"/>
  <c r="J216" i="324"/>
  <c r="I215" i="324"/>
  <c r="J215" i="324"/>
  <c r="I214" i="324"/>
  <c r="J214" i="324" s="1"/>
  <c r="I213" i="324"/>
  <c r="J213" i="324" s="1"/>
  <c r="I212" i="324"/>
  <c r="J212" i="324" s="1"/>
  <c r="I211" i="324"/>
  <c r="J211" i="324" s="1"/>
  <c r="I208" i="324"/>
  <c r="J208" i="324"/>
  <c r="I207" i="324"/>
  <c r="J207" i="324"/>
  <c r="I206" i="324"/>
  <c r="J206" i="324"/>
  <c r="I205" i="324"/>
  <c r="J205" i="324"/>
  <c r="I204" i="324"/>
  <c r="J204" i="324"/>
  <c r="I203" i="324"/>
  <c r="J203" i="324"/>
  <c r="I202" i="324"/>
  <c r="J202" i="324" s="1"/>
  <c r="I200" i="324"/>
  <c r="J200" i="324" s="1"/>
  <c r="I197" i="324"/>
  <c r="J197" i="324"/>
  <c r="I196" i="324"/>
  <c r="J196" i="324"/>
  <c r="I195" i="324"/>
  <c r="J195" i="324"/>
  <c r="I194" i="324"/>
  <c r="J194" i="324"/>
  <c r="I193" i="324"/>
  <c r="J193" i="324"/>
  <c r="I192" i="324"/>
  <c r="J192" i="324" s="1"/>
  <c r="I190" i="324"/>
  <c r="J190" i="324" s="1"/>
  <c r="I189" i="324"/>
  <c r="J189" i="324" s="1"/>
  <c r="I186" i="324"/>
  <c r="J186" i="324"/>
  <c r="I185" i="324"/>
  <c r="J185" i="324"/>
  <c r="I184" i="324"/>
  <c r="J184" i="324"/>
  <c r="I183" i="324"/>
  <c r="J183" i="324"/>
  <c r="I182" i="324"/>
  <c r="J182" i="324"/>
  <c r="I181" i="324"/>
  <c r="J181" i="324"/>
  <c r="I180" i="324"/>
  <c r="J180"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s="1"/>
  <c r="I65" i="324"/>
  <c r="J65" i="324" s="1"/>
  <c r="I64" i="324"/>
  <c r="J64" i="324" s="1"/>
  <c r="I61" i="324"/>
  <c r="J61" i="324"/>
  <c r="I60" i="324"/>
  <c r="J60" i="324"/>
  <c r="I59" i="324"/>
  <c r="J59" i="324"/>
  <c r="I58" i="324"/>
  <c r="J58" i="324"/>
  <c r="I57" i="324"/>
  <c r="J57" i="324"/>
  <c r="I56" i="324"/>
  <c r="J56" i="324" s="1"/>
  <c r="I55" i="324"/>
  <c r="J55" i="324" s="1"/>
  <c r="I53" i="324"/>
  <c r="J53" i="324" s="1"/>
  <c r="I52" i="324"/>
  <c r="J52" i="324" s="1"/>
  <c r="I50" i="324"/>
  <c r="J50" i="324"/>
  <c r="I49" i="324"/>
  <c r="J49" i="324"/>
  <c r="I48" i="324"/>
  <c r="J48" i="324"/>
  <c r="I47" i="324"/>
  <c r="J47" i="324"/>
  <c r="I46" i="324"/>
  <c r="J46" i="324"/>
  <c r="I45" i="324"/>
  <c r="J45" i="324" s="1"/>
  <c r="I44" i="324"/>
  <c r="J44" i="324" s="1"/>
  <c r="I43" i="324"/>
  <c r="J43" i="324" s="1"/>
  <c r="I42" i="324"/>
  <c r="J42" i="324" s="1"/>
  <c r="I41" i="324"/>
  <c r="J41" i="324"/>
  <c r="I39" i="324"/>
  <c r="J39" i="324"/>
  <c r="I38" i="324"/>
  <c r="J38" i="324"/>
  <c r="I37" i="324"/>
  <c r="J37" i="324"/>
  <c r="I36" i="324"/>
  <c r="J36" i="324"/>
  <c r="I35" i="324"/>
  <c r="J35" i="324"/>
  <c r="I34" i="324"/>
  <c r="J34" i="324"/>
  <c r="I31" i="324"/>
  <c r="J31" i="324" s="1"/>
  <c r="I28" i="324"/>
  <c r="J28" i="324"/>
  <c r="I27" i="324"/>
  <c r="J27" i="324"/>
  <c r="I26" i="324"/>
  <c r="J26" i="324"/>
  <c r="I25" i="324"/>
  <c r="J25" i="324"/>
  <c r="I24" i="324"/>
  <c r="J24" i="324"/>
  <c r="I23" i="324"/>
  <c r="J23" i="324"/>
  <c r="I22" i="324"/>
  <c r="J22" i="324"/>
  <c r="I21" i="324"/>
  <c r="J21" i="324"/>
  <c r="I17" i="324"/>
  <c r="J17" i="324"/>
  <c r="I16" i="324"/>
  <c r="J16" i="324"/>
  <c r="I15" i="324"/>
  <c r="J15" i="324"/>
  <c r="I14" i="324"/>
  <c r="J14" i="324"/>
  <c r="I13" i="324"/>
  <c r="J13" i="324"/>
  <c r="I12" i="324"/>
  <c r="J12" i="324"/>
  <c r="I11" i="324"/>
  <c r="J11" i="324"/>
  <c r="I10" i="324"/>
  <c r="J10"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F43" i="268"/>
  <c r="F47" i="268"/>
  <c r="F53" i="268"/>
  <c r="E43" i="268"/>
  <c r="E47" i="268"/>
  <c r="E53" i="268"/>
  <c r="D43" i="268"/>
  <c r="D47" i="268"/>
  <c r="D53" i="268"/>
  <c r="C43" i="268"/>
  <c r="C47" i="268"/>
  <c r="C63" i="268" s="1"/>
  <c r="C53" i="268"/>
  <c r="I62" i="268"/>
  <c r="J62" i="268" s="1"/>
  <c r="I58" i="268"/>
  <c r="J58" i="268" s="1"/>
  <c r="I52" i="268"/>
  <c r="J52" i="268"/>
  <c r="I51" i="268"/>
  <c r="J51" i="268" s="1"/>
  <c r="I46" i="268"/>
  <c r="J46" i="268" s="1"/>
  <c r="I45" i="268"/>
  <c r="J45" i="268" s="1"/>
  <c r="I73" i="268"/>
  <c r="J73" i="268" s="1"/>
  <c r="I69" i="268"/>
  <c r="J69" i="268"/>
  <c r="I68" i="268"/>
  <c r="J68" i="268"/>
  <c r="A2" i="268"/>
  <c r="K3" i="268"/>
  <c r="J3" i="268"/>
  <c r="I3" i="268"/>
  <c r="H3" i="268"/>
  <c r="G3" i="268"/>
  <c r="F3" i="268"/>
  <c r="E3" i="268"/>
  <c r="D3" i="268"/>
  <c r="C3" i="268"/>
  <c r="B2" i="268"/>
  <c r="A75" i="268"/>
  <c r="E82" i="100"/>
  <c r="F48" i="178"/>
  <c r="G49" i="174" s="1"/>
  <c r="A49" i="178"/>
  <c r="A2" i="178"/>
  <c r="G3" i="178"/>
  <c r="F3" i="178"/>
  <c r="E3" i="178"/>
  <c r="D3" i="178"/>
  <c r="C3" i="178"/>
  <c r="B2" i="178"/>
  <c r="F40" i="178"/>
  <c r="F39" i="267" s="1"/>
  <c r="I13" i="177"/>
  <c r="J13" i="177"/>
  <c r="E83" i="100"/>
  <c r="I32" i="177"/>
  <c r="J32" i="177"/>
  <c r="I33" i="177"/>
  <c r="J33" i="177"/>
  <c r="I34" i="177"/>
  <c r="J34" i="177"/>
  <c r="I36" i="177"/>
  <c r="J36" i="177" s="1"/>
  <c r="J35" i="177"/>
  <c r="I22" i="177"/>
  <c r="J22" i="177"/>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B39" i="172" s="1"/>
  <c r="F16" i="180"/>
  <c r="I16" i="180" s="1"/>
  <c r="F15" i="180"/>
  <c r="H15" i="180" s="1"/>
  <c r="F14" i="180"/>
  <c r="J14" i="180" s="1"/>
  <c r="F13" i="180"/>
  <c r="B35" i="172" s="1"/>
  <c r="F12" i="180"/>
  <c r="I12" i="180"/>
  <c r="F11" i="180"/>
  <c r="B33" i="172"/>
  <c r="F10" i="180"/>
  <c r="B32" i="172"/>
  <c r="F9" i="180"/>
  <c r="I9" i="180"/>
  <c r="G6" i="180"/>
  <c r="C28" i="172"/>
  <c r="F6" i="180"/>
  <c r="F7"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C79" i="172" s="1"/>
  <c r="B79" i="172" s="1"/>
  <c r="K17" i="175"/>
  <c r="K21" i="175" s="1"/>
  <c r="I54" i="172"/>
  <c r="H54" i="172"/>
  <c r="G54" i="172"/>
  <c r="F54" i="172"/>
  <c r="E54" i="172"/>
  <c r="D54" i="172"/>
  <c r="C54" i="172"/>
  <c r="B54" i="172"/>
  <c r="B25" i="251"/>
  <c r="B16" i="251"/>
  <c r="B5" i="251"/>
  <c r="A51" i="251"/>
  <c r="B2" i="251"/>
  <c r="A2" i="251"/>
  <c r="E93" i="100"/>
  <c r="A5" i="181"/>
  <c r="G36" i="181"/>
  <c r="I43" i="181"/>
  <c r="J43" i="181"/>
  <c r="I41" i="181"/>
  <c r="J41" i="181"/>
  <c r="I40" i="181"/>
  <c r="J40" i="181"/>
  <c r="I39" i="181"/>
  <c r="J39" i="181" s="1"/>
  <c r="I35" i="181"/>
  <c r="J35" i="181" s="1"/>
  <c r="I34" i="181"/>
  <c r="J34" i="181" s="1"/>
  <c r="I31" i="181"/>
  <c r="J31" i="181" s="1"/>
  <c r="I30" i="181"/>
  <c r="J30" i="181" s="1"/>
  <c r="I27" i="181"/>
  <c r="J27" i="181" s="1"/>
  <c r="I26" i="181"/>
  <c r="J26" i="181" s="1"/>
  <c r="I21" i="181"/>
  <c r="J21" i="181" s="1"/>
  <c r="I20" i="181"/>
  <c r="J20" i="181" s="1"/>
  <c r="I15" i="181"/>
  <c r="J15" i="181" s="1"/>
  <c r="I14" i="181"/>
  <c r="J14" i="181" s="1"/>
  <c r="I13" i="181"/>
  <c r="J13" i="181" s="1"/>
  <c r="I10" i="181"/>
  <c r="J10" i="181" s="1"/>
  <c r="I9" i="181"/>
  <c r="J9" i="181" s="1"/>
  <c r="I8" i="181"/>
  <c r="J8" i="181" s="1"/>
  <c r="I6" i="181"/>
  <c r="J6" i="181" s="1"/>
  <c r="F36" i="181"/>
  <c r="F38" i="181" s="1"/>
  <c r="F42" i="181" s="1"/>
  <c r="F44" i="181" s="1"/>
  <c r="E36" i="181"/>
  <c r="D36" i="181"/>
  <c r="D38" i="181"/>
  <c r="D42" i="181"/>
  <c r="D44"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I11" i="180"/>
  <c r="E18" i="180"/>
  <c r="D18" i="180"/>
  <c r="C18" i="180"/>
  <c r="I3" i="180"/>
  <c r="H3" i="180"/>
  <c r="B3" i="180"/>
  <c r="B18" i="180"/>
  <c r="I136" i="242"/>
  <c r="J136" i="242"/>
  <c r="J134" i="242"/>
  <c r="J137" i="242"/>
  <c r="I107" i="242"/>
  <c r="J107"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4" i="174"/>
  <c r="G42" i="174"/>
  <c r="F42" i="174"/>
  <c r="F44" i="174"/>
  <c r="F55" i="174"/>
  <c r="E42" i="174"/>
  <c r="E44" i="174"/>
  <c r="H40" i="174"/>
  <c r="G40" i="174"/>
  <c r="F40" i="174"/>
  <c r="E40" i="174"/>
  <c r="D42" i="174"/>
  <c r="D44" i="174"/>
  <c r="D40" i="174"/>
  <c r="H63" i="174"/>
  <c r="H18" i="174"/>
  <c r="G63" i="174"/>
  <c r="G18" i="174" s="1"/>
  <c r="F63" i="174"/>
  <c r="F18" i="174"/>
  <c r="E63" i="174"/>
  <c r="E18" i="174"/>
  <c r="H59" i="174"/>
  <c r="H17" i="174" s="1"/>
  <c r="G59" i="174"/>
  <c r="F59" i="174"/>
  <c r="F17" i="174" s="1"/>
  <c r="E59" i="174"/>
  <c r="D63" i="174"/>
  <c r="D18" i="174" s="1"/>
  <c r="D59" i="174"/>
  <c r="D53" i="174"/>
  <c r="D14" i="174" s="1"/>
  <c r="D52" i="174"/>
  <c r="H50" i="174"/>
  <c r="G51" i="174"/>
  <c r="G50" i="174"/>
  <c r="F51" i="174"/>
  <c r="F50" i="174"/>
  <c r="E51" i="174"/>
  <c r="E11" i="174"/>
  <c r="E50" i="174"/>
  <c r="D51" i="174"/>
  <c r="D50" i="174"/>
  <c r="H49" i="174"/>
  <c r="F48" i="174"/>
  <c r="F49" i="174"/>
  <c r="F10" i="174" s="1"/>
  <c r="E48" i="174"/>
  <c r="D48" i="174"/>
  <c r="D49" i="174"/>
  <c r="H47" i="174"/>
  <c r="G47" i="174"/>
  <c r="F47" i="174"/>
  <c r="E47" i="174"/>
  <c r="D47" i="174"/>
  <c r="F38" i="174"/>
  <c r="E38" i="174"/>
  <c r="D38" i="174"/>
  <c r="H43" i="174"/>
  <c r="G43" i="174"/>
  <c r="F43" i="174"/>
  <c r="E43" i="174"/>
  <c r="D43" i="174"/>
  <c r="A52" i="174"/>
  <c r="A50" i="174"/>
  <c r="A41" i="174"/>
  <c r="A40" i="174"/>
  <c r="A53" i="174"/>
  <c r="A51" i="174"/>
  <c r="A46" i="174"/>
  <c r="A38" i="174"/>
  <c r="H58" i="174"/>
  <c r="G58" i="174"/>
  <c r="F58" i="174"/>
  <c r="E58" i="174"/>
  <c r="D58" i="174"/>
  <c r="H57"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J26" i="175" s="1"/>
  <c r="J27" i="175" s="1"/>
  <c r="I21" i="175"/>
  <c r="H21" i="175"/>
  <c r="G21" i="175"/>
  <c r="F21" i="175"/>
  <c r="E21" i="175"/>
  <c r="E26" i="175" s="1"/>
  <c r="E27" i="175" s="1"/>
  <c r="D21" i="175"/>
  <c r="D26" i="175" s="1"/>
  <c r="D27" i="175" s="1"/>
  <c r="C21" i="175"/>
  <c r="A2" i="175"/>
  <c r="M14" i="175"/>
  <c r="M21" i="175"/>
  <c r="L15" i="173"/>
  <c r="A2" i="173"/>
  <c r="C35" i="270"/>
  <c r="C52" i="270"/>
  <c r="G44" i="270"/>
  <c r="H44" i="270"/>
  <c r="F44" i="270"/>
  <c r="E44" i="270"/>
  <c r="D44" i="270"/>
  <c r="K54" i="270"/>
  <c r="G54" i="270"/>
  <c r="H54" i="270"/>
  <c r="F54" i="270"/>
  <c r="E54" i="270"/>
  <c r="D54" i="270"/>
  <c r="K52" i="270"/>
  <c r="G52" i="270"/>
  <c r="H52" i="270"/>
  <c r="F52" i="270"/>
  <c r="E52" i="270"/>
  <c r="D52" i="270"/>
  <c r="G35" i="270"/>
  <c r="F35" i="270"/>
  <c r="F56" i="270" s="1"/>
  <c r="E35" i="270"/>
  <c r="D35" i="270"/>
  <c r="G28" i="270"/>
  <c r="H28" i="270"/>
  <c r="I29" i="270"/>
  <c r="J29" i="270" s="1"/>
  <c r="G30" i="270"/>
  <c r="H30" i="270"/>
  <c r="I31" i="270"/>
  <c r="J31" i="270" s="1"/>
  <c r="K28" i="270"/>
  <c r="K30" i="270"/>
  <c r="G8" i="270"/>
  <c r="G32" i="270"/>
  <c r="F8" i="270"/>
  <c r="F32" i="270" s="1"/>
  <c r="F28" i="270"/>
  <c r="F30" i="270"/>
  <c r="E8" i="270"/>
  <c r="E28" i="270"/>
  <c r="E30" i="270"/>
  <c r="D8" i="270"/>
  <c r="D28" i="270"/>
  <c r="D30" i="270"/>
  <c r="C8" i="270"/>
  <c r="C18" i="270"/>
  <c r="C28" i="270"/>
  <c r="A54" i="270"/>
  <c r="A44" i="334"/>
  <c r="A52" i="270"/>
  <c r="A52" i="269"/>
  <c r="A44" i="270"/>
  <c r="A38" i="334"/>
  <c r="A35" i="270"/>
  <c r="A35" i="269"/>
  <c r="I36" i="270"/>
  <c r="J36" i="270" s="1"/>
  <c r="I15" i="270"/>
  <c r="J15" i="270" s="1"/>
  <c r="I17" i="270"/>
  <c r="J17" i="270" s="1"/>
  <c r="I22" i="270"/>
  <c r="I23" i="270"/>
  <c r="J23" i="270" s="1"/>
  <c r="I27" i="270"/>
  <c r="J27" i="270" s="1"/>
  <c r="K3" i="270"/>
  <c r="J3" i="270"/>
  <c r="I3" i="270"/>
  <c r="H3" i="270"/>
  <c r="G3" i="270"/>
  <c r="F3" i="270"/>
  <c r="E3" i="270"/>
  <c r="D3" i="270"/>
  <c r="C3" i="270"/>
  <c r="B2" i="270"/>
  <c r="A2" i="270"/>
  <c r="A59" i="270"/>
  <c r="I55" i="269"/>
  <c r="J55" i="269"/>
  <c r="K54" i="269"/>
  <c r="G54" i="269"/>
  <c r="H54" i="269"/>
  <c r="F54" i="269"/>
  <c r="E54" i="269"/>
  <c r="D54" i="269"/>
  <c r="C54" i="269"/>
  <c r="I53" i="269"/>
  <c r="J53" i="269"/>
  <c r="K52" i="269"/>
  <c r="G52" i="269"/>
  <c r="H52" i="269"/>
  <c r="F52" i="269"/>
  <c r="E52" i="269"/>
  <c r="D52" i="269"/>
  <c r="C52" i="269"/>
  <c r="K44" i="269"/>
  <c r="K56" i="269" s="1"/>
  <c r="G44" i="269"/>
  <c r="F44" i="269"/>
  <c r="E44" i="269"/>
  <c r="D44" i="269"/>
  <c r="C44" i="269"/>
  <c r="G35" i="269"/>
  <c r="F35" i="269"/>
  <c r="E35" i="269"/>
  <c r="E56" i="269" s="1"/>
  <c r="D35" i="269"/>
  <c r="C35" i="269"/>
  <c r="C56" i="269"/>
  <c r="K28" i="269"/>
  <c r="K30" i="269"/>
  <c r="I9" i="269"/>
  <c r="J9" i="269" s="1"/>
  <c r="G28" i="269"/>
  <c r="H28" i="269"/>
  <c r="G30" i="269"/>
  <c r="H30" i="269"/>
  <c r="G8" i="269"/>
  <c r="G18" i="269"/>
  <c r="G32" i="269" s="1"/>
  <c r="F8" i="269"/>
  <c r="F18" i="269"/>
  <c r="F28" i="269"/>
  <c r="F30" i="269"/>
  <c r="E8" i="269"/>
  <c r="E18" i="269"/>
  <c r="E30" i="269"/>
  <c r="D8" i="269"/>
  <c r="D32" i="269"/>
  <c r="D18" i="269"/>
  <c r="D28" i="269"/>
  <c r="D30" i="269"/>
  <c r="C8" i="269"/>
  <c r="C18" i="269"/>
  <c r="C28" i="269"/>
  <c r="C30" i="269"/>
  <c r="I31" i="269"/>
  <c r="J31" i="269" s="1"/>
  <c r="I29" i="269"/>
  <c r="J29" i="269" s="1"/>
  <c r="A53" i="269"/>
  <c r="A36" i="269"/>
  <c r="A30" i="269"/>
  <c r="A28" i="269"/>
  <c r="A20" i="269"/>
  <c r="A18" i="269"/>
  <c r="A9" i="269"/>
  <c r="A8" i="269"/>
  <c r="K3" i="269"/>
  <c r="J3" i="269"/>
  <c r="I3" i="269"/>
  <c r="H3" i="269"/>
  <c r="G3" i="269"/>
  <c r="F3" i="269"/>
  <c r="E3" i="269"/>
  <c r="D3" i="269"/>
  <c r="C3" i="269"/>
  <c r="B2" i="269"/>
  <c r="A2" i="269"/>
  <c r="A59" i="269"/>
  <c r="H99" i="318"/>
  <c r="G30" i="318"/>
  <c r="G46" i="318"/>
  <c r="G83" i="318"/>
  <c r="G99" i="318"/>
  <c r="F30" i="318"/>
  <c r="F46" i="318"/>
  <c r="F49" i="318" s="1"/>
  <c r="F83" i="318"/>
  <c r="F99" i="318"/>
  <c r="G14" i="318"/>
  <c r="G67" i="318"/>
  <c r="H67" i="318"/>
  <c r="K30" i="318"/>
  <c r="K46" i="318"/>
  <c r="K47" i="318"/>
  <c r="K67" i="318"/>
  <c r="K102" i="318"/>
  <c r="K99" i="318"/>
  <c r="K100" i="318"/>
  <c r="E14" i="318"/>
  <c r="E15" i="318"/>
  <c r="E30" i="318"/>
  <c r="E31" i="318"/>
  <c r="E46" i="318"/>
  <c r="E47" i="318"/>
  <c r="E67" i="318"/>
  <c r="E83" i="318"/>
  <c r="E106" i="318"/>
  <c r="E99" i="318"/>
  <c r="E100" i="318"/>
  <c r="D14" i="318"/>
  <c r="D49" i="318"/>
  <c r="D30" i="318"/>
  <c r="D31" i="318"/>
  <c r="D46" i="318"/>
  <c r="D47" i="318"/>
  <c r="D67" i="318"/>
  <c r="D68" i="318"/>
  <c r="D83" i="318"/>
  <c r="D84" i="318"/>
  <c r="D99" i="318"/>
  <c r="D100" i="318"/>
  <c r="C83" i="318"/>
  <c r="C14" i="318"/>
  <c r="I98" i="318"/>
  <c r="J98" i="318"/>
  <c r="I97" i="318"/>
  <c r="J97" i="318"/>
  <c r="I96" i="318"/>
  <c r="J96" i="318"/>
  <c r="I95" i="318"/>
  <c r="J95" i="318" s="1"/>
  <c r="I94" i="318"/>
  <c r="J94" i="318"/>
  <c r="I93" i="318"/>
  <c r="J93" i="318" s="1"/>
  <c r="I88" i="318"/>
  <c r="J88" i="318"/>
  <c r="I87" i="318"/>
  <c r="J87" i="318" s="1"/>
  <c r="I82" i="318"/>
  <c r="J82" i="318"/>
  <c r="I81" i="318"/>
  <c r="J81" i="318"/>
  <c r="I80" i="318"/>
  <c r="J80" i="318"/>
  <c r="I79" i="318"/>
  <c r="J79" i="318"/>
  <c r="I71" i="318"/>
  <c r="J71" i="318" s="1"/>
  <c r="I66" i="318"/>
  <c r="J66" i="318"/>
  <c r="I65" i="318"/>
  <c r="J65" i="318"/>
  <c r="I64" i="318"/>
  <c r="J64" i="318"/>
  <c r="I62" i="318"/>
  <c r="J62" i="318"/>
  <c r="I56" i="318"/>
  <c r="J56" i="318"/>
  <c r="I55" i="318"/>
  <c r="J55" i="318"/>
  <c r="I54" i="318"/>
  <c r="J54" i="318"/>
  <c r="I29" i="318"/>
  <c r="J29" i="318"/>
  <c r="I28" i="318"/>
  <c r="J28" i="318"/>
  <c r="I27" i="318"/>
  <c r="J27" i="318"/>
  <c r="I26" i="318"/>
  <c r="J26" i="318" s="1"/>
  <c r="I21" i="318"/>
  <c r="J21" i="318" s="1"/>
  <c r="I20" i="318"/>
  <c r="J20" i="318" s="1"/>
  <c r="I19" i="318"/>
  <c r="J19" i="318" s="1"/>
  <c r="I13" i="318"/>
  <c r="J13" i="318" s="1"/>
  <c r="I8" i="318"/>
  <c r="J8" i="318" s="1"/>
  <c r="C30" i="318"/>
  <c r="C46" i="318"/>
  <c r="C106" i="318"/>
  <c r="K3" i="318"/>
  <c r="J3" i="318"/>
  <c r="I3" i="318"/>
  <c r="H3" i="318"/>
  <c r="G3" i="318"/>
  <c r="F3" i="318"/>
  <c r="E3" i="318"/>
  <c r="D3" i="318"/>
  <c r="C3" i="318"/>
  <c r="B2" i="318"/>
  <c r="F14" i="318"/>
  <c r="C67" i="318"/>
  <c r="C102" i="318"/>
  <c r="C104" i="318"/>
  <c r="F67" i="318"/>
  <c r="C99" i="318"/>
  <c r="A107" i="318"/>
  <c r="P33" i="317"/>
  <c r="P46" i="317"/>
  <c r="P65" i="317"/>
  <c r="O33" i="317"/>
  <c r="O54" i="317"/>
  <c r="O46" i="317"/>
  <c r="O55" i="317"/>
  <c r="Q33" i="317"/>
  <c r="Q46" i="317"/>
  <c r="Q52" i="317"/>
  <c r="D33" i="317"/>
  <c r="D54" i="317"/>
  <c r="D46" i="317"/>
  <c r="D52" i="317"/>
  <c r="C33" i="317"/>
  <c r="C46" i="317"/>
  <c r="C52" i="317"/>
  <c r="E33" i="317"/>
  <c r="E46" i="317"/>
  <c r="E52" i="317"/>
  <c r="E54" i="317"/>
  <c r="E66" i="317"/>
  <c r="F33" i="317"/>
  <c r="F46" i="317"/>
  <c r="F52" i="317"/>
  <c r="F54" i="317"/>
  <c r="G33" i="317"/>
  <c r="G46" i="317"/>
  <c r="H33" i="317"/>
  <c r="H46" i="317"/>
  <c r="I33" i="317"/>
  <c r="I54" i="317"/>
  <c r="I46" i="317"/>
  <c r="I52" i="317"/>
  <c r="J33" i="317"/>
  <c r="J54" i="317"/>
  <c r="J46" i="317"/>
  <c r="J65" i="317"/>
  <c r="K33" i="317"/>
  <c r="K46" i="317"/>
  <c r="K52" i="317"/>
  <c r="K65" i="317"/>
  <c r="L33" i="317"/>
  <c r="L54" i="317"/>
  <c r="L46" i="317"/>
  <c r="L52" i="317"/>
  <c r="M33" i="317"/>
  <c r="M54" i="317"/>
  <c r="M46" i="317"/>
  <c r="M52" i="317"/>
  <c r="N36" i="317"/>
  <c r="N37" i="317"/>
  <c r="N46" i="317"/>
  <c r="N38" i="317"/>
  <c r="N39" i="317"/>
  <c r="N40" i="317"/>
  <c r="N41" i="317"/>
  <c r="N42" i="317"/>
  <c r="N43" i="317"/>
  <c r="N44" i="317"/>
  <c r="N45" i="317"/>
  <c r="N49" i="317"/>
  <c r="N50" i="317"/>
  <c r="N51" i="317"/>
  <c r="N47" i="317"/>
  <c r="N6" i="317"/>
  <c r="N7" i="317"/>
  <c r="N8" i="317"/>
  <c r="N9" i="317"/>
  <c r="N10" i="317"/>
  <c r="N12" i="317"/>
  <c r="N13" i="317"/>
  <c r="N14" i="317"/>
  <c r="N21" i="317"/>
  <c r="N15" i="317"/>
  <c r="N16" i="317"/>
  <c r="N17" i="317"/>
  <c r="N18" i="317"/>
  <c r="N19" i="317"/>
  <c r="N20" i="317"/>
  <c r="N24" i="317"/>
  <c r="N25" i="317"/>
  <c r="N26" i="317"/>
  <c r="N27" i="317"/>
  <c r="N28" i="317"/>
  <c r="N29" i="317"/>
  <c r="N30" i="317"/>
  <c r="N31" i="317"/>
  <c r="N32" i="317"/>
  <c r="N22" i="317"/>
  <c r="N23" i="317"/>
  <c r="O2" i="317"/>
  <c r="A2" i="317"/>
  <c r="N53" i="317"/>
  <c r="N35" i="317"/>
  <c r="N34" i="317"/>
  <c r="B13" i="100"/>
  <c r="P3" i="317"/>
  <c r="B2" i="317"/>
  <c r="B46" i="317"/>
  <c r="B52" i="317"/>
  <c r="B54" i="317"/>
  <c r="A57" i="317"/>
  <c r="E38" i="181"/>
  <c r="E42" i="181" s="1"/>
  <c r="E44" i="181" s="1"/>
  <c r="I275" i="324"/>
  <c r="I33" i="268"/>
  <c r="J33" i="268"/>
  <c r="H35" i="268"/>
  <c r="I319" i="324"/>
  <c r="I29" i="183"/>
  <c r="J29" i="183"/>
  <c r="J275" i="324"/>
  <c r="M342" i="324"/>
  <c r="I24" i="267"/>
  <c r="J6" i="180"/>
  <c r="F9" i="241"/>
  <c r="G15" i="241"/>
  <c r="I15" i="241"/>
  <c r="J15" i="241"/>
  <c r="K21" i="241"/>
  <c r="D21" i="241"/>
  <c r="L65" i="317"/>
  <c r="F65" i="317"/>
  <c r="I242" i="324"/>
  <c r="J242" i="324"/>
  <c r="I264" i="324"/>
  <c r="I330" i="324"/>
  <c r="N342" i="324"/>
  <c r="I286" i="324"/>
  <c r="I297" i="324"/>
  <c r="J297" i="324"/>
  <c r="I83" i="323"/>
  <c r="J83" i="323"/>
  <c r="A6" i="323"/>
  <c r="A28" i="323"/>
  <c r="A72" i="323"/>
  <c r="A94" i="323"/>
  <c r="A116" i="323"/>
  <c r="A262" i="323"/>
  <c r="A295" i="323"/>
  <c r="A317" i="323"/>
  <c r="A19" i="272"/>
  <c r="A17" i="272"/>
  <c r="A15" i="272"/>
  <c r="A11" i="272"/>
  <c r="A7" i="272"/>
  <c r="A36" i="272"/>
  <c r="A34" i="272"/>
  <c r="A30" i="272"/>
  <c r="A28" i="272"/>
  <c r="A26" i="272"/>
  <c r="A308" i="324"/>
  <c r="A286" i="324"/>
  <c r="A264" i="324"/>
  <c r="A242" i="324"/>
  <c r="A220" i="324"/>
  <c r="A198" i="324"/>
  <c r="A18" i="324"/>
  <c r="A106" i="324"/>
  <c r="A128" i="324"/>
  <c r="A150" i="324"/>
  <c r="A19" i="268"/>
  <c r="A17" i="268"/>
  <c r="A15" i="268"/>
  <c r="A11" i="268"/>
  <c r="A9" i="268"/>
  <c r="A36" i="268"/>
  <c r="A34" i="268"/>
  <c r="A30" i="268"/>
  <c r="A26" i="268"/>
  <c r="A149" i="323"/>
  <c r="A174" i="323"/>
  <c r="A185" i="323"/>
  <c r="A273" i="323"/>
  <c r="A284" i="323"/>
  <c r="A306" i="323"/>
  <c r="A20" i="272"/>
  <c r="A16" i="272"/>
  <c r="A14" i="272"/>
  <c r="A12" i="272"/>
  <c r="A8" i="272"/>
  <c r="A24" i="272"/>
  <c r="A37" i="272"/>
  <c r="A33" i="272"/>
  <c r="A31" i="272"/>
  <c r="A29" i="272"/>
  <c r="A25" i="272"/>
  <c r="A319" i="324"/>
  <c r="A275" i="324"/>
  <c r="A253" i="324"/>
  <c r="A231" i="324"/>
  <c r="A29" i="324"/>
  <c r="A51" i="324"/>
  <c r="A73" i="324"/>
  <c r="A95" i="324"/>
  <c r="A117" i="324"/>
  <c r="A139" i="324"/>
  <c r="I35" i="268"/>
  <c r="J35" i="268"/>
  <c r="G6" i="272"/>
  <c r="A83" i="323"/>
  <c r="A127" i="323"/>
  <c r="A33" i="268"/>
  <c r="A29" i="268"/>
  <c r="I37" i="268"/>
  <c r="J37" i="268"/>
  <c r="J319" i="324"/>
  <c r="J52" i="317"/>
  <c r="K7" i="241"/>
  <c r="E6" i="272"/>
  <c r="A31" i="268"/>
  <c r="A61" i="323"/>
  <c r="A27" i="268"/>
  <c r="A62" i="324"/>
  <c r="B4" i="100"/>
  <c r="F8" i="334"/>
  <c r="G9" i="334"/>
  <c r="F25" i="334"/>
  <c r="G25" i="334"/>
  <c r="F41" i="334"/>
  <c r="G41" i="334"/>
  <c r="G45" i="334"/>
  <c r="F22" i="334"/>
  <c r="G22" i="334"/>
  <c r="D38" i="268"/>
  <c r="I65" i="317"/>
  <c r="I16" i="183"/>
  <c r="I31" i="183"/>
  <c r="J31" i="183"/>
  <c r="J37" i="267"/>
  <c r="J15" i="180"/>
  <c r="I13" i="180"/>
  <c r="G16" i="268"/>
  <c r="I16" i="268"/>
  <c r="J16" i="268"/>
  <c r="H16" i="268"/>
  <c r="C30" i="268"/>
  <c r="D17" i="272"/>
  <c r="K68" i="318"/>
  <c r="I72" i="323"/>
  <c r="J72" i="323"/>
  <c r="O342" i="324"/>
  <c r="C31" i="183"/>
  <c r="C39" i="177"/>
  <c r="C41" i="177"/>
  <c r="B46" i="267"/>
  <c r="F45" i="267"/>
  <c r="D11" i="174"/>
  <c r="Q3" i="317"/>
  <c r="H15" i="272"/>
  <c r="C50" i="267"/>
  <c r="B2" i="100"/>
  <c r="C2" i="333"/>
  <c r="A218" i="323"/>
  <c r="A10" i="268"/>
  <c r="K117" i="326"/>
  <c r="J130" i="326"/>
  <c r="B2" i="180"/>
  <c r="B2" i="172"/>
  <c r="C2" i="177"/>
  <c r="C2" i="325"/>
  <c r="A15" i="175"/>
  <c r="C2" i="324"/>
  <c r="J69" i="335"/>
  <c r="C2" i="181"/>
  <c r="C2" i="269"/>
  <c r="I63" i="335"/>
  <c r="J63" i="335"/>
  <c r="C2" i="268"/>
  <c r="I99" i="335"/>
  <c r="J99" i="335"/>
  <c r="G110" i="335"/>
  <c r="I130" i="335"/>
  <c r="J130" i="335"/>
  <c r="C2" i="241"/>
  <c r="I110" i="335"/>
  <c r="J110" i="335"/>
  <c r="H110" i="333"/>
  <c r="E117" i="333"/>
  <c r="I163" i="333"/>
  <c r="J163" i="333"/>
  <c r="E75" i="333"/>
  <c r="D117" i="333"/>
  <c r="I69" i="333"/>
  <c r="J69" i="333"/>
  <c r="K75" i="333"/>
  <c r="I111" i="333"/>
  <c r="J111" i="333"/>
  <c r="C117" i="333"/>
  <c r="I63" i="333"/>
  <c r="J63" i="333"/>
  <c r="I110" i="333"/>
  <c r="J110" i="333"/>
  <c r="F110" i="333"/>
  <c r="J160" i="333"/>
  <c r="I38" i="325"/>
  <c r="J38" i="325"/>
  <c r="I148" i="325"/>
  <c r="J148" i="325"/>
  <c r="J151" i="325"/>
  <c r="I13" i="325"/>
  <c r="J13" i="325"/>
  <c r="I160" i="325"/>
  <c r="J160" i="325"/>
  <c r="I163" i="325"/>
  <c r="J163" i="325"/>
  <c r="I69" i="325"/>
  <c r="J69" i="325"/>
  <c r="C75" i="325"/>
  <c r="I135" i="325"/>
  <c r="J135" i="325"/>
  <c r="I103" i="325"/>
  <c r="J103" i="325"/>
  <c r="I111" i="325"/>
  <c r="J111" i="325"/>
  <c r="C117" i="325"/>
  <c r="J45" i="325"/>
  <c r="H110" i="325"/>
  <c r="I110" i="325"/>
  <c r="J110" i="325"/>
  <c r="D117" i="325"/>
  <c r="C7" i="325"/>
  <c r="K7" i="325"/>
  <c r="I27" i="325"/>
  <c r="J27" i="325"/>
  <c r="F110" i="325"/>
  <c r="E110" i="325"/>
  <c r="D7" i="325"/>
  <c r="I63" i="325"/>
  <c r="J63" i="325"/>
  <c r="I157" i="325"/>
  <c r="J157" i="325"/>
  <c r="E7" i="325"/>
  <c r="I76" i="325"/>
  <c r="J76" i="325" s="1"/>
  <c r="I99" i="325"/>
  <c r="J99" i="325"/>
  <c r="F110" i="326"/>
  <c r="E110" i="326"/>
  <c r="J63" i="326"/>
  <c r="C75" i="326"/>
  <c r="G75" i="326"/>
  <c r="I135" i="326"/>
  <c r="J135" i="326"/>
  <c r="I17" i="326"/>
  <c r="J17" i="326"/>
  <c r="I69" i="326"/>
  <c r="J69" i="326"/>
  <c r="I114" i="326"/>
  <c r="J114" i="326"/>
  <c r="I157" i="326"/>
  <c r="J157" i="326"/>
  <c r="I27" i="326"/>
  <c r="J27" i="326"/>
  <c r="C110" i="326"/>
  <c r="C117" i="326"/>
  <c r="G117" i="326"/>
  <c r="I160" i="326"/>
  <c r="J160" i="326"/>
  <c r="I99" i="326"/>
  <c r="J99" i="326"/>
  <c r="D110" i="326"/>
  <c r="H110" i="326"/>
  <c r="D117" i="326"/>
  <c r="H117" i="326"/>
  <c r="I117" i="326"/>
  <c r="I148" i="326"/>
  <c r="J148" i="326"/>
  <c r="D7" i="326"/>
  <c r="K7" i="326"/>
  <c r="I13" i="326"/>
  <c r="J13" i="326"/>
  <c r="J163" i="326"/>
  <c r="F7" i="326"/>
  <c r="K110" i="326"/>
  <c r="E117" i="326"/>
  <c r="J118" i="326"/>
  <c r="I140" i="326"/>
  <c r="J140" i="326"/>
  <c r="G7" i="326"/>
  <c r="I38" i="326"/>
  <c r="J38" i="326"/>
  <c r="E75" i="326"/>
  <c r="I103" i="326"/>
  <c r="J103" i="326"/>
  <c r="H138" i="326"/>
  <c r="I138" i="326"/>
  <c r="J138" i="326"/>
  <c r="I163" i="242"/>
  <c r="J163" i="242"/>
  <c r="H117" i="242"/>
  <c r="I117" i="242"/>
  <c r="J117" i="242"/>
  <c r="C75" i="242"/>
  <c r="H110" i="242"/>
  <c r="F117" i="242"/>
  <c r="E110" i="242"/>
  <c r="G75" i="242"/>
  <c r="G110" i="242"/>
  <c r="I110" i="242"/>
  <c r="J110" i="242"/>
  <c r="C117" i="242"/>
  <c r="I135" i="242"/>
  <c r="J135" i="242"/>
  <c r="D117" i="242"/>
  <c r="I69" i="242"/>
  <c r="J69" i="242"/>
  <c r="K110" i="242"/>
  <c r="G117" i="242"/>
  <c r="F110" i="242"/>
  <c r="D75" i="242"/>
  <c r="E117" i="242"/>
  <c r="I130" i="242"/>
  <c r="J130" i="242"/>
  <c r="I111" i="242"/>
  <c r="J111" i="242"/>
  <c r="I63" i="242"/>
  <c r="J63" i="242"/>
  <c r="I118" i="242"/>
  <c r="J118" i="242"/>
  <c r="I99" i="242"/>
  <c r="J99" i="242"/>
  <c r="I27" i="242"/>
  <c r="J27" i="242"/>
  <c r="I38" i="242"/>
  <c r="J38" i="242"/>
  <c r="G32" i="241"/>
  <c r="I24" i="330"/>
  <c r="J24" i="330"/>
  <c r="C7" i="241"/>
  <c r="C6" i="241" s="1"/>
  <c r="I67" i="330"/>
  <c r="J67" i="330"/>
  <c r="G99" i="330"/>
  <c r="G9" i="241"/>
  <c r="I9" i="241"/>
  <c r="J9" i="241"/>
  <c r="E75" i="330"/>
  <c r="E6" i="330"/>
  <c r="E8" i="241"/>
  <c r="C53" i="182"/>
  <c r="D11" i="267"/>
  <c r="J117" i="326"/>
  <c r="I53" i="242"/>
  <c r="J53" i="242"/>
  <c r="I114" i="242"/>
  <c r="J114" i="242"/>
  <c r="D36" i="241"/>
  <c r="D148" i="330"/>
  <c r="F7" i="335"/>
  <c r="G7" i="335"/>
  <c r="I53" i="325"/>
  <c r="J53" i="325"/>
  <c r="F7" i="242"/>
  <c r="C221" i="330"/>
  <c r="C197" i="330"/>
  <c r="A41" i="334"/>
  <c r="B34" i="172"/>
  <c r="I34" i="268"/>
  <c r="J34" i="268"/>
  <c r="J286" i="324"/>
  <c r="O65" i="317"/>
  <c r="O52" i="317"/>
  <c r="D31" i="183"/>
  <c r="E7" i="272"/>
  <c r="I84" i="324"/>
  <c r="J84" i="324"/>
  <c r="H13" i="268"/>
  <c r="I13" i="268"/>
  <c r="J13" i="268"/>
  <c r="C38" i="268"/>
  <c r="H10" i="180"/>
  <c r="J10" i="180"/>
  <c r="D6" i="272"/>
  <c r="G8" i="334"/>
  <c r="C49" i="318"/>
  <c r="I10" i="180"/>
  <c r="I30" i="268"/>
  <c r="J30" i="268"/>
  <c r="G65" i="317"/>
  <c r="G52" i="317"/>
  <c r="G54" i="317"/>
  <c r="G66" i="317"/>
  <c r="F38" i="334"/>
  <c r="G38" i="334"/>
  <c r="G39" i="334"/>
  <c r="B102" i="100"/>
  <c r="A1" i="172"/>
  <c r="B103" i="100"/>
  <c r="A26" i="172"/>
  <c r="I38" i="268"/>
  <c r="J38" i="268"/>
  <c r="J330" i="324"/>
  <c r="C6" i="272"/>
  <c r="I295" i="323"/>
  <c r="J295" i="323"/>
  <c r="I32" i="268"/>
  <c r="J32" i="268"/>
  <c r="J264" i="324"/>
  <c r="H52" i="317"/>
  <c r="H54" i="317"/>
  <c r="H65" i="317"/>
  <c r="D13" i="174"/>
  <c r="G7" i="268"/>
  <c r="A20" i="268"/>
  <c r="A160" i="323"/>
  <c r="A38" i="272"/>
  <c r="A330" i="324"/>
  <c r="A161" i="324"/>
  <c r="A38" i="268"/>
  <c r="A328" i="323"/>
  <c r="G18" i="334"/>
  <c r="F16" i="334"/>
  <c r="G16" i="334"/>
  <c r="G117" i="335"/>
  <c r="I117" i="335"/>
  <c r="J117" i="335"/>
  <c r="I118" i="335"/>
  <c r="J118" i="335"/>
  <c r="I6" i="180"/>
  <c r="P52" i="317"/>
  <c r="P54" i="317"/>
  <c r="P66" i="317"/>
  <c r="D102" i="318"/>
  <c r="E68" i="318"/>
  <c r="K31" i="318"/>
  <c r="H6" i="180"/>
  <c r="H14" i="272"/>
  <c r="I94" i="323"/>
  <c r="J94" i="323"/>
  <c r="D45" i="174"/>
  <c r="D7" i="174"/>
  <c r="E22" i="241"/>
  <c r="G6" i="268"/>
  <c r="I95" i="324"/>
  <c r="J95" i="324"/>
  <c r="G14" i="268"/>
  <c r="H17" i="268"/>
  <c r="I128" i="324"/>
  <c r="J128" i="324"/>
  <c r="G19" i="268"/>
  <c r="I19" i="268"/>
  <c r="J19" i="268"/>
  <c r="I150" i="324"/>
  <c r="J150" i="324"/>
  <c r="A207" i="323"/>
  <c r="A40" i="324"/>
  <c r="A27" i="272"/>
  <c r="A209" i="324"/>
  <c r="C28" i="334"/>
  <c r="C49" i="334"/>
  <c r="G32" i="334"/>
  <c r="F31" i="334"/>
  <c r="G138" i="242"/>
  <c r="H75" i="326"/>
  <c r="I76" i="326"/>
  <c r="J76" i="326"/>
  <c r="G110" i="326"/>
  <c r="I110" i="326"/>
  <c r="J110" i="326"/>
  <c r="I111" i="326"/>
  <c r="J111" i="326"/>
  <c r="C7" i="333"/>
  <c r="C75" i="333"/>
  <c r="B11" i="267"/>
  <c r="B39" i="267"/>
  <c r="C41" i="178"/>
  <c r="A18" i="268"/>
  <c r="A18" i="272"/>
  <c r="A251" i="323"/>
  <c r="A13" i="272"/>
  <c r="D28" i="334"/>
  <c r="D49" i="334"/>
  <c r="K110" i="325"/>
  <c r="G7" i="242"/>
  <c r="Q342" i="324"/>
  <c r="I13" i="242"/>
  <c r="J13" i="242"/>
  <c r="C166" i="325"/>
  <c r="B3" i="100"/>
  <c r="D2" i="177"/>
  <c r="A39" i="323"/>
  <c r="A176" i="324"/>
  <c r="A28" i="268"/>
  <c r="A13" i="268"/>
  <c r="A6" i="268"/>
  <c r="A84" i="324"/>
  <c r="A7" i="324"/>
  <c r="A32" i="272"/>
  <c r="A9" i="272"/>
  <c r="A138" i="323"/>
  <c r="A50" i="323"/>
  <c r="E31" i="183"/>
  <c r="C29" i="267"/>
  <c r="C33" i="267"/>
  <c r="C6" i="330"/>
  <c r="G31" i="268"/>
  <c r="I253" i="324"/>
  <c r="I31" i="268"/>
  <c r="J31" i="268"/>
  <c r="I284" i="323"/>
  <c r="J284" i="323"/>
  <c r="I251" i="323"/>
  <c r="J251" i="323"/>
  <c r="A35" i="268"/>
  <c r="A35" i="272"/>
  <c r="A297" i="324"/>
  <c r="A14" i="268"/>
  <c r="A24" i="268"/>
  <c r="E28" i="334"/>
  <c r="E49" i="334"/>
  <c r="G46" i="334"/>
  <c r="C7" i="242"/>
  <c r="C166" i="242"/>
  <c r="C7" i="335"/>
  <c r="C166" i="335"/>
  <c r="D7" i="242"/>
  <c r="C110" i="325"/>
  <c r="I114" i="325"/>
  <c r="J114" i="325"/>
  <c r="F7" i="325"/>
  <c r="I140" i="325"/>
  <c r="J140" i="325"/>
  <c r="I135" i="335"/>
  <c r="J135" i="335"/>
  <c r="I53" i="335"/>
  <c r="J53" i="335"/>
  <c r="D2" i="182"/>
  <c r="D2" i="270"/>
  <c r="D2" i="330"/>
  <c r="C2" i="267"/>
  <c r="C2" i="173"/>
  <c r="C2" i="334"/>
  <c r="D2" i="242"/>
  <c r="D2" i="272"/>
  <c r="C2" i="317"/>
  <c r="D2" i="178"/>
  <c r="D2" i="324"/>
  <c r="C2" i="175"/>
  <c r="D2" i="323"/>
  <c r="D2" i="241"/>
  <c r="D2" i="325"/>
  <c r="G31" i="334"/>
  <c r="F47" i="334"/>
  <c r="G47" i="334"/>
  <c r="C166" i="333"/>
  <c r="I75" i="326"/>
  <c r="J75" i="326"/>
  <c r="F28" i="334"/>
  <c r="G28" i="334"/>
  <c r="F49" i="334"/>
  <c r="G49" i="334"/>
  <c r="I66" i="317"/>
  <c r="M66" i="317"/>
  <c r="C26" i="330"/>
  <c r="D30" i="241"/>
  <c r="D128" i="330"/>
  <c r="H66" i="317"/>
  <c r="K54" i="317"/>
  <c r="C54" i="317"/>
  <c r="C56" i="317"/>
  <c r="D55" i="317"/>
  <c r="L66" i="317"/>
  <c r="J66" i="317"/>
  <c r="F66" i="317"/>
  <c r="F56" i="317"/>
  <c r="G55" i="317"/>
  <c r="G56" i="317"/>
  <c r="H55" i="317"/>
  <c r="H56" i="317"/>
  <c r="I55" i="317"/>
  <c r="I56" i="317"/>
  <c r="J55" i="317"/>
  <c r="J56" i="317"/>
  <c r="K55" i="317"/>
  <c r="D56" i="317"/>
  <c r="E55" i="317"/>
  <c r="E56" i="317"/>
  <c r="F55" i="317"/>
  <c r="D2" i="268"/>
  <c r="D2" i="335"/>
  <c r="E2" i="174"/>
  <c r="C2" i="180"/>
  <c r="D2" i="318"/>
  <c r="D2" i="326"/>
  <c r="D2" i="183"/>
  <c r="C2" i="272"/>
  <c r="C2" i="182"/>
  <c r="C2" i="178"/>
  <c r="C2" i="183"/>
  <c r="C2" i="318"/>
  <c r="C2" i="330"/>
  <c r="C2" i="323"/>
  <c r="C3" i="334"/>
  <c r="C2" i="242"/>
  <c r="E65" i="317"/>
  <c r="J253" i="324"/>
  <c r="J16" i="183"/>
  <c r="C2" i="270"/>
  <c r="B77" i="172"/>
  <c r="A54" i="172"/>
  <c r="A103" i="172"/>
  <c r="C2" i="335"/>
  <c r="D2" i="174"/>
  <c r="C2" i="326"/>
  <c r="R342" i="324"/>
  <c r="B36" i="267"/>
  <c r="A12" i="268"/>
  <c r="A240" i="323"/>
  <c r="G36" i="268"/>
  <c r="I308" i="324"/>
  <c r="A196" i="323"/>
  <c r="A8" i="268"/>
  <c r="G18" i="272"/>
  <c r="I18" i="272"/>
  <c r="J18" i="272"/>
  <c r="C7" i="326"/>
  <c r="C166" i="326"/>
  <c r="I138" i="325"/>
  <c r="J138" i="325"/>
  <c r="H75" i="333"/>
  <c r="H75" i="335"/>
  <c r="I75" i="335"/>
  <c r="J75" i="335"/>
  <c r="H138" i="335"/>
  <c r="I138" i="335"/>
  <c r="J138" i="335"/>
  <c r="I8" i="325"/>
  <c r="J8" i="325"/>
  <c r="K66" i="317"/>
  <c r="K56" i="317"/>
  <c r="L55" i="317"/>
  <c r="L56" i="317"/>
  <c r="M55" i="317"/>
  <c r="M56" i="317"/>
  <c r="N55" i="317"/>
  <c r="I36" i="268"/>
  <c r="J36" i="268"/>
  <c r="J308" i="324"/>
  <c r="I28" i="270"/>
  <c r="J28" i="270" s="1"/>
  <c r="A54" i="269"/>
  <c r="A44" i="269"/>
  <c r="C32" i="270"/>
  <c r="D32" i="270"/>
  <c r="D58" i="270" s="1"/>
  <c r="E32" i="270"/>
  <c r="E56" i="270"/>
  <c r="E58" i="270" s="1"/>
  <c r="I30" i="270"/>
  <c r="J30" i="270" s="1"/>
  <c r="I52" i="270"/>
  <c r="J52" i="270"/>
  <c r="D56" i="270"/>
  <c r="I54" i="270"/>
  <c r="J54" i="270" s="1"/>
  <c r="C56" i="270"/>
  <c r="A31" i="334"/>
  <c r="J43" i="267"/>
  <c r="S342" i="324"/>
  <c r="U342" i="324"/>
  <c r="L342" i="324"/>
  <c r="P342" i="324"/>
  <c r="I14" i="268"/>
  <c r="J14" i="268"/>
  <c r="D8" i="268"/>
  <c r="C18" i="267"/>
  <c r="E45" i="174"/>
  <c r="E7" i="174"/>
  <c r="H32" i="272"/>
  <c r="I32" i="272"/>
  <c r="J32" i="272"/>
  <c r="I306" i="323"/>
  <c r="J306" i="323"/>
  <c r="G37" i="272"/>
  <c r="F30" i="272"/>
  <c r="I36" i="272"/>
  <c r="J36" i="272"/>
  <c r="I35" i="272"/>
  <c r="J35" i="272"/>
  <c r="I328" i="323"/>
  <c r="J328" i="323"/>
  <c r="I31" i="272"/>
  <c r="J31" i="272"/>
  <c r="I37" i="272"/>
  <c r="J37" i="272"/>
  <c r="G30" i="272"/>
  <c r="I30" i="272"/>
  <c r="J30" i="272"/>
  <c r="I16" i="272"/>
  <c r="J16" i="272"/>
  <c r="I15" i="272"/>
  <c r="J15" i="272"/>
  <c r="I14" i="272"/>
  <c r="J14" i="272"/>
  <c r="I17" i="272"/>
  <c r="J17" i="272"/>
  <c r="I127" i="323"/>
  <c r="J127" i="323"/>
  <c r="H20" i="272"/>
  <c r="I20" i="272"/>
  <c r="J20" i="272"/>
  <c r="I105" i="323"/>
  <c r="J105" i="323"/>
  <c r="I149" i="323"/>
  <c r="J149" i="323"/>
  <c r="I116" i="323"/>
  <c r="J116" i="323"/>
  <c r="I138" i="323"/>
  <c r="J138" i="323"/>
  <c r="L340" i="323"/>
  <c r="P340" i="323"/>
  <c r="R340" i="323"/>
  <c r="T340" i="323"/>
  <c r="V340" i="323"/>
  <c r="I12" i="272"/>
  <c r="J12" i="272"/>
  <c r="A7" i="268"/>
  <c r="A25" i="268"/>
  <c r="A187" i="324"/>
  <c r="D339" i="323"/>
  <c r="G33" i="272"/>
  <c r="I33" i="272"/>
  <c r="J33" i="272"/>
  <c r="C24" i="272"/>
  <c r="N340" i="323"/>
  <c r="C171" i="323"/>
  <c r="D197" i="330"/>
  <c r="D22" i="241"/>
  <c r="C99" i="330"/>
  <c r="D11" i="241"/>
  <c r="D2" i="333"/>
  <c r="D2" i="181"/>
  <c r="A53" i="172"/>
  <c r="A104" i="172"/>
  <c r="D2" i="269"/>
  <c r="C77" i="172"/>
  <c r="B2" i="267"/>
  <c r="B4" i="331"/>
  <c r="B8" i="331"/>
  <c r="A1" i="331"/>
  <c r="A1" i="328"/>
  <c r="C58" i="270"/>
  <c r="D7" i="335"/>
  <c r="D166" i="335"/>
  <c r="K166" i="325"/>
  <c r="D166" i="325"/>
  <c r="D166" i="326"/>
  <c r="D166" i="242"/>
  <c r="N65" i="317"/>
  <c r="N52" i="317"/>
  <c r="Q54" i="317"/>
  <c r="N33" i="317"/>
  <c r="O66" i="317"/>
  <c r="O56" i="317"/>
  <c r="P55" i="317"/>
  <c r="P56" i="317"/>
  <c r="Q55" i="317"/>
  <c r="D106" i="318"/>
  <c r="I54" i="269"/>
  <c r="J54" i="269"/>
  <c r="I30" i="269"/>
  <c r="J30" i="269" s="1"/>
  <c r="I28" i="269"/>
  <c r="J28" i="269" s="1"/>
  <c r="C32" i="269"/>
  <c r="C58" i="269"/>
  <c r="E32" i="269"/>
  <c r="D56" i="269"/>
  <c r="I52" i="269"/>
  <c r="J52" i="269"/>
  <c r="Q56" i="317"/>
  <c r="N54" i="317"/>
  <c r="N56" i="317"/>
  <c r="N66" i="317"/>
  <c r="H154" i="333"/>
  <c r="I154" i="333" s="1"/>
  <c r="J154" i="333" s="1"/>
  <c r="D7" i="333"/>
  <c r="D166" i="333"/>
  <c r="K22" i="181"/>
  <c r="K38" i="181" s="1"/>
  <c r="K42" i="181" s="1"/>
  <c r="K44" i="181" s="1"/>
  <c r="K106" i="318"/>
  <c r="D104" i="318"/>
  <c r="D105" i="318"/>
  <c r="D50" i="318"/>
  <c r="K49" i="318"/>
  <c r="K15" i="318"/>
  <c r="D15" i="318"/>
  <c r="D39" i="177"/>
  <c r="D41" i="177"/>
  <c r="C46" i="267"/>
  <c r="H28" i="177"/>
  <c r="G44" i="267" s="1"/>
  <c r="C44" i="267"/>
  <c r="I8" i="177"/>
  <c r="J8" i="177" s="1"/>
  <c r="C40" i="267"/>
  <c r="H11" i="174"/>
  <c r="E10" i="174"/>
  <c r="D41" i="178"/>
  <c r="G48" i="174"/>
  <c r="G35" i="178"/>
  <c r="C38" i="267"/>
  <c r="E14" i="174"/>
  <c r="E52" i="174"/>
  <c r="E13" i="174"/>
  <c r="F13" i="178"/>
  <c r="D26" i="178"/>
  <c r="G13" i="178"/>
  <c r="G26" i="178" s="1"/>
  <c r="H61" i="174"/>
  <c r="D27" i="268"/>
  <c r="D39" i="268"/>
  <c r="D343" i="324"/>
  <c r="H51" i="324"/>
  <c r="H10" i="268" s="1"/>
  <c r="D10" i="268"/>
  <c r="D21" i="268"/>
  <c r="D63" i="268"/>
  <c r="G21" i="267"/>
  <c r="C20" i="267"/>
  <c r="C23" i="267"/>
  <c r="C25" i="267"/>
  <c r="E55" i="174"/>
  <c r="E27" i="174"/>
  <c r="D38" i="182"/>
  <c r="D42" i="182"/>
  <c r="D44" i="182"/>
  <c r="D46" i="182"/>
  <c r="D48" i="182"/>
  <c r="H56" i="174"/>
  <c r="E28" i="174"/>
  <c r="E26" i="174"/>
  <c r="E17" i="174"/>
  <c r="D39" i="272"/>
  <c r="D171" i="323"/>
  <c r="D341" i="323"/>
  <c r="D21" i="272"/>
  <c r="I21" i="323"/>
  <c r="J21" i="323" s="1"/>
  <c r="K46" i="241"/>
  <c r="D46" i="241"/>
  <c r="D43" i="241"/>
  <c r="I213" i="330"/>
  <c r="J213" i="330" s="1"/>
  <c r="D39" i="241"/>
  <c r="D247" i="330"/>
  <c r="D257" i="330"/>
  <c r="H198" i="330"/>
  <c r="H40" i="241" s="1"/>
  <c r="H38" i="241"/>
  <c r="D33" i="241"/>
  <c r="I147" i="330"/>
  <c r="J147" i="330" s="1"/>
  <c r="D29" i="241"/>
  <c r="I9" i="330"/>
  <c r="J9" i="330" s="1"/>
  <c r="D6" i="330"/>
  <c r="D8" i="241"/>
  <c r="D6" i="241"/>
  <c r="H27" i="330"/>
  <c r="H49" i="330"/>
  <c r="H12" i="241" s="1"/>
  <c r="D10" i="241"/>
  <c r="H55" i="330"/>
  <c r="H13" i="241" s="1"/>
  <c r="D26" i="330"/>
  <c r="K17" i="241"/>
  <c r="D16" i="241"/>
  <c r="D17" i="241"/>
  <c r="H87" i="330"/>
  <c r="H100" i="330"/>
  <c r="H21" i="241" s="1"/>
  <c r="D99" i="330"/>
  <c r="D20" i="241"/>
  <c r="K24" i="241"/>
  <c r="B79" i="100"/>
  <c r="B82" i="100"/>
  <c r="B78" i="100"/>
  <c r="B98" i="100"/>
  <c r="B80" i="100"/>
  <c r="B81" i="100"/>
  <c r="B93" i="100"/>
  <c r="B94" i="100"/>
  <c r="B95" i="100"/>
  <c r="B100" i="100"/>
  <c r="B96" i="100"/>
  <c r="B83" i="100"/>
  <c r="B77" i="100"/>
  <c r="B97" i="100"/>
  <c r="K50" i="318"/>
  <c r="G41" i="178"/>
  <c r="J38" i="267"/>
  <c r="H53" i="174"/>
  <c r="E39" i="174"/>
  <c r="D43" i="178"/>
  <c r="D54" i="178"/>
  <c r="D40" i="268"/>
  <c r="D171" i="335"/>
  <c r="D171" i="326"/>
  <c r="D86" i="268"/>
  <c r="D40" i="272"/>
  <c r="D49" i="241"/>
  <c r="D125" i="330"/>
  <c r="D26" i="241"/>
  <c r="C28" i="267"/>
  <c r="D171" i="242"/>
  <c r="E46" i="174"/>
  <c r="E8" i="174"/>
  <c r="D50" i="241"/>
  <c r="D256" i="330"/>
  <c r="D248" i="330"/>
  <c r="F52" i="174"/>
  <c r="I7" i="318"/>
  <c r="J7" i="318" s="1"/>
  <c r="H209" i="324"/>
  <c r="I72" i="268"/>
  <c r="J72" i="268" s="1"/>
  <c r="I29" i="323"/>
  <c r="J29" i="323" s="1"/>
  <c r="I6" i="323"/>
  <c r="J6" i="323" s="1"/>
  <c r="H6" i="272"/>
  <c r="I6" i="272" s="1"/>
  <c r="J6" i="272" s="1"/>
  <c r="I8" i="323"/>
  <c r="J8" i="323" s="1"/>
  <c r="H235" i="330"/>
  <c r="H47" i="241" s="1"/>
  <c r="A1" i="267"/>
  <c r="A1" i="241"/>
  <c r="H12" i="180"/>
  <c r="I151" i="242"/>
  <c r="J151" i="242" s="1"/>
  <c r="F8" i="180"/>
  <c r="H7" i="180"/>
  <c r="B29" i="172"/>
  <c r="J7" i="180"/>
  <c r="I7" i="180"/>
  <c r="F11" i="174"/>
  <c r="D37" i="267"/>
  <c r="G25" i="272"/>
  <c r="I244" i="330"/>
  <c r="J244" i="330" s="1"/>
  <c r="H214" i="330"/>
  <c r="H42" i="241" s="1"/>
  <c r="I120" i="330"/>
  <c r="J120" i="330" s="1"/>
  <c r="I8" i="180"/>
  <c r="H8" i="180"/>
  <c r="B30" i="172"/>
  <c r="J8" i="180"/>
  <c r="J12" i="180"/>
  <c r="O20" i="238"/>
  <c r="M22" i="238"/>
  <c r="H9" i="180"/>
  <c r="B37" i="172"/>
  <c r="H11" i="180"/>
  <c r="J11" i="180"/>
  <c r="B31" i="172"/>
  <c r="H13" i="180"/>
  <c r="I15" i="180"/>
  <c r="J9" i="180"/>
  <c r="J13" i="180"/>
  <c r="I9" i="318"/>
  <c r="J9" i="318" s="1"/>
  <c r="I50" i="267"/>
  <c r="I11" i="177"/>
  <c r="J11" i="177" s="1"/>
  <c r="I222" i="324"/>
  <c r="J222" i="324" s="1"/>
  <c r="I178" i="324"/>
  <c r="J178" i="324" s="1"/>
  <c r="G74" i="268"/>
  <c r="G8" i="267"/>
  <c r="I62" i="323"/>
  <c r="J62" i="323" s="1"/>
  <c r="F41" i="241"/>
  <c r="F23" i="241"/>
  <c r="G22" i="241"/>
  <c r="H149" i="330"/>
  <c r="I153" i="330"/>
  <c r="J153" i="330" s="1"/>
  <c r="A1" i="177"/>
  <c r="A1" i="330"/>
  <c r="K45" i="241"/>
  <c r="K43" i="241" s="1"/>
  <c r="K197" i="330"/>
  <c r="E29" i="241"/>
  <c r="E128" i="330"/>
  <c r="E41" i="241"/>
  <c r="E45" i="241"/>
  <c r="K26" i="330"/>
  <c r="K19" i="241"/>
  <c r="K20" i="241"/>
  <c r="K99" i="330"/>
  <c r="E6" i="241"/>
  <c r="G138" i="333"/>
  <c r="E53" i="172"/>
  <c r="G10" i="272"/>
  <c r="G42" i="241"/>
  <c r="G8" i="241"/>
  <c r="A1" i="323"/>
  <c r="A1" i="178"/>
  <c r="D64" i="100"/>
  <c r="B61" i="100"/>
  <c r="A1" i="318" s="1"/>
  <c r="A1" i="251"/>
  <c r="A1" i="182"/>
  <c r="A1" i="272"/>
  <c r="A1" i="324"/>
  <c r="A1" i="180"/>
  <c r="A1" i="173"/>
  <c r="K220" i="324"/>
  <c r="K28" i="268" s="1"/>
  <c r="E341" i="324"/>
  <c r="K198" i="324"/>
  <c r="K26" i="268" s="1"/>
  <c r="I188" i="324"/>
  <c r="J188" i="324" s="1"/>
  <c r="E11" i="268"/>
  <c r="I7" i="324"/>
  <c r="J7" i="324" s="1"/>
  <c r="H6" i="268"/>
  <c r="I6" i="268" s="1"/>
  <c r="I9" i="324"/>
  <c r="J9" i="324" s="1"/>
  <c r="I199" i="324"/>
  <c r="J199" i="324" s="1"/>
  <c r="K209" i="324"/>
  <c r="K27" i="268" s="1"/>
  <c r="D29" i="267"/>
  <c r="D33" i="267" s="1"/>
  <c r="I48" i="268"/>
  <c r="J48" i="268" s="1"/>
  <c r="I8" i="182"/>
  <c r="J8" i="182" s="1"/>
  <c r="K22" i="182"/>
  <c r="F45" i="174"/>
  <c r="F7" i="174" s="1"/>
  <c r="F26" i="174"/>
  <c r="E38" i="182"/>
  <c r="E42" i="182" s="1"/>
  <c r="E44" i="182" s="1"/>
  <c r="E46" i="182" s="1"/>
  <c r="E48" i="182" s="1"/>
  <c r="F27" i="174"/>
  <c r="I232" i="323"/>
  <c r="J232" i="323" s="1"/>
  <c r="E9" i="272"/>
  <c r="H55" i="174"/>
  <c r="K53" i="182"/>
  <c r="H26" i="174"/>
  <c r="E7" i="333"/>
  <c r="E166" i="333"/>
  <c r="E7" i="335"/>
  <c r="E166" i="335" s="1"/>
  <c r="K7" i="335"/>
  <c r="K166" i="335" s="1"/>
  <c r="K7" i="333"/>
  <c r="K166" i="333"/>
  <c r="E7" i="326"/>
  <c r="E166" i="326" s="1"/>
  <c r="E49" i="318"/>
  <c r="K39" i="177"/>
  <c r="K41" i="177"/>
  <c r="J46" i="267"/>
  <c r="E39" i="177"/>
  <c r="E41" i="177"/>
  <c r="D46" i="267"/>
  <c r="F13" i="174"/>
  <c r="D38" i="267"/>
  <c r="F53" i="174"/>
  <c r="E50" i="318"/>
  <c r="H32" i="267"/>
  <c r="I32" i="267" s="1"/>
  <c r="K104" i="318"/>
  <c r="K105" i="318"/>
  <c r="E102" i="318"/>
  <c r="E104" i="318"/>
  <c r="E105" i="318"/>
  <c r="E84" i="318"/>
  <c r="I118" i="325"/>
  <c r="J118" i="325" s="1"/>
  <c r="I140" i="242"/>
  <c r="J140" i="242" s="1"/>
  <c r="I7" i="181"/>
  <c r="J7" i="181" s="1"/>
  <c r="H62" i="324"/>
  <c r="H11" i="268" s="1"/>
  <c r="H18" i="324"/>
  <c r="I18" i="324" s="1"/>
  <c r="J18" i="324" s="1"/>
  <c r="I54" i="268"/>
  <c r="J54" i="268" s="1"/>
  <c r="I33" i="182"/>
  <c r="J33" i="182" s="1"/>
  <c r="I210" i="323"/>
  <c r="J210" i="323" s="1"/>
  <c r="I188" i="323"/>
  <c r="J188" i="323" s="1"/>
  <c r="I52" i="323"/>
  <c r="J52" i="323" s="1"/>
  <c r="H230" i="330"/>
  <c r="H46" i="241" s="1"/>
  <c r="I130" i="330"/>
  <c r="J130" i="330" s="1"/>
  <c r="I121" i="330"/>
  <c r="J121" i="330" s="1"/>
  <c r="I64" i="330"/>
  <c r="J64" i="330" s="1"/>
  <c r="A1" i="269"/>
  <c r="A1" i="325"/>
  <c r="A1" i="242"/>
  <c r="A1" i="333"/>
  <c r="A1" i="183"/>
  <c r="A1" i="174"/>
  <c r="G7" i="325"/>
  <c r="G56" i="269"/>
  <c r="I53" i="333"/>
  <c r="J53" i="333" s="1"/>
  <c r="I154" i="325"/>
  <c r="J154" i="325" s="1"/>
  <c r="E29" i="267"/>
  <c r="H21" i="267"/>
  <c r="I21" i="267" s="1"/>
  <c r="G24" i="272"/>
  <c r="G9" i="272"/>
  <c r="F197" i="330"/>
  <c r="F128" i="330"/>
  <c r="I100" i="330"/>
  <c r="J100" i="330" s="1"/>
  <c r="F8" i="241"/>
  <c r="I149" i="335"/>
  <c r="J149" i="335" s="1"/>
  <c r="I19" i="333"/>
  <c r="J19" i="333" s="1"/>
  <c r="H118" i="333"/>
  <c r="H117" i="333" s="1"/>
  <c r="H138" i="333"/>
  <c r="I138" i="333" s="1"/>
  <c r="J138" i="333" s="1"/>
  <c r="I25" i="181"/>
  <c r="J25" i="181" s="1"/>
  <c r="J36" i="269"/>
  <c r="I59" i="268"/>
  <c r="J59" i="268" s="1"/>
  <c r="I44" i="268"/>
  <c r="J44" i="268" s="1"/>
  <c r="I19" i="182"/>
  <c r="J19" i="182" s="1"/>
  <c r="H22" i="182"/>
  <c r="H53" i="182" s="1"/>
  <c r="H229" i="323"/>
  <c r="H29" i="272" s="1"/>
  <c r="H185" i="323"/>
  <c r="I185" i="323" s="1"/>
  <c r="J185" i="323" s="1"/>
  <c r="I175" i="323"/>
  <c r="J175" i="323" s="1"/>
  <c r="H61" i="323"/>
  <c r="I31" i="323"/>
  <c r="J31" i="323" s="1"/>
  <c r="I243" i="330"/>
  <c r="J243" i="330" s="1"/>
  <c r="I171" i="330"/>
  <c r="J171" i="330" s="1"/>
  <c r="H11" i="241"/>
  <c r="F13" i="241"/>
  <c r="D50" i="267"/>
  <c r="F26" i="178" l="1"/>
  <c r="F166" i="335"/>
  <c r="F166" i="242"/>
  <c r="I17" i="180"/>
  <c r="D58" i="269"/>
  <c r="E58" i="269"/>
  <c r="C78" i="172"/>
  <c r="B78" i="172" s="1"/>
  <c r="I149" i="330"/>
  <c r="J149" i="330" s="1"/>
  <c r="I37" i="177"/>
  <c r="J37" i="177" s="1"/>
  <c r="I38" i="241"/>
  <c r="J38" i="241" s="1"/>
  <c r="H75" i="330"/>
  <c r="I92" i="330"/>
  <c r="J92" i="330" s="1"/>
  <c r="G171" i="323"/>
  <c r="I61" i="323"/>
  <c r="J61" i="323" s="1"/>
  <c r="G75" i="333"/>
  <c r="I75" i="333" s="1"/>
  <c r="J75" i="333" s="1"/>
  <c r="I154" i="326"/>
  <c r="J154" i="326" s="1"/>
  <c r="B38" i="172"/>
  <c r="F56" i="269"/>
  <c r="K24" i="238"/>
  <c r="L21" i="175"/>
  <c r="G26" i="175"/>
  <c r="G27" i="175" s="1"/>
  <c r="I231" i="324"/>
  <c r="I29" i="268" s="1"/>
  <c r="J29" i="268" s="1"/>
  <c r="I209" i="324"/>
  <c r="J209" i="324" s="1"/>
  <c r="H31" i="267"/>
  <c r="I31" i="267" s="1"/>
  <c r="G45" i="174"/>
  <c r="G7" i="174" s="1"/>
  <c r="H8" i="267"/>
  <c r="I8" i="267" s="1"/>
  <c r="G19" i="241"/>
  <c r="G16" i="241" s="1"/>
  <c r="I151" i="335"/>
  <c r="J151" i="335" s="1"/>
  <c r="I38" i="333"/>
  <c r="J38" i="333" s="1"/>
  <c r="I118" i="333"/>
  <c r="J118" i="333" s="1"/>
  <c r="H25" i="272"/>
  <c r="I25" i="272" s="1"/>
  <c r="J25" i="272" s="1"/>
  <c r="I226" i="330"/>
  <c r="J226" i="330" s="1"/>
  <c r="H44" i="241"/>
  <c r="I44" i="241" s="1"/>
  <c r="J44" i="241" s="1"/>
  <c r="H221" i="330"/>
  <c r="E221" i="330"/>
  <c r="E43" i="241"/>
  <c r="E26" i="330"/>
  <c r="E99" i="330"/>
  <c r="E24" i="241"/>
  <c r="I113" i="330"/>
  <c r="J113" i="330" s="1"/>
  <c r="I49" i="330"/>
  <c r="J49" i="330" s="1"/>
  <c r="B53" i="172"/>
  <c r="F53" i="172"/>
  <c r="G53" i="172"/>
  <c r="K14" i="175"/>
  <c r="J50" i="267" s="1"/>
  <c r="L14" i="175"/>
  <c r="H26" i="175"/>
  <c r="H27" i="175" s="1"/>
  <c r="F102" i="318"/>
  <c r="F104" i="318" s="1"/>
  <c r="N24" i="238"/>
  <c r="F39" i="177"/>
  <c r="H44" i="267"/>
  <c r="I44" i="267" s="1"/>
  <c r="E43" i="267"/>
  <c r="G39" i="177"/>
  <c r="G41" i="177" s="1"/>
  <c r="F46" i="267" s="1"/>
  <c r="I157" i="335"/>
  <c r="J157" i="335" s="1"/>
  <c r="I140" i="333"/>
  <c r="J140" i="333" s="1"/>
  <c r="G117" i="333"/>
  <c r="I117" i="333" s="1"/>
  <c r="J117" i="333" s="1"/>
  <c r="I76" i="333"/>
  <c r="J76" i="333" s="1"/>
  <c r="I45" i="333"/>
  <c r="J45" i="333" s="1"/>
  <c r="I151" i="326"/>
  <c r="J151" i="326" s="1"/>
  <c r="I103" i="242"/>
  <c r="J103" i="242" s="1"/>
  <c r="I14" i="180"/>
  <c r="B36" i="172"/>
  <c r="G49" i="318"/>
  <c r="G106" i="318"/>
  <c r="I30" i="318"/>
  <c r="J30" i="318" s="1"/>
  <c r="G58" i="269"/>
  <c r="I44" i="270"/>
  <c r="J44" i="270" s="1"/>
  <c r="G56" i="270"/>
  <c r="G58" i="270" s="1"/>
  <c r="M24" i="238"/>
  <c r="O12" i="238"/>
  <c r="K15" i="173"/>
  <c r="J52" i="267" s="1"/>
  <c r="F41" i="178"/>
  <c r="F43" i="178" s="1"/>
  <c r="F54" i="178" s="1"/>
  <c r="H14" i="174"/>
  <c r="G43" i="178"/>
  <c r="G54" i="178" s="1"/>
  <c r="H39" i="174"/>
  <c r="J36" i="267"/>
  <c r="H52" i="174"/>
  <c r="H13" i="174" s="1"/>
  <c r="I9" i="268"/>
  <c r="J9" i="268" s="1"/>
  <c r="I43" i="268"/>
  <c r="J43" i="268" s="1"/>
  <c r="G38" i="181"/>
  <c r="G42" i="181" s="1"/>
  <c r="G44" i="181" s="1"/>
  <c r="E18" i="267"/>
  <c r="E19" i="267" s="1"/>
  <c r="E11" i="267"/>
  <c r="H7" i="267"/>
  <c r="I7" i="267" s="1"/>
  <c r="G339" i="323"/>
  <c r="F43" i="241"/>
  <c r="F39" i="241"/>
  <c r="G39" i="241"/>
  <c r="G197" i="330"/>
  <c r="I189" i="330"/>
  <c r="J189" i="330" s="1"/>
  <c r="F148" i="330"/>
  <c r="I32" i="241"/>
  <c r="J32" i="241" s="1"/>
  <c r="G29" i="241"/>
  <c r="G24" i="241"/>
  <c r="I24" i="241" s="1"/>
  <c r="I108" i="330"/>
  <c r="J108" i="330" s="1"/>
  <c r="F99" i="330"/>
  <c r="F75" i="330"/>
  <c r="F16" i="241"/>
  <c r="I17" i="241"/>
  <c r="J17" i="241" s="1"/>
  <c r="G75" i="330"/>
  <c r="I103" i="335"/>
  <c r="J103" i="335" s="1"/>
  <c r="I27" i="333"/>
  <c r="J27" i="333" s="1"/>
  <c r="I151" i="333"/>
  <c r="J151" i="333" s="1"/>
  <c r="H27" i="268"/>
  <c r="I45" i="241"/>
  <c r="J45" i="241" s="1"/>
  <c r="I177" i="330"/>
  <c r="J177" i="330" s="1"/>
  <c r="I19" i="241"/>
  <c r="J19" i="241" s="1"/>
  <c r="I76" i="330"/>
  <c r="J76" i="330" s="1"/>
  <c r="H26" i="330"/>
  <c r="A1" i="317"/>
  <c r="A1" i="334"/>
  <c r="A1" i="238"/>
  <c r="A1" i="175"/>
  <c r="A1" i="335"/>
  <c r="A1" i="181"/>
  <c r="A1" i="326"/>
  <c r="A1" i="270"/>
  <c r="E166" i="325"/>
  <c r="I161" i="242"/>
  <c r="J161" i="242" s="1"/>
  <c r="I154" i="242"/>
  <c r="J154" i="242" s="1"/>
  <c r="I76" i="242"/>
  <c r="J76" i="242" s="1"/>
  <c r="E7" i="242"/>
  <c r="E166" i="242" s="1"/>
  <c r="K7" i="242"/>
  <c r="K166" i="242" s="1"/>
  <c r="H7" i="242"/>
  <c r="I7" i="242" s="1"/>
  <c r="J7" i="242" s="1"/>
  <c r="H16" i="180"/>
  <c r="J16" i="180"/>
  <c r="G8" i="180"/>
  <c r="H17" i="180"/>
  <c r="I48" i="269"/>
  <c r="J48" i="269" s="1"/>
  <c r="H35" i="269"/>
  <c r="H56" i="269" s="1"/>
  <c r="H8" i="269"/>
  <c r="H32" i="269" s="1"/>
  <c r="K32" i="269"/>
  <c r="K58" i="269" s="1"/>
  <c r="I25" i="269"/>
  <c r="J25" i="269" s="1"/>
  <c r="I8" i="269"/>
  <c r="K56" i="270"/>
  <c r="H18" i="270"/>
  <c r="J22" i="270"/>
  <c r="J18" i="270" s="1"/>
  <c r="I18" i="270"/>
  <c r="H35" i="270"/>
  <c r="H56" i="270" s="1"/>
  <c r="K32" i="270"/>
  <c r="H8" i="270"/>
  <c r="I16" i="270"/>
  <c r="J16" i="270" s="1"/>
  <c r="E41" i="178"/>
  <c r="E43" i="178" s="1"/>
  <c r="E54" i="178" s="1"/>
  <c r="F14" i="174"/>
  <c r="F39" i="174"/>
  <c r="D36" i="267"/>
  <c r="I224" i="324"/>
  <c r="J224" i="324" s="1"/>
  <c r="I220" i="324"/>
  <c r="I28" i="268" s="1"/>
  <c r="J28" i="268" s="1"/>
  <c r="E39" i="268"/>
  <c r="K25" i="268"/>
  <c r="K39" i="268" s="1"/>
  <c r="K341" i="324"/>
  <c r="I191" i="324"/>
  <c r="J191" i="324" s="1"/>
  <c r="H176" i="324"/>
  <c r="H24" i="268" s="1"/>
  <c r="I62" i="324"/>
  <c r="J62" i="324" s="1"/>
  <c r="I40" i="324"/>
  <c r="J40" i="324" s="1"/>
  <c r="E172" i="324"/>
  <c r="E343" i="324" s="1"/>
  <c r="H29" i="324"/>
  <c r="K172" i="324"/>
  <c r="K7" i="268"/>
  <c r="K21" i="268" s="1"/>
  <c r="H7" i="268"/>
  <c r="I7" i="268" s="1"/>
  <c r="J7" i="268" s="1"/>
  <c r="E6" i="268"/>
  <c r="E21" i="268" s="1"/>
  <c r="E40" i="268" s="1"/>
  <c r="E86" i="268" s="1"/>
  <c r="K74" i="268"/>
  <c r="J29" i="267"/>
  <c r="J33" i="267" s="1"/>
  <c r="I67" i="268"/>
  <c r="J67" i="268" s="1"/>
  <c r="I57" i="268"/>
  <c r="J57" i="268" s="1"/>
  <c r="K63" i="268"/>
  <c r="E63" i="268"/>
  <c r="D18" i="267"/>
  <c r="D19" i="267" s="1"/>
  <c r="D20" i="267" s="1"/>
  <c r="D23" i="267" s="1"/>
  <c r="D25" i="267" s="1"/>
  <c r="F28" i="174"/>
  <c r="K36" i="182"/>
  <c r="H28" i="174"/>
  <c r="I31" i="182"/>
  <c r="J31" i="182" s="1"/>
  <c r="G12" i="267"/>
  <c r="H12" i="267" s="1"/>
  <c r="I12" i="267" s="1"/>
  <c r="H36" i="182"/>
  <c r="H38" i="182" s="1"/>
  <c r="H42" i="182" s="1"/>
  <c r="H44" i="182" s="1"/>
  <c r="H46" i="182" s="1"/>
  <c r="H48" i="182" s="1"/>
  <c r="G13" i="267"/>
  <c r="H13" i="267" s="1"/>
  <c r="I13" i="267" s="1"/>
  <c r="J15" i="267"/>
  <c r="J11" i="267"/>
  <c r="G10" i="267"/>
  <c r="H10" i="267" s="1"/>
  <c r="I10" i="267" s="1"/>
  <c r="H27" i="174"/>
  <c r="E29" i="272"/>
  <c r="H218" i="323"/>
  <c r="I218" i="323" s="1"/>
  <c r="J218" i="323" s="1"/>
  <c r="H196" i="323"/>
  <c r="H26" i="272" s="1"/>
  <c r="I26" i="272" s="1"/>
  <c r="J26" i="272" s="1"/>
  <c r="E39" i="272"/>
  <c r="K339" i="323"/>
  <c r="K24" i="272"/>
  <c r="K39" i="272" s="1"/>
  <c r="E339" i="323"/>
  <c r="H174" i="323"/>
  <c r="I174" i="323" s="1"/>
  <c r="J174" i="323" s="1"/>
  <c r="H11" i="272"/>
  <c r="I11" i="272" s="1"/>
  <c r="J11" i="272" s="1"/>
  <c r="H50" i="323"/>
  <c r="I50" i="323" s="1"/>
  <c r="J50" i="323" s="1"/>
  <c r="I39" i="323"/>
  <c r="J39" i="323" s="1"/>
  <c r="H9" i="272"/>
  <c r="I9" i="272" s="1"/>
  <c r="J9" i="272" s="1"/>
  <c r="I43" i="323"/>
  <c r="J43" i="323" s="1"/>
  <c r="I28" i="323"/>
  <c r="J28" i="323" s="1"/>
  <c r="H8" i="272"/>
  <c r="I17" i="323"/>
  <c r="J17" i="323" s="1"/>
  <c r="H7" i="272"/>
  <c r="I7" i="272" s="1"/>
  <c r="J7" i="272" s="1"/>
  <c r="E21" i="272"/>
  <c r="I18" i="323"/>
  <c r="J18" i="323" s="1"/>
  <c r="K21" i="272"/>
  <c r="E171" i="323"/>
  <c r="K171" i="323"/>
  <c r="C339" i="323"/>
  <c r="C341" i="323" s="1"/>
  <c r="C39" i="272"/>
  <c r="C21" i="272"/>
  <c r="H240" i="330"/>
  <c r="H48" i="241" s="1"/>
  <c r="I48" i="241" s="1"/>
  <c r="J48" i="241" s="1"/>
  <c r="I235" i="330"/>
  <c r="J235" i="330" s="1"/>
  <c r="K39" i="241"/>
  <c r="E197" i="330"/>
  <c r="E40" i="241"/>
  <c r="E39" i="241" s="1"/>
  <c r="H186" i="330"/>
  <c r="E33" i="241"/>
  <c r="K34" i="241"/>
  <c r="K33" i="241" s="1"/>
  <c r="K148" i="330"/>
  <c r="E247" i="330"/>
  <c r="E257" i="330" s="1"/>
  <c r="H132" i="330"/>
  <c r="H31" i="241" s="1"/>
  <c r="I31" i="241" s="1"/>
  <c r="J31" i="241" s="1"/>
  <c r="K29" i="241"/>
  <c r="I129" i="330"/>
  <c r="J129" i="330" s="1"/>
  <c r="H30" i="241"/>
  <c r="I30" i="241" s="1"/>
  <c r="J30" i="241" s="1"/>
  <c r="K128" i="330"/>
  <c r="H118" i="330"/>
  <c r="I118" i="330" s="1"/>
  <c r="J118" i="330" s="1"/>
  <c r="I23" i="241"/>
  <c r="J23" i="241" s="1"/>
  <c r="H99" i="330"/>
  <c r="H22" i="241"/>
  <c r="I22" i="241" s="1"/>
  <c r="J22" i="241" s="1"/>
  <c r="I104" i="330"/>
  <c r="J104" i="330" s="1"/>
  <c r="E20" i="241"/>
  <c r="E125" i="330"/>
  <c r="E256" i="330" s="1"/>
  <c r="K16" i="241"/>
  <c r="I87" i="330"/>
  <c r="J87" i="330" s="1"/>
  <c r="H18" i="241"/>
  <c r="H16" i="241" s="1"/>
  <c r="E16" i="241"/>
  <c r="E10" i="241"/>
  <c r="K8" i="241"/>
  <c r="K6" i="241" s="1"/>
  <c r="K26" i="241" s="1"/>
  <c r="K6" i="330"/>
  <c r="K125" i="330" s="1"/>
  <c r="I99" i="318"/>
  <c r="J99" i="318" s="1"/>
  <c r="G102" i="318"/>
  <c r="F106" i="318"/>
  <c r="I67" i="318"/>
  <c r="J67" i="318" s="1"/>
  <c r="O22" i="238"/>
  <c r="F40" i="267"/>
  <c r="F38" i="267"/>
  <c r="G10" i="174"/>
  <c r="G53" i="174"/>
  <c r="G14" i="174" s="1"/>
  <c r="G52" i="174"/>
  <c r="F36" i="267"/>
  <c r="E33" i="267"/>
  <c r="F18" i="267"/>
  <c r="F19" i="267" s="1"/>
  <c r="F38" i="182"/>
  <c r="F42" i="182" s="1"/>
  <c r="F44" i="182" s="1"/>
  <c r="F46" i="182" s="1"/>
  <c r="F48" i="182" s="1"/>
  <c r="F11" i="267"/>
  <c r="G172" i="324"/>
  <c r="G166" i="335"/>
  <c r="I148" i="333"/>
  <c r="J148" i="333" s="1"/>
  <c r="I130" i="333"/>
  <c r="J130" i="333" s="1"/>
  <c r="F117" i="333"/>
  <c r="F75" i="333"/>
  <c r="G7" i="333"/>
  <c r="F7" i="333"/>
  <c r="I8" i="333"/>
  <c r="J8" i="333" s="1"/>
  <c r="F166" i="325"/>
  <c r="G166" i="325"/>
  <c r="I117" i="325"/>
  <c r="J117" i="325" s="1"/>
  <c r="G166" i="242"/>
  <c r="H14" i="180"/>
  <c r="J17" i="180"/>
  <c r="I36" i="181"/>
  <c r="J36" i="181" s="1"/>
  <c r="I44" i="269"/>
  <c r="J44" i="269" s="1"/>
  <c r="F32" i="269"/>
  <c r="F58" i="269" s="1"/>
  <c r="J13" i="269"/>
  <c r="F58" i="270"/>
  <c r="I26" i="175"/>
  <c r="I27" i="175" s="1"/>
  <c r="K26" i="175"/>
  <c r="K27" i="175" s="1"/>
  <c r="C26" i="175"/>
  <c r="C27" i="175" s="1"/>
  <c r="F26" i="175"/>
  <c r="F27" i="175" s="1"/>
  <c r="H50" i="267"/>
  <c r="H53" i="172"/>
  <c r="G11" i="174"/>
  <c r="G39" i="174"/>
  <c r="D10" i="174"/>
  <c r="C26" i="178"/>
  <c r="C43" i="178" s="1"/>
  <c r="C54" i="178" s="1"/>
  <c r="D39" i="174"/>
  <c r="G341" i="324"/>
  <c r="G26" i="268"/>
  <c r="G39" i="268" s="1"/>
  <c r="I198" i="324"/>
  <c r="J198" i="324" s="1"/>
  <c r="F341" i="324"/>
  <c r="F24" i="268"/>
  <c r="F39" i="268" s="1"/>
  <c r="G11" i="268"/>
  <c r="G21" i="268" s="1"/>
  <c r="I10" i="268"/>
  <c r="J10" i="268" s="1"/>
  <c r="F172" i="324"/>
  <c r="F21" i="268"/>
  <c r="C341" i="324"/>
  <c r="C343" i="324" s="1"/>
  <c r="C39" i="268"/>
  <c r="C10" i="268"/>
  <c r="C21" i="268"/>
  <c r="F33" i="267"/>
  <c r="F63" i="268"/>
  <c r="G63" i="268"/>
  <c r="B33" i="267"/>
  <c r="H16" i="267"/>
  <c r="I16" i="267" s="1"/>
  <c r="H17" i="267"/>
  <c r="I17" i="267" s="1"/>
  <c r="G55" i="174"/>
  <c r="G17" i="174" s="1"/>
  <c r="I22" i="182"/>
  <c r="J22" i="182" s="1"/>
  <c r="H6" i="267"/>
  <c r="I6" i="267" s="1"/>
  <c r="B19" i="267"/>
  <c r="B20" i="267"/>
  <c r="B23" i="267" s="1"/>
  <c r="B25" i="267" s="1"/>
  <c r="D28" i="174"/>
  <c r="D26" i="174"/>
  <c r="D17" i="174"/>
  <c r="I29" i="272"/>
  <c r="J29" i="272" s="1"/>
  <c r="G39" i="272"/>
  <c r="F339" i="323"/>
  <c r="F39" i="272"/>
  <c r="G21" i="272"/>
  <c r="F21" i="272"/>
  <c r="I8" i="272"/>
  <c r="J8" i="272" s="1"/>
  <c r="F171" i="323"/>
  <c r="I47" i="241"/>
  <c r="J47" i="241" s="1"/>
  <c r="I230" i="330"/>
  <c r="J230" i="330" s="1"/>
  <c r="I46" i="241"/>
  <c r="J46" i="241" s="1"/>
  <c r="G43" i="241"/>
  <c r="F221" i="330"/>
  <c r="G221" i="330"/>
  <c r="I42" i="241"/>
  <c r="J42" i="241" s="1"/>
  <c r="I41" i="241"/>
  <c r="J41" i="241" s="1"/>
  <c r="G148" i="330"/>
  <c r="I36" i="241"/>
  <c r="J36" i="241" s="1"/>
  <c r="F33" i="241"/>
  <c r="I35" i="241"/>
  <c r="J35" i="241" s="1"/>
  <c r="G33" i="241"/>
  <c r="F29" i="241"/>
  <c r="G128" i="330"/>
  <c r="F20" i="241"/>
  <c r="I21" i="241"/>
  <c r="J21" i="241" s="1"/>
  <c r="I14" i="241"/>
  <c r="J14" i="241" s="1"/>
  <c r="G26" i="330"/>
  <c r="I55" i="330"/>
  <c r="J55" i="330" s="1"/>
  <c r="F26" i="330"/>
  <c r="I13" i="241"/>
  <c r="J13" i="241" s="1"/>
  <c r="F10" i="241"/>
  <c r="I27" i="330"/>
  <c r="J27" i="330" s="1"/>
  <c r="G11" i="241"/>
  <c r="G10" i="241" s="1"/>
  <c r="G6" i="241"/>
  <c r="I8" i="241"/>
  <c r="J8" i="241" s="1"/>
  <c r="I7" i="330"/>
  <c r="J7" i="330" s="1"/>
  <c r="F7" i="241"/>
  <c r="F6" i="241" s="1"/>
  <c r="C43" i="241"/>
  <c r="C39" i="241"/>
  <c r="C148" i="330"/>
  <c r="C36" i="241"/>
  <c r="C33" i="241" s="1"/>
  <c r="C128" i="330"/>
  <c r="C247" i="330" s="1"/>
  <c r="C257" i="330" s="1"/>
  <c r="C29" i="241"/>
  <c r="C20" i="241"/>
  <c r="C17" i="241"/>
  <c r="C16" i="241" s="1"/>
  <c r="C10" i="241"/>
  <c r="C125" i="330"/>
  <c r="H7" i="335"/>
  <c r="H17" i="333"/>
  <c r="I17" i="333" s="1"/>
  <c r="J17" i="333" s="1"/>
  <c r="H166" i="325"/>
  <c r="I17" i="325"/>
  <c r="J17" i="325" s="1"/>
  <c r="I7" i="325"/>
  <c r="J7" i="325" s="1"/>
  <c r="H7" i="326"/>
  <c r="I7" i="326" s="1"/>
  <c r="J7" i="326" s="1"/>
  <c r="I75" i="242"/>
  <c r="J75" i="242" s="1"/>
  <c r="H22" i="181"/>
  <c r="H38" i="181" s="1"/>
  <c r="H83" i="318"/>
  <c r="I46" i="318"/>
  <c r="J46" i="318" s="1"/>
  <c r="I37" i="318"/>
  <c r="J37" i="318" s="1"/>
  <c r="H49" i="318"/>
  <c r="I14" i="318"/>
  <c r="J14" i="318" s="1"/>
  <c r="I35" i="269"/>
  <c r="J22" i="269"/>
  <c r="I35" i="270"/>
  <c r="J42" i="270"/>
  <c r="J9" i="270"/>
  <c r="I28" i="177"/>
  <c r="J28" i="177" s="1"/>
  <c r="G43" i="267"/>
  <c r="H43" i="267" s="1"/>
  <c r="I43" i="267" s="1"/>
  <c r="H39" i="177"/>
  <c r="H41" i="177" s="1"/>
  <c r="G46" i="267" s="1"/>
  <c r="I18" i="177"/>
  <c r="J18" i="177" s="1"/>
  <c r="I7" i="177"/>
  <c r="J7" i="177" s="1"/>
  <c r="J231" i="324"/>
  <c r="H25" i="268"/>
  <c r="I187" i="324"/>
  <c r="I51" i="324"/>
  <c r="J51" i="324" s="1"/>
  <c r="H172" i="324"/>
  <c r="J6" i="268"/>
  <c r="G33" i="267"/>
  <c r="H29" i="267"/>
  <c r="I29" i="267" s="1"/>
  <c r="H74" i="268"/>
  <c r="I70" i="268"/>
  <c r="J70" i="268" s="1"/>
  <c r="H53" i="268"/>
  <c r="I53" i="268" s="1"/>
  <c r="J53" i="268" s="1"/>
  <c r="H47" i="268"/>
  <c r="H14" i="267"/>
  <c r="I14" i="267" s="1"/>
  <c r="G15" i="267"/>
  <c r="H15" i="267" s="1"/>
  <c r="I15" i="267" s="1"/>
  <c r="H9" i="267"/>
  <c r="I9" i="267" s="1"/>
  <c r="I229" i="323"/>
  <c r="J229" i="323" s="1"/>
  <c r="I221" i="323"/>
  <c r="J221" i="323" s="1"/>
  <c r="H207" i="323"/>
  <c r="I240" i="330"/>
  <c r="J240" i="330" s="1"/>
  <c r="H43" i="241"/>
  <c r="I214" i="330"/>
  <c r="J214" i="330" s="1"/>
  <c r="I209" i="330"/>
  <c r="J209" i="330" s="1"/>
  <c r="I40" i="241"/>
  <c r="J40" i="241" s="1"/>
  <c r="H39" i="241"/>
  <c r="I198" i="330"/>
  <c r="J198" i="330" s="1"/>
  <c r="H197" i="330"/>
  <c r="H34" i="241"/>
  <c r="I12" i="241"/>
  <c r="J12" i="241" s="1"/>
  <c r="H10" i="241"/>
  <c r="I10" i="330"/>
  <c r="J10" i="330" s="1"/>
  <c r="H7" i="241"/>
  <c r="H6" i="330"/>
  <c r="G104" i="318" l="1"/>
  <c r="O24" i="238"/>
  <c r="G341" i="323"/>
  <c r="G20" i="241"/>
  <c r="I18" i="269"/>
  <c r="J18" i="269" s="1"/>
  <c r="I27" i="268"/>
  <c r="J27" i="268" s="1"/>
  <c r="H28" i="272"/>
  <c r="I28" i="272" s="1"/>
  <c r="J28" i="272" s="1"/>
  <c r="I196" i="323"/>
  <c r="J196" i="323" s="1"/>
  <c r="H25" i="241"/>
  <c r="I25" i="241" s="1"/>
  <c r="J25" i="241" s="1"/>
  <c r="I75" i="330"/>
  <c r="J75" i="330" s="1"/>
  <c r="G166" i="333"/>
  <c r="H33" i="267"/>
  <c r="I33" i="267" s="1"/>
  <c r="I197" i="330"/>
  <c r="J197" i="330" s="1"/>
  <c r="H32" i="270"/>
  <c r="H58" i="270" s="1"/>
  <c r="H39" i="268"/>
  <c r="I176" i="324"/>
  <c r="I24" i="268" s="1"/>
  <c r="H24" i="272"/>
  <c r="I24" i="272" s="1"/>
  <c r="E49" i="241"/>
  <c r="H46" i="267"/>
  <c r="I46" i="267" s="1"/>
  <c r="I8" i="270"/>
  <c r="J8" i="270" s="1"/>
  <c r="G13" i="174"/>
  <c r="I172" i="324"/>
  <c r="J172" i="324" s="1"/>
  <c r="G343" i="324"/>
  <c r="F343" i="324"/>
  <c r="E20" i="267"/>
  <c r="E23" i="267" s="1"/>
  <c r="E25" i="267" s="1"/>
  <c r="I39" i="241"/>
  <c r="J39" i="241" s="1"/>
  <c r="F247" i="330"/>
  <c r="F257" i="330" s="1"/>
  <c r="G49" i="241"/>
  <c r="F125" i="330"/>
  <c r="F256" i="330" s="1"/>
  <c r="I16" i="241"/>
  <c r="J16" i="241" s="1"/>
  <c r="H7" i="333"/>
  <c r="H166" i="333" s="1"/>
  <c r="J8" i="269"/>
  <c r="H341" i="324"/>
  <c r="H343" i="324" s="1"/>
  <c r="I26" i="268"/>
  <c r="J26" i="268" s="1"/>
  <c r="J220" i="324"/>
  <c r="I36" i="182"/>
  <c r="I38" i="182" s="1"/>
  <c r="J38" i="182" s="1"/>
  <c r="H171" i="323"/>
  <c r="I171" i="323" s="1"/>
  <c r="J171" i="323" s="1"/>
  <c r="H10" i="272"/>
  <c r="I10" i="272" s="1"/>
  <c r="J10" i="272" s="1"/>
  <c r="I221" i="330"/>
  <c r="J221" i="330" s="1"/>
  <c r="I132" i="330"/>
  <c r="J132" i="330" s="1"/>
  <c r="I18" i="241"/>
  <c r="J18" i="241" s="1"/>
  <c r="I26" i="330"/>
  <c r="J26" i="330" s="1"/>
  <c r="H166" i="242"/>
  <c r="I166" i="242" s="1"/>
  <c r="J166" i="242" s="1"/>
  <c r="H166" i="326"/>
  <c r="I166" i="326" s="1"/>
  <c r="J166" i="326" s="1"/>
  <c r="C30" i="172"/>
  <c r="G9" i="180"/>
  <c r="K58" i="270"/>
  <c r="K40" i="268"/>
  <c r="K171" i="242" s="1"/>
  <c r="K343" i="324"/>
  <c r="K86" i="268"/>
  <c r="H8" i="268"/>
  <c r="I29" i="324"/>
  <c r="J29" i="324" s="1"/>
  <c r="K171" i="326"/>
  <c r="H46" i="174"/>
  <c r="H8" i="174" s="1"/>
  <c r="D28" i="267"/>
  <c r="F46" i="174"/>
  <c r="F8" i="174" s="1"/>
  <c r="E171" i="326"/>
  <c r="E171" i="335"/>
  <c r="E171" i="242"/>
  <c r="G18" i="267"/>
  <c r="G19" i="267" s="1"/>
  <c r="H19" i="267" s="1"/>
  <c r="I19" i="267" s="1"/>
  <c r="J18" i="267"/>
  <c r="J19" i="267" s="1"/>
  <c r="J20" i="267" s="1"/>
  <c r="J23" i="267" s="1"/>
  <c r="J25" i="267" s="1"/>
  <c r="H45" i="174"/>
  <c r="H7" i="174" s="1"/>
  <c r="K38" i="182"/>
  <c r="K42" i="182" s="1"/>
  <c r="K44" i="182" s="1"/>
  <c r="K46" i="182" s="1"/>
  <c r="K48" i="182" s="1"/>
  <c r="G11" i="267"/>
  <c r="H11" i="267" s="1"/>
  <c r="I11" i="267" s="1"/>
  <c r="K40" i="272"/>
  <c r="E341" i="323"/>
  <c r="E40" i="272"/>
  <c r="K341" i="323"/>
  <c r="C40" i="272"/>
  <c r="K247" i="330"/>
  <c r="K257" i="330" s="1"/>
  <c r="I186" i="330"/>
  <c r="J186" i="330" s="1"/>
  <c r="H37" i="241"/>
  <c r="I37" i="241" s="1"/>
  <c r="J37" i="241" s="1"/>
  <c r="H148" i="330"/>
  <c r="K49" i="241"/>
  <c r="K50" i="241" s="1"/>
  <c r="H128" i="330"/>
  <c r="I128" i="330" s="1"/>
  <c r="H20" i="241"/>
  <c r="E248" i="330"/>
  <c r="I99" i="330"/>
  <c r="J99" i="330" s="1"/>
  <c r="E26" i="241"/>
  <c r="E50" i="241" s="1"/>
  <c r="K256" i="330"/>
  <c r="F20" i="267"/>
  <c r="F23" i="267" s="1"/>
  <c r="F25" i="267" s="1"/>
  <c r="F166" i="333"/>
  <c r="I166" i="325"/>
  <c r="J166" i="325" s="1"/>
  <c r="G40" i="268"/>
  <c r="G171" i="242" s="1"/>
  <c r="F40" i="268"/>
  <c r="F171" i="335" s="1"/>
  <c r="I11" i="268"/>
  <c r="J11" i="268" s="1"/>
  <c r="C40" i="268"/>
  <c r="C171" i="335" s="1"/>
  <c r="C171" i="326"/>
  <c r="G26" i="174"/>
  <c r="G28" i="174"/>
  <c r="G27" i="174"/>
  <c r="G40" i="272"/>
  <c r="F40" i="272"/>
  <c r="F341" i="323"/>
  <c r="I43" i="241"/>
  <c r="J43" i="241" s="1"/>
  <c r="F49" i="241"/>
  <c r="G247" i="330"/>
  <c r="G257" i="330" s="1"/>
  <c r="G125" i="330"/>
  <c r="F26" i="241"/>
  <c r="I10" i="241"/>
  <c r="J10" i="241" s="1"/>
  <c r="G26" i="241"/>
  <c r="I11" i="241"/>
  <c r="J11" i="241" s="1"/>
  <c r="C49" i="241"/>
  <c r="C248" i="330"/>
  <c r="C26" i="241"/>
  <c r="C256" i="330"/>
  <c r="H166" i="335"/>
  <c r="I166" i="335" s="1"/>
  <c r="J166" i="335" s="1"/>
  <c r="I7" i="335"/>
  <c r="J7" i="335" s="1"/>
  <c r="I22" i="181"/>
  <c r="J22" i="181" s="1"/>
  <c r="I38" i="181"/>
  <c r="J38" i="181" s="1"/>
  <c r="H42" i="181"/>
  <c r="I83" i="318"/>
  <c r="J83" i="318" s="1"/>
  <c r="H102" i="318"/>
  <c r="I102" i="318" s="1"/>
  <c r="J102" i="318" s="1"/>
  <c r="H106" i="318"/>
  <c r="I49" i="318"/>
  <c r="J49" i="318" s="1"/>
  <c r="I56" i="269"/>
  <c r="J56" i="269" s="1"/>
  <c r="J35" i="269"/>
  <c r="H58" i="269"/>
  <c r="I56" i="270"/>
  <c r="J56" i="270" s="1"/>
  <c r="J35" i="270"/>
  <c r="J187" i="324"/>
  <c r="I25" i="268"/>
  <c r="J25" i="268" s="1"/>
  <c r="I74" i="268"/>
  <c r="J74" i="268" s="1"/>
  <c r="I47" i="268"/>
  <c r="H63" i="268"/>
  <c r="I207" i="323"/>
  <c r="J207" i="323" s="1"/>
  <c r="H27" i="272"/>
  <c r="I27" i="272" s="1"/>
  <c r="J27" i="272" s="1"/>
  <c r="H339" i="323"/>
  <c r="I339" i="323" s="1"/>
  <c r="J339" i="323" s="1"/>
  <c r="I34" i="241"/>
  <c r="J34" i="241" s="1"/>
  <c r="H29" i="241"/>
  <c r="J24" i="241"/>
  <c r="I20" i="241"/>
  <c r="H125" i="330"/>
  <c r="I6" i="330"/>
  <c r="J6" i="330" s="1"/>
  <c r="H6" i="241"/>
  <c r="I7" i="241"/>
  <c r="J7" i="241" s="1"/>
  <c r="I32" i="269" l="1"/>
  <c r="J32" i="269" s="1"/>
  <c r="I166" i="333"/>
  <c r="J166" i="333" s="1"/>
  <c r="J176" i="324"/>
  <c r="H104" i="318"/>
  <c r="I104" i="318" s="1"/>
  <c r="J104" i="318" s="1"/>
  <c r="I341" i="324"/>
  <c r="J341" i="324" s="1"/>
  <c r="H21" i="272"/>
  <c r="H39" i="272"/>
  <c r="H33" i="241"/>
  <c r="I33" i="241" s="1"/>
  <c r="J33" i="241" s="1"/>
  <c r="I32" i="270"/>
  <c r="I58" i="270" s="1"/>
  <c r="J58" i="270" s="1"/>
  <c r="I343" i="324"/>
  <c r="J343" i="324" s="1"/>
  <c r="J36" i="182"/>
  <c r="F248" i="330"/>
  <c r="G50" i="241"/>
  <c r="I7" i="333"/>
  <c r="J7" i="333" s="1"/>
  <c r="H18" i="267"/>
  <c r="I18" i="267" s="1"/>
  <c r="G20" i="267"/>
  <c r="G23" i="267" s="1"/>
  <c r="I21" i="272"/>
  <c r="H247" i="330"/>
  <c r="H257" i="330" s="1"/>
  <c r="G10" i="180"/>
  <c r="C31" i="172"/>
  <c r="J28" i="267"/>
  <c r="K171" i="335"/>
  <c r="H21" i="268"/>
  <c r="H40" i="268" s="1"/>
  <c r="H86" i="268" s="1"/>
  <c r="I8" i="268"/>
  <c r="J8" i="268" s="1"/>
  <c r="K248" i="330"/>
  <c r="I148" i="330"/>
  <c r="J148" i="330" s="1"/>
  <c r="J20" i="241"/>
  <c r="G171" i="335"/>
  <c r="F28" i="267"/>
  <c r="G46" i="174"/>
  <c r="G8" i="174" s="1"/>
  <c r="G86" i="268"/>
  <c r="G171" i="326"/>
  <c r="F171" i="242"/>
  <c r="F86" i="268"/>
  <c r="E28" i="267"/>
  <c r="F171" i="326"/>
  <c r="D46" i="174"/>
  <c r="D8" i="174" s="1"/>
  <c r="C86" i="268"/>
  <c r="B28" i="267"/>
  <c r="C171" i="242"/>
  <c r="F50" i="241"/>
  <c r="G256" i="330"/>
  <c r="G248" i="330"/>
  <c r="C50" i="241"/>
  <c r="I42" i="181"/>
  <c r="J42" i="181" s="1"/>
  <c r="H44" i="181"/>
  <c r="I44" i="181" s="1"/>
  <c r="J44" i="181" s="1"/>
  <c r="I106" i="318"/>
  <c r="J106" i="318" s="1"/>
  <c r="J24" i="268"/>
  <c r="I39" i="268"/>
  <c r="J47" i="268"/>
  <c r="I63" i="268"/>
  <c r="J63" i="268" s="1"/>
  <c r="H341" i="323"/>
  <c r="I341" i="323" s="1"/>
  <c r="J341" i="323" s="1"/>
  <c r="I39" i="272"/>
  <c r="J24" i="272"/>
  <c r="I29" i="241"/>
  <c r="J128" i="330"/>
  <c r="H26" i="241"/>
  <c r="I6" i="241"/>
  <c r="H256" i="330"/>
  <c r="I125" i="330"/>
  <c r="I58" i="269" l="1"/>
  <c r="J58" i="269" s="1"/>
  <c r="J39" i="272"/>
  <c r="H20" i="267"/>
  <c r="I20" i="267" s="1"/>
  <c r="H40" i="272"/>
  <c r="J21" i="272"/>
  <c r="I49" i="241"/>
  <c r="H49" i="241"/>
  <c r="H50" i="241" s="1"/>
  <c r="J32" i="270"/>
  <c r="I247" i="330"/>
  <c r="I257" i="330" s="1"/>
  <c r="I21" i="268"/>
  <c r="I40" i="268" s="1"/>
  <c r="J40" i="268" s="1"/>
  <c r="H248" i="330"/>
  <c r="I248" i="330" s="1"/>
  <c r="J248" i="330" s="1"/>
  <c r="C32" i="172"/>
  <c r="G11" i="180"/>
  <c r="H171" i="326"/>
  <c r="H171" i="242"/>
  <c r="H171" i="335"/>
  <c r="G28" i="267"/>
  <c r="H28" i="267" s="1"/>
  <c r="I28" i="267" s="1"/>
  <c r="J39" i="268"/>
  <c r="H23" i="267"/>
  <c r="I23" i="267" s="1"/>
  <c r="G25" i="267"/>
  <c r="H25" i="267" s="1"/>
  <c r="I25" i="267" s="1"/>
  <c r="I40" i="272"/>
  <c r="J29" i="241"/>
  <c r="I256" i="330"/>
  <c r="J125" i="330"/>
  <c r="I26" i="241"/>
  <c r="J6" i="241"/>
  <c r="J40" i="272" l="1"/>
  <c r="J49" i="241"/>
  <c r="J21" i="268"/>
  <c r="J247" i="330"/>
  <c r="G12" i="180"/>
  <c r="C33" i="172"/>
  <c r="J26" i="241"/>
  <c r="I50" i="241"/>
  <c r="J50" i="241" s="1"/>
  <c r="C34" i="172" l="1"/>
  <c r="G13" i="180"/>
  <c r="G14" i="180" l="1"/>
  <c r="C35" i="172"/>
  <c r="C36" i="172" l="1"/>
  <c r="G15" i="180"/>
  <c r="G16" i="180" l="1"/>
  <c r="C37" i="172"/>
  <c r="C38" i="172" l="1"/>
  <c r="G17" i="180"/>
  <c r="C39" i="172" s="1"/>
</calcChain>
</file>

<file path=xl/sharedStrings.xml><?xml version="1.0" encoding="utf-8"?>
<sst xmlns="http://schemas.openxmlformats.org/spreadsheetml/2006/main" count="3002" uniqueCount="1484">
  <si>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</si>
  <si>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</si>
  <si>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</si>
  <si>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</si>
  <si>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</si>
  <si>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</si>
  <si>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</si>
  <si>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</si>
  <si>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</si>
  <si>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</si>
  <si>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</si>
  <si>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</si>
  <si>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</si>
  <si>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</si>
  <si>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</si>
  <si>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</si>
  <si>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</si>
  <si>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</si>
  <si>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</si>
  <si>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</si>
  <si>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</si>
  <si>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</si>
  <si>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</si>
  <si>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</si>
  <si>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</si>
  <si>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</si>
  <si>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</si>
  <si>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</si>
  <si>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</si>
  <si>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</si>
  <si>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</si>
  <si>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</si>
  <si>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</si>
  <si>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</si>
  <si>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</si>
  <si>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</si>
  <si>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</si>
  <si>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</si>
  <si>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</si>
  <si>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</si>
  <si>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</si>
  <si>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</si>
  <si>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</si>
  <si>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</si>
  <si>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</si>
  <si>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</si>
  <si>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</si>
  <si>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</si>
  <si>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</si>
  <si>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</si>
  <si>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</si>
  <si>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</si>
  <si>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</si>
  <si>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</si>
  <si>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</si>
  <si>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</si>
  <si>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</si>
  <si>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</si>
  <si>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</si>
  <si>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</si>
  <si>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</si>
  <si>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</si>
  <si>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</si>
  <si>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</si>
  <si>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</si>
  <si>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</si>
  <si>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</si>
  <si>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</si>
  <si>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</si>
  <si>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</si>
  <si>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</si>
  <si>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</si>
  <si>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</si>
  <si>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</si>
  <si>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</si>
  <si>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</si>
  <si>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</si>
  <si>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</si>
  <si>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</si>
  <si>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</si>
  <si>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</si>
  <si>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</si>
  <si>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</si>
  <si>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</si>
  <si>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</si>
  <si>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</si>
  <si>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</si>
  <si>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</si>
  <si>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</si>
  <si>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</si>
  <si>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</si>
  <si>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</si>
  <si>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</si>
  <si>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</si>
  <si>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</si>
  <si>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</si>
  <si>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</si>
  <si>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</si>
  <si>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</si>
  <si>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</si>
  <si>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</si>
  <si>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</si>
  <si>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</si>
  <si>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</si>
  <si>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</si>
  <si>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</si>
  <si>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</si>
  <si>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</si>
  <si>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</si>
  <si>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</si>
  <si>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</si>
  <si>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</si>
  <si>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</si>
  <si>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</si>
  <si>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</si>
  <si>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</si>
  <si>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</si>
  <si>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</si>
  <si>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</si>
  <si>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</si>
  <si>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</si>
  <si>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</si>
  <si>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</si>
  <si>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</si>
  <si>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</si>
  <si>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</si>
  <si>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</si>
  <si>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</si>
  <si>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</si>
  <si>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</si>
  <si>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</si>
  <si>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</si>
  <si>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</si>
  <si>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</si>
  <si>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</si>
  <si>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</si>
  <si>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</si>
  <si>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</si>
  <si>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</si>
  <si>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</si>
  <si>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</si>
  <si>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</si>
  <si>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</si>
  <si>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</si>
  <si>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</si>
  <si>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</si>
  <si>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</si>
  <si>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</si>
  <si>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</si>
  <si>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</si>
  <si>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</si>
  <si>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</si>
  <si>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</si>
  <si>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</si>
  <si>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</si>
  <si>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</si>
  <si>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</si>
  <si>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</si>
  <si>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</si>
  <si>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</si>
  <si>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</si>
  <si>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</si>
  <si>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</si>
  <si>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</si>
  <si>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</si>
  <si>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</si>
  <si>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</si>
  <si>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</si>
  <si>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</si>
  <si>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</si>
  <si>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</si>
  <si>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</si>
  <si>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</si>
  <si>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</si>
  <si>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</si>
  <si>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</si>
  <si>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</si>
  <si>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</si>
  <si>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</si>
  <si>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</si>
  <si>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</si>
  <si>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</si>
  <si>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</si>
  <si>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</si>
  <si>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</si>
  <si>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</si>
  <si>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</si>
  <si>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</si>
  <si>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</si>
  <si>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</si>
  <si>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</si>
  <si>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</si>
  <si>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</si>
  <si>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</si>
  <si>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</si>
  <si>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</si>
  <si>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</si>
  <si>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</si>
  <si>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</si>
  <si>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</si>
  <si>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</si>
  <si>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</si>
  <si>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</si>
  <si>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</si>
  <si>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</si>
  <si>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</si>
  <si>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</si>
  <si>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</si>
  <si>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</si>
  <si>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</si>
  <si>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</si>
  <si>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</si>
  <si>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</si>
  <si>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</si>
  <si>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</si>
  <si>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</si>
  <si>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</si>
  <si>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</si>
  <si>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</si>
  <si>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</si>
  <si>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</si>
  <si>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</si>
  <si>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</si>
  <si>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</si>
  <si>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</si>
  <si>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</si>
  <si>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</si>
  <si>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</si>
  <si>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</si>
  <si>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</si>
  <si>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</si>
  <si>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</si>
  <si>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</si>
  <si>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</si>
  <si>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</si>
  <si>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</si>
  <si>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</si>
  <si>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</si>
  <si>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</si>
  <si>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</si>
  <si>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</si>
  <si>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</si>
  <si>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</si>
  <si>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</si>
  <si>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</si>
  <si>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</si>
  <si>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</si>
  <si>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</si>
  <si>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</si>
  <si>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</si>
  <si>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</si>
  <si>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</si>
  <si>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</si>
  <si>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</si>
  <si>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</si>
  <si>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</si>
  <si>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</si>
  <si>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</si>
  <si>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</si>
  <si>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</si>
  <si>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</si>
  <si>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</si>
  <si>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</si>
  <si>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</si>
  <si>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</si>
  <si>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</si>
  <si>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</si>
  <si>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</si>
  <si>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</si>
  <si>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</si>
  <si>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</si>
  <si>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</si>
  <si>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</si>
  <si>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</si>
  <si>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</si>
  <si>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</si>
  <si>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</si>
  <si>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</si>
  <si>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</si>
  <si>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</si>
  <si>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</si>
  <si>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</si>
  <si>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</si>
  <si>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</si>
  <si>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</si>
  <si>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</si>
  <si>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</si>
  <si>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</si>
  <si>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</si>
  <si>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</si>
  <si>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</si>
  <si>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</si>
  <si>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</si>
  <si>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</si>
  <si>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</si>
  <si>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</si>
  <si>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</si>
  <si>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</si>
  <si>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</si>
  <si>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</si>
  <si>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</si>
  <si>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</si>
  <si>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</si>
  <si>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</si>
  <si>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</si>
  <si>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</si>
  <si>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</si>
  <si>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</si>
  <si>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</si>
  <si>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</si>
  <si>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</si>
  <si>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</si>
  <si>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</si>
  <si>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</si>
  <si>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</si>
  <si>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</si>
  <si>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</si>
  <si>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</si>
  <si>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</si>
  <si>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</si>
  <si>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</si>
  <si>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</si>
  <si>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</si>
  <si>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</si>
  <si>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</si>
  <si>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</si>
  <si>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</si>
  <si>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</si>
  <si>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</si>
  <si>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</si>
  <si>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</si>
  <si>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</si>
  <si>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</si>
  <si>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</si>
  <si>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</si>
  <si>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</si>
  <si>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</si>
  <si>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</si>
  <si>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</si>
  <si>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</si>
  <si>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</si>
  <si>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</si>
  <si>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</si>
  <si>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</si>
  <si>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</si>
  <si>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</si>
  <si>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</si>
  <si>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</si>
  <si>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</si>
  <si>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</si>
  <si>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</si>
  <si>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</si>
  <si>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</si>
  <si>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</si>
  <si>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</si>
  <si>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</si>
  <si>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</si>
  <si>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</si>
  <si>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</si>
  <si>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</si>
  <si>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</si>
  <si>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</si>
  <si>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</si>
  <si>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</si>
  <si>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</si>
  <si>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</si>
  <si>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</si>
  <si>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</si>
  <si>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</si>
  <si>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</si>
  <si>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</si>
  <si>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</si>
  <si>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</si>
  <si>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</si>
  <si>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</si>
  <si>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</si>
  <si>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</si>
  <si>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</si>
  <si>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</si>
  <si>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</si>
  <si>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</si>
  <si>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</si>
  <si>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</si>
  <si>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</si>
  <si>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</si>
  <si>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</si>
  <si>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</si>
  <si>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</si>
  <si>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</si>
  <si>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</si>
  <si>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</si>
  <si>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</si>
  <si>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</si>
  <si>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</si>
  <si>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</si>
  <si>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</si>
  <si>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</si>
  <si>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</si>
  <si>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</si>
  <si>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</si>
  <si>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</si>
  <si>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</si>
  <si>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</si>
  <si>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</si>
  <si>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</si>
  <si>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</si>
  <si>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</si>
  <si>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</si>
  <si>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</si>
  <si>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</si>
  <si>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</si>
  <si>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</si>
  <si>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</si>
  <si>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</si>
  <si>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</si>
  <si>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</si>
  <si>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</si>
  <si>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</si>
  <si>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</si>
  <si>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</si>
  <si>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</si>
  <si>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</si>
  <si>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</si>
  <si>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</si>
  <si>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</si>
  <si>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</si>
  <si>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</si>
  <si>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</si>
  <si>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</si>
  <si>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</si>
  <si>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</si>
  <si>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</si>
  <si>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</si>
  <si>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</si>
  <si>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</si>
  <si>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</si>
  <si>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</si>
  <si>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</si>
  <si>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</si>
  <si>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</si>
  <si>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</si>
  <si>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</si>
  <si>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</si>
  <si>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</si>
  <si>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</si>
  <si>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</si>
  <si>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</si>
  <si>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</si>
  <si>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</si>
  <si>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</si>
  <si>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</si>
  <si>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</si>
  <si>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</si>
  <si>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</si>
  <si>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</si>
  <si>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</si>
  <si>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</si>
  <si>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</si>
  <si>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</si>
  <si>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</si>
  <si>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</si>
  <si>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</si>
  <si>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</si>
  <si>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</si>
  <si>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</si>
  <si>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</si>
  <si>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</si>
  <si>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</si>
  <si>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</si>
  <si>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</si>
  <si>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</si>
  <si>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</si>
  <si>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</si>
  <si>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</si>
  <si>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</si>
  <si>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</si>
  <si>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</si>
  <si>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</si>
  <si>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</si>
  <si>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</si>
  <si>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</si>
  <si>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</si>
  <si>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</si>
  <si>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</si>
  <si>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</si>
  <si>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</si>
  <si>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</si>
  <si>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</si>
  <si>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</si>
  <si>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</si>
  <si>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</si>
  <si>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</si>
  <si>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</si>
  <si>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</si>
  <si>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</si>
  <si>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</si>
  <si>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</si>
  <si>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</si>
  <si>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</si>
  <si>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</si>
  <si>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</si>
  <si>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</si>
  <si>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</si>
  <si>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</si>
  <si>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</si>
  <si>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</si>
  <si>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</si>
  <si>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</si>
  <si>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</si>
  <si>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</si>
  <si>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</si>
  <si>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</si>
  <si>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</si>
  <si>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</si>
  <si>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</si>
  <si>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</si>
  <si>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</si>
  <si>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</si>
  <si>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</si>
  <si>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</si>
  <si>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</si>
  <si>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</si>
  <si>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</si>
  <si>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</si>
  <si>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</si>
  <si>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</si>
  <si>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</si>
  <si>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</si>
  <si>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</si>
  <si>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</si>
  <si>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</si>
  <si>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</si>
  <si>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</si>
  <si>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</si>
  <si>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</si>
  <si>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</si>
  <si>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</si>
  <si>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</si>
  <si>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</si>
  <si>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</si>
  <si>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</si>
  <si>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</si>
  <si>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</si>
  <si>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</si>
  <si>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</si>
  <si>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</si>
  <si>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</si>
  <si>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</si>
  <si>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</si>
  <si>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</si>
  <si>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</si>
  <si>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</si>
  <si>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</si>
  <si>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</si>
  <si>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</si>
  <si>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</si>
  <si>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</si>
  <si>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</si>
  <si>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</si>
  <si>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</si>
  <si>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</si>
  <si>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</si>
  <si>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</si>
  <si>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</si>
  <si>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</si>
  <si>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</si>
  <si>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</si>
  <si>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</si>
  <si>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</si>
  <si>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</si>
  <si>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</si>
  <si>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</si>
  <si>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</si>
  <si>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</si>
  <si>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</si>
  <si>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</si>
  <si>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</si>
  <si>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</si>
  <si>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</si>
  <si>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</si>
  <si>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</si>
  <si>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</si>
  <si>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</si>
  <si>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</si>
  <si>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</si>
  <si>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</si>
  <si>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</si>
  <si>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</si>
  <si>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</si>
  <si>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</si>
  <si>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</si>
  <si>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</si>
  <si>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</si>
  <si>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</si>
  <si>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</si>
  <si>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</si>
  <si>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</si>
  <si>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</si>
  <si>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</si>
  <si>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</si>
  <si>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</si>
  <si>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</si>
  <si>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</si>
  <si>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</si>
  <si>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</si>
  <si>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</si>
  <si>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</si>
  <si>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</si>
  <si>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</si>
  <si>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</si>
  <si>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</si>
  <si>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</si>
  <si>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</si>
  <si>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</si>
  <si>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</si>
  <si>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</si>
  <si>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</si>
  <si>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</si>
  <si>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</si>
  <si>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</si>
  <si>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</si>
  <si>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</si>
  <si>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</si>
  <si>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</si>
  <si>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</si>
  <si>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</si>
  <si>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</si>
  <si>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</si>
  <si>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</si>
  <si>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</si>
  <si>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</si>
  <si>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</si>
  <si>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</si>
  <si>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</si>
  <si>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</si>
  <si>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</si>
  <si>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</si>
  <si>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</si>
  <si>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</si>
  <si>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</si>
  <si>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</si>
  <si>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</si>
  <si>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</si>
  <si>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</si>
  <si>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</si>
  <si>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</si>
  <si>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</si>
  <si>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</si>
  <si>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</si>
  <si>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</si>
  <si>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</si>
  <si>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</si>
  <si>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</si>
  <si>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</si>
  <si>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</si>
  <si>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</si>
  <si>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</si>
  <si>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</si>
  <si>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</si>
  <si>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</si>
  <si>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</si>
  <si>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</si>
  <si>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</si>
  <si>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</si>
  <si>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</si>
  <si>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</si>
  <si>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</si>
  <si>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</si>
  <si>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</si>
  <si>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</si>
  <si>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</si>
  <si>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</si>
  <si>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</si>
  <si>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</si>
  <si>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</si>
  <si>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</si>
  <si>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</si>
  <si>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</si>
  <si>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</si>
  <si>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</si>
  <si>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</si>
  <si>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</si>
  <si>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</si>
  <si>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</si>
  <si>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</si>
  <si>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</si>
  <si>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</si>
  <si>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</si>
  <si>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</si>
  <si>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</si>
  <si>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</si>
  <si>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</si>
  <si>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</si>
  <si>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</si>
  <si>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</si>
  <si>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</si>
  <si>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</si>
  <si>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</si>
  <si>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</si>
  <si>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</si>
  <si>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</si>
  <si>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</si>
  <si>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</si>
  <si>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</si>
  <si>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</si>
  <si>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</si>
  <si>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</si>
  <si>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</si>
  <si>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</si>
  <si>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</si>
  <si>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</si>
  <si>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</si>
  <si>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</si>
  <si>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</si>
  <si>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</si>
  <si>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</si>
  <si>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</si>
  <si>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</si>
  <si>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</si>
  <si>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</si>
  <si>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</si>
  <si>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</si>
  <si>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</si>
  <si>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</si>
  <si>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</si>
  <si>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</si>
  <si>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</si>
  <si>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</si>
  <si>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</si>
  <si>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</si>
  <si>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</si>
  <si>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</si>
  <si>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</si>
  <si>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</si>
  <si>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</si>
  <si>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</si>
  <si>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</si>
  <si>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</si>
  <si>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</si>
  <si>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</si>
  <si>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</si>
  <si>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</si>
  <si>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</si>
  <si>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</si>
  <si>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</si>
  <si>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</si>
  <si>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</si>
  <si>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</si>
  <si>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</si>
  <si>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</si>
  <si>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</si>
  <si>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</si>
  <si>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</si>
  <si>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</si>
  <si>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</si>
  <si>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</si>
  <si>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</si>
  <si>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</si>
  <si>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</si>
  <si>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</si>
  <si>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</si>
  <si>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</si>
  <si>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</si>
  <si>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</si>
  <si>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</si>
  <si>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</si>
  <si>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</si>
  <si>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</si>
  <si>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</si>
  <si>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</si>
  <si>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</si>
  <si>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</si>
  <si>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</si>
  <si>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</si>
  <si>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</si>
  <si>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</si>
  <si>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</si>
  <si>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</si>
  <si>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</si>
  <si>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</si>
  <si>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</si>
  <si>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</si>
  <si>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</si>
  <si>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</si>
  <si>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</si>
  <si>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</si>
  <si>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</si>
  <si>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</si>
  <si>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</si>
  <si>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</si>
  <si>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</si>
  <si>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</si>
  <si>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</si>
  <si>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</si>
  <si>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</si>
  <si>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</si>
  <si>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</si>
  <si>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</si>
  <si>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</si>
  <si>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</si>
  <si>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</si>
  <si>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</si>
  <si>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</si>
  <si>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</si>
  <si>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</si>
  <si>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</si>
  <si>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</si>
  <si>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</si>
  <si>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</si>
  <si>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</si>
  <si>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</si>
  <si>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</si>
  <si>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</si>
  <si>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</si>
  <si>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</si>
  <si>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</si>
  <si>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</si>
  <si>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</si>
  <si>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</si>
  <si>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</si>
  <si>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</si>
  <si>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</si>
  <si>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</si>
  <si>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</si>
  <si>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</si>
  <si>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</si>
  <si>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</si>
  <si>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</si>
  <si>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</si>
  <si>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</si>
  <si>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</si>
  <si>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</si>
  <si>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</si>
  <si>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</si>
  <si>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</si>
  <si>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</si>
  <si>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</si>
  <si>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</si>
  <si>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</si>
  <si>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</si>
  <si>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</si>
  <si>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</si>
  <si>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</si>
  <si>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</si>
  <si>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</si>
  <si>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</si>
  <si>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</si>
  <si>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</si>
  <si>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</si>
  <si>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</si>
  <si>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</si>
  <si>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</si>
  <si>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</si>
  <si>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</si>
  <si>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</si>
  <si>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</si>
  <si>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</si>
  <si>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</si>
  <si>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</si>
  <si>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</si>
  <si>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</si>
  <si>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</si>
  <si>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</si>
  <si>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</si>
  <si>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</si>
  <si>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</si>
  <si>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</si>
  <si>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</si>
  <si>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</si>
  <si>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</si>
  <si>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</si>
  <si>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</si>
  <si>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</si>
  <si>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</si>
  <si>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</si>
  <si>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</si>
  <si>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</si>
  <si>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</si>
  <si>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</si>
  <si>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</si>
  <si>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</si>
  <si>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</si>
  <si>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</si>
  <si>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</si>
  <si>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</si>
  <si>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</si>
  <si>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</si>
  <si>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</si>
  <si>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</si>
  <si>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</si>
  <si>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</si>
  <si>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</si>
  <si>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</si>
  <si>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</si>
  <si>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</si>
  <si>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</si>
  <si>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</si>
  <si>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</si>
  <si>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</si>
  <si>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</si>
  <si>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</si>
  <si>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</si>
  <si>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</si>
  <si>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</si>
  <si>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</si>
  <si>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</si>
  <si>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</si>
  <si>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</si>
  <si>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</si>
  <si>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</si>
  <si>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</si>
  <si>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</si>
  <si>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</si>
  <si>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</si>
  <si>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</si>
  <si>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</si>
  <si>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</si>
  <si>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</si>
  <si>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</si>
  <si>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</si>
  <si>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</si>
  <si>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</si>
  <si>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</si>
  <si>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</si>
  <si>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</si>
  <si>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</si>
  <si>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</si>
  <si>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</si>
  <si>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</si>
  <si>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</si>
  <si>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</si>
  <si>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</si>
  <si>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</si>
  <si>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</si>
  <si>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</si>
  <si>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</si>
  <si>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</si>
  <si>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</si>
  <si>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</si>
  <si>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</si>
  <si>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</si>
  <si>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</si>
  <si>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</si>
  <si>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</si>
  <si>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</si>
  <si>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</si>
  <si>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</si>
  <si>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</si>
  <si>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</si>
  <si>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</si>
  <si>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</si>
  <si>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</si>
  <si>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</si>
  <si>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</si>
  <si>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</si>
  <si>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</si>
  <si>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</si>
  <si>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</si>
  <si>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</si>
  <si>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</si>
  <si>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</si>
  <si>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</si>
  <si>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</si>
  <si>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</si>
  <si>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</si>
  <si>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</si>
  <si>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</si>
  <si>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</si>
  <si>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</si>
  <si>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</si>
  <si>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</si>
  <si>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</si>
  <si>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</si>
  <si>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</si>
  <si>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</si>
  <si>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</si>
  <si>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</si>
  <si>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</si>
  <si>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</si>
  <si>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</si>
  <si>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</si>
  <si>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</si>
  <si>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</si>
  <si>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</si>
  <si>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</si>
  <si>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</si>
  <si>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</si>
  <si>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</si>
  <si>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</si>
  <si>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</si>
  <si>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</si>
  <si>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</si>
  <si>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</si>
  <si>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</si>
  <si>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</si>
  <si>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</si>
  <si>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</si>
  <si>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</si>
  <si>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</si>
  <si>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</si>
  <si>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</si>
  <si>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</si>
  <si>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</si>
  <si>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</si>
  <si>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</si>
  <si>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</si>
  <si>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</si>
  <si>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</si>
  <si>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</si>
  <si>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</si>
  <si>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</si>
  <si>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</si>
  <si>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</si>
  <si>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</si>
  <si>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</si>
  <si>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</si>
  <si>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</si>
  <si>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</si>
  <si>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</si>
  <si>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</si>
  <si>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</si>
  <si>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</si>
  <si>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</si>
  <si>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</si>
  <si>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</si>
  <si>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</si>
  <si>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</si>
  <si>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</si>
  <si>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</si>
  <si>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</si>
  <si>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</si>
  <si>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</si>
  <si>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</si>
  <si>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</si>
  <si>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</si>
  <si>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</si>
  <si>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</si>
  <si>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</si>
  <si>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</si>
  <si>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</si>
  <si>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</si>
  <si>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</si>
  <si>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</si>
  <si>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</si>
  <si>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</si>
  <si>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</si>
  <si>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</si>
  <si>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</si>
  <si>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</si>
  <si>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</si>
  <si>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</si>
  <si>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</si>
  <si>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</si>
  <si>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</si>
  <si>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</si>
  <si>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</si>
  <si>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</si>
  <si>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</si>
  <si>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</si>
  <si>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</si>
  <si>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</si>
  <si>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</si>
  <si>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</si>
  <si>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</si>
  <si>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</si>
  <si>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</si>
  <si>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</si>
  <si>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</si>
  <si>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</si>
  <si>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</si>
  <si>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</si>
  <si>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</si>
  <si>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</si>
  <si>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</si>
  <si>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</si>
  <si>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</si>
  <si>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</si>
  <si>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</si>
  <si>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</si>
  <si>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</si>
  <si>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</si>
  <si>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</si>
  <si>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</si>
  <si>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</si>
  <si>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</si>
  <si>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</si>
  <si>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</si>
  <si>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</si>
  <si>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</si>
  <si>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</si>
  <si>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</si>
  <si>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</si>
  <si>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</si>
  <si>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</si>
  <si>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</si>
  <si>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</si>
  <si>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</si>
  <si>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</si>
  <si>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</si>
  <si>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</si>
  <si>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</si>
  <si>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</si>
  <si>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</si>
  <si>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</si>
  <si>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</si>
  <si>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</si>
  <si>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</si>
  <si>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</si>
  <si>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</si>
  <si>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</si>
  <si>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</si>
  <si>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</si>
  <si>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</si>
  <si>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</si>
  <si>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</si>
  <si>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</si>
  <si>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</si>
  <si>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</si>
  <si>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</si>
  <si>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</si>
  <si>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</si>
  <si>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</si>
  <si>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</si>
  <si>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</si>
  <si>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</si>
  <si>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</si>
  <si>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</si>
  <si>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</si>
  <si>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</si>
  <si>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</si>
  <si>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</si>
  <si>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</si>
  <si>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</si>
  <si>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</si>
  <si>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</si>
  <si>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</si>
  <si>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</si>
  <si>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</si>
  <si>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</si>
  <si>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</si>
  <si>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</si>
  <si>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</si>
  <si>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</si>
  <si>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</si>
  <si>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</si>
  <si>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</si>
  <si>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</si>
  <si>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</si>
  <si>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</si>
  <si>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</si>
  <si>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</si>
  <si>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</si>
  <si>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</si>
  <si>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</si>
  <si>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</si>
  <si>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</si>
  <si>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</si>
  <si>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</si>
  <si>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</si>
  <si>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</si>
  <si>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</si>
  <si>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</si>
  <si>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</si>
  <si>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</si>
  <si>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</si>
  <si>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</si>
  <si>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</si>
  <si>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</si>
  <si>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</si>
  <si>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</si>
  <si>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</si>
  <si>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</si>
  <si>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</si>
  <si>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</si>
  <si>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</si>
  <si>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</si>
  <si>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</si>
  <si>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</si>
  <si>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</si>
  <si>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</si>
  <si>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</si>
  <si>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</si>
  <si>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</si>
  <si>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</si>
  <si>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</si>
  <si>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</si>
  <si>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</si>
  <si>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</si>
  <si>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</si>
  <si>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</si>
  <si>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</si>
  <si>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</si>
  <si>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</si>
  <si>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</si>
  <si>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</si>
  <si>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</si>
  <si>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</si>
  <si>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</si>
  <si>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</si>
  <si>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</si>
  <si>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</si>
  <si>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</si>
  <si>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</si>
  <si>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</si>
  <si>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</si>
  <si>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</si>
  <si>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</si>
  <si>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</si>
  <si>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</si>
  <si>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</si>
  <si>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</si>
  <si>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</si>
  <si>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</si>
  <si>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</si>
  <si>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</si>
  <si>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</si>
  <si>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</si>
  <si>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</si>
  <si>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</si>
  <si>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</si>
  <si>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</si>
  <si>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</si>
  <si>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</si>
  <si>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</si>
  <si>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</si>
  <si>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</si>
  <si>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</si>
  <si>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</si>
  <si>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</si>
  <si>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</si>
  <si>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</si>
  <si>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</si>
  <si>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</si>
  <si>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</si>
  <si>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</si>
  <si>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</si>
  <si>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</si>
  <si>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</si>
  <si>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</si>
  <si>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</si>
  <si>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</si>
  <si>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</si>
  <si>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</si>
  <si>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</si>
  <si>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</si>
  <si>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</si>
  <si>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</si>
  <si>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</si>
  <si>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</si>
  <si>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</si>
  <si>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</si>
  <si>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</si>
  <si>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</si>
  <si>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</si>
  <si>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</si>
  <si>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</si>
  <si>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</si>
  <si>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</si>
  <si>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</si>
  <si>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</si>
  <si>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</si>
  <si>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</si>
  <si>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</si>
  <si>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</si>
  <si>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</si>
  <si>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</si>
  <si>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</si>
  <si>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</si>
  <si>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</si>
  <si>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</si>
  <si>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</si>
  <si>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</si>
  <si>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</si>
  <si>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</si>
  <si>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</si>
  <si>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</si>
  <si>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</si>
  <si>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</si>
  <si>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</si>
  <si>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</si>
  <si>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</si>
  <si>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</si>
  <si>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</si>
  <si>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</si>
  <si>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</si>
  <si>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</si>
  <si>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</si>
  <si>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</si>
  <si>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</si>
  <si>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</si>
  <si>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</si>
  <si>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</si>
  <si>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</si>
  <si>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</si>
  <si>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</si>
  <si>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</si>
  <si>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</si>
  <si>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</si>
  <si>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</si>
  <si>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</si>
  <si>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</si>
  <si>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</si>
  <si>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</si>
  <si>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</si>
  <si>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</si>
  <si>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</si>
  <si>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</si>
  <si>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</si>
  <si>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</si>
  <si>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</si>
  <si>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</si>
  <si>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</si>
  <si>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</si>
  <si>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</si>
  <si>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</si>
  <si>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</si>
  <si>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</si>
  <si>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</si>
  <si>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</si>
  <si>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</si>
  <si>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</si>
  <si>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</si>
  <si>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</si>
  <si>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</si>
  <si>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</si>
  <si>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</si>
  <si>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</si>
  <si>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</si>
  <si>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</si>
  <si>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</si>
  <si>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</si>
  <si>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</si>
  <si>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</si>
  <si>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</si>
  <si>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</si>
  <si>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</si>
  <si>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</si>
  <si>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</si>
  <si>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</si>
  <si>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</si>
  <si>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</si>
  <si>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</si>
  <si>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</si>
  <si>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</si>
  <si>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</si>
  <si>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</si>
  <si>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</si>
  <si>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</si>
  <si>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</si>
  <si>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</si>
  <si>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</si>
  <si>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</si>
  <si>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</si>
  <si>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</si>
  <si>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</si>
  <si>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</si>
  <si>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</si>
  <si>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</si>
  <si>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</si>
  <si>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</si>
  <si>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</si>
  <si>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</si>
  <si>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</si>
  <si>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</si>
  <si>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</si>
  <si>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</si>
  <si>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</si>
  <si>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</si>
  <si>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</si>
  <si>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</si>
  <si>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</si>
  <si>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</si>
  <si>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</si>
  <si>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</si>
  <si>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</si>
  <si>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</si>
  <si>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</si>
  <si>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</si>
  <si>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</si>
  <si>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</si>
  <si>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</si>
  <si>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</si>
  <si>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</si>
  <si>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</si>
  <si>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</si>
  <si>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</si>
  <si>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</si>
  <si>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</si>
  <si>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</si>
  <si>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</si>
  <si>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</si>
  <si>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</si>
  <si>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</si>
  <si>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</si>
  <si>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</si>
  <si>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</si>
  <si>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</si>
  <si>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</si>
  <si>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</si>
  <si>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</si>
  <si>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</si>
  <si>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</si>
  <si>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</si>
  <si>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</si>
  <si>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</si>
  <si>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</si>
  <si>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</si>
  <si>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</si>
  <si>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</si>
  <si>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</si>
  <si>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</si>
  <si>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</si>
  <si>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</si>
  <si>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</si>
  <si>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</si>
  <si>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</si>
  <si>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</si>
  <si>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</si>
  <si>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</si>
  <si>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</si>
  <si>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</si>
  <si>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</si>
  <si>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</si>
  <si>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</si>
  <si>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</si>
  <si>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</si>
  <si>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</si>
  <si>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</si>
  <si>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</si>
  <si>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</si>
  <si>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</si>
  <si>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</si>
  <si>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</si>
  <si>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</si>
  <si>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</si>
  <si>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</si>
  <si>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</si>
  <si>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</si>
  <si>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</si>
  <si>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</si>
  <si>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</si>
  <si>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</si>
  <si>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</si>
  <si>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</si>
  <si>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</si>
  <si>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</si>
  <si>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</si>
  <si>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</si>
  <si>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</si>
  <si>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</si>
  <si>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</si>
  <si>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</si>
  <si>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</si>
  <si>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</si>
  <si>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</si>
  <si>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</si>
  <si>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</si>
  <si>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</si>
  <si>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</si>
  <si>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</si>
  <si>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First National Bank</t>
  </si>
  <si>
    <t>Depending on the reality in the next 3 months, there may be a need to adjust estimates downwards during the adjustments budget</t>
  </si>
  <si>
    <t>No remedial action required</t>
  </si>
  <si>
    <t>Investments lower than intially budgeted, hence interest is lower</t>
  </si>
  <si>
    <t>To be adjusted downwards during the adjustment budget</t>
  </si>
  <si>
    <t>The variance is due to the decision of the DPP withdrawing the municipality's permission to issue traffic fines</t>
  </si>
  <si>
    <t>The municipality is still negotiating with the DPP</t>
  </si>
  <si>
    <t>This will self correct during the year</t>
  </si>
  <si>
    <t xml:space="preserve">Municipality has no control </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</si>
  <si>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</si>
  <si>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</si>
  <si>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</si>
  <si>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</si>
  <si>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</si>
  <si>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Repayment of external loans and interest is done three times per year.</t>
  </si>
  <si>
    <t>No remedial action is required</t>
  </si>
  <si>
    <t>Bulk Purchases is largely influenced by seasonal changes. The variance will self correct during the year</t>
  </si>
  <si>
    <t>this will be corrected in the mid year adjustment budget</t>
  </si>
  <si>
    <t>Total capital expenditure</t>
  </si>
  <si>
    <t>Various reasons have been put forward, from SCM processes to delays in approvals</t>
  </si>
  <si>
    <t>Received more revenue than projected</t>
  </si>
  <si>
    <t>To be adjusted upwards during the adjustment budget</t>
  </si>
  <si>
    <t>Other Expenditure is dependent on external events which are beyond the control of the municipality</t>
  </si>
  <si>
    <t>MUNICIPAL DISASTER RELIEF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</si>
</sst>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75">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3" xfId="0" applyFont="1" applyBorder="1" applyAlignment="1" applyProtection="1">
      <alignment horizontal="left" vertical="top" wrapText="1"/>
    </xf>
    <xf numFmtId="0" fontId="5" fillId="32" borderId="84"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3" xfId="0" applyFont="1" applyBorder="1" applyAlignment="1" applyProtection="1">
      <alignment horizontal="justify" wrapText="1"/>
    </xf>
    <xf numFmtId="0" fontId="16" fillId="0" borderId="84"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6" fillId="32" borderId="0" xfId="0" applyFont="1" applyFill="1" applyAlignment="1" applyProtection="1">
      <protection locked="0"/>
    </xf>
    <xf numFmtId="172" fontId="6" fillId="32" borderId="37" xfId="0" applyNumberFormat="1" applyFont="1" applyFill="1" applyBorder="1" applyAlignment="1" applyProtection="1">
      <alignment horizontal="center"/>
      <protection locked="0"/>
    </xf>
    <xf numFmtId="9" fontId="6" fillId="32" borderId="10" xfId="0" applyNumberFormat="1" applyFont="1" applyFill="1" applyBorder="1" applyProtection="1">
      <protection locked="0"/>
    </xf>
    <xf numFmtId="0" fontId="6" fillId="32" borderId="10" xfId="0" applyFont="1" applyFill="1" applyBorder="1" applyAlignment="1" applyProtection="1">
      <alignment wrapText="1"/>
      <protection locked="0"/>
    </xf>
    <xf numFmtId="43" fontId="6" fillId="32" borderId="36" xfId="0" applyNumberFormat="1" applyFont="1" applyFill="1" applyBorder="1" applyProtection="1">
      <protection locked="0"/>
    </xf>
    <xf numFmtId="172" fontId="7" fillId="0" borderId="30" xfId="0" applyNumberFormat="1" applyFont="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7" xfId="0" applyFont="1" applyBorder="1" applyAlignment="1" applyProtection="1">
      <alignment horizontal="justify" vertical="center" wrapText="1"/>
    </xf>
    <xf numFmtId="0" fontId="43" fillId="0" borderId="87" xfId="0" applyFont="1" applyBorder="1" applyAlignment="1">
      <alignment horizontal="justify" vertical="center" wrapText="1"/>
    </xf>
    <xf numFmtId="0" fontId="42" fillId="0" borderId="85" xfId="0" applyFont="1" applyBorder="1" applyAlignment="1" applyProtection="1">
      <alignment horizontal="justify" vertical="center"/>
    </xf>
    <xf numFmtId="0" fontId="16" fillId="0" borderId="86" xfId="0" applyFont="1" applyBorder="1" applyAlignment="1">
      <alignment horizontal="justify" vertical="center"/>
    </xf>
    <xf numFmtId="0" fontId="5" fillId="0" borderId="85" xfId="0" applyFont="1" applyBorder="1" applyAlignment="1" applyProtection="1">
      <alignment horizontal="justify" vertical="center" wrapText="1"/>
    </xf>
    <xf numFmtId="0" fontId="16" fillId="0" borderId="86" xfId="0" applyFont="1" applyBorder="1" applyAlignment="1">
      <alignment horizontal="justify" vertical="center" wrapText="1"/>
    </xf>
    <xf numFmtId="0" fontId="5" fillId="0" borderId="88" xfId="0" applyFont="1" applyBorder="1" applyAlignment="1" applyProtection="1">
      <alignment horizontal="justify" wrapText="1"/>
    </xf>
    <xf numFmtId="0" fontId="5" fillId="0" borderId="89"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89" xfId="0" applyFont="1" applyBorder="1" applyAlignment="1">
      <alignment horizontal="justify" wrapText="1"/>
    </xf>
    <xf numFmtId="0" fontId="16" fillId="0" borderId="18" xfId="0" applyFont="1" applyBorder="1" applyAlignment="1">
      <alignment horizontal="justify" wrapText="1"/>
    </xf>
    <xf numFmtId="0" fontId="42" fillId="0" borderId="85" xfId="0" applyFont="1" applyBorder="1" applyAlignment="1" applyProtection="1">
      <alignment horizontal="justify" vertical="center" wrapText="1"/>
    </xf>
    <xf numFmtId="0" fontId="42" fillId="0" borderId="86" xfId="0" applyFont="1" applyBorder="1" applyAlignment="1" applyProtection="1">
      <alignment horizontal="justify" vertical="center" wrapText="1"/>
    </xf>
    <xf numFmtId="0" fontId="5" fillId="0" borderId="86"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0"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544796088.12999988</c:v>
                </c:pt>
                <c:pt idx="1">
                  <c:v>134082105.61000001</c:v>
                </c:pt>
                <c:pt idx="2">
                  <c:v>107816829.06</c:v>
                </c:pt>
                <c:pt idx="3">
                  <c:v>104195684.89</c:v>
                </c:pt>
                <c:pt idx="4">
                  <c:v>93072838.600000009</c:v>
                </c:pt>
                <c:pt idx="5">
                  <c:v>122498073.30000001</c:v>
                </c:pt>
                <c:pt idx="6">
                  <c:v>494026774.62</c:v>
                </c:pt>
                <c:pt idx="7">
                  <c:v>2751479564.2600002</c:v>
                </c:pt>
              </c:numCache>
            </c:numRef>
          </c:val>
          <c:extLst>
            <c:ext xmlns:c16="http://schemas.microsoft.com/office/drawing/2014/chart" uri="{C3380CC4-5D6E-409C-BE32-E72D297353CC}">
              <c16:uniqueId val="{00000000-AB1B-432A-B862-C40D1AE4ED23}"/>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AB1B-432A-B862-C40D1AE4ED23}"/>
            </c:ext>
          </c:extLst>
        </c:ser>
        <c:dLbls>
          <c:showLegendKey val="0"/>
          <c:showVal val="0"/>
          <c:showCatName val="0"/>
          <c:showSerName val="0"/>
          <c:showPercent val="0"/>
          <c:showBubbleSize val="0"/>
        </c:dLbls>
        <c:gapWidth val="150"/>
        <c:shape val="box"/>
        <c:axId val="2033330400"/>
        <c:axId val="1"/>
        <c:axId val="0"/>
      </c:bar3DChart>
      <c:catAx>
        <c:axId val="20333304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03333040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639374287.71339989</c:v>
                </c:pt>
                <c:pt idx="1">
                  <c:v>199837523.72899997</c:v>
                </c:pt>
                <c:pt idx="2">
                  <c:v>3103413163.1725998</c:v>
                </c:pt>
                <c:pt idx="3">
                  <c:v>278783945.10089999</c:v>
                </c:pt>
              </c:numCache>
            </c:numRef>
          </c:val>
          <c:extLst>
            <c:ext xmlns:c16="http://schemas.microsoft.com/office/drawing/2014/chart" uri="{C3380CC4-5D6E-409C-BE32-E72D297353CC}">
              <c16:uniqueId val="{00000000-7990-4D56-9495-BDDB00776BB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659148750.21999991</c:v>
                </c:pt>
                <c:pt idx="1">
                  <c:v>206018065.69999999</c:v>
                </c:pt>
                <c:pt idx="2">
                  <c:v>3199395013.5799999</c:v>
                </c:pt>
                <c:pt idx="3">
                  <c:v>287406128.97000003</c:v>
                </c:pt>
              </c:numCache>
            </c:numRef>
          </c:val>
          <c:extLst>
            <c:ext xmlns:c16="http://schemas.microsoft.com/office/drawing/2014/chart" uri="{C3380CC4-5D6E-409C-BE32-E72D297353CC}">
              <c16:uniqueId val="{00000001-7990-4D56-9495-BDDB00776BB0}"/>
            </c:ext>
          </c:extLst>
        </c:ser>
        <c:dLbls>
          <c:showLegendKey val="0"/>
          <c:showVal val="0"/>
          <c:showCatName val="0"/>
          <c:showSerName val="0"/>
          <c:showPercent val="0"/>
          <c:showBubbleSize val="0"/>
        </c:dLbls>
        <c:gapWidth val="150"/>
        <c:shape val="box"/>
        <c:axId val="2033337472"/>
        <c:axId val="1"/>
        <c:axId val="0"/>
      </c:bar3DChart>
      <c:catAx>
        <c:axId val="20333374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333374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209470837</c:v>
                </c:pt>
                <c:pt idx="1">
                  <c:v>77149902</c:v>
                </c:pt>
                <c:pt idx="2">
                  <c:v>0</c:v>
                </c:pt>
                <c:pt idx="3">
                  <c:v>145670375</c:v>
                </c:pt>
                <c:pt idx="4">
                  <c:v>0</c:v>
                </c:pt>
                <c:pt idx="5">
                  <c:v>0</c:v>
                </c:pt>
                <c:pt idx="6">
                  <c:v>201489432</c:v>
                </c:pt>
                <c:pt idx="7">
                  <c:v>0</c:v>
                </c:pt>
                <c:pt idx="8">
                  <c:v>356936386</c:v>
                </c:pt>
              </c:numCache>
            </c:numRef>
          </c:val>
          <c:extLst>
            <c:ext xmlns:c16="http://schemas.microsoft.com/office/drawing/2014/chart" uri="{C3380CC4-5D6E-409C-BE32-E72D297353CC}">
              <c16:uniqueId val="{00000000-6265-4317-AB60-2DA70E5D288B}"/>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164560536.94999999</c:v>
                </c:pt>
                <c:pt idx="1">
                  <c:v>123702041.89</c:v>
                </c:pt>
                <c:pt idx="2">
                  <c:v>0</c:v>
                </c:pt>
                <c:pt idx="3">
                  <c:v>212743550.15000001</c:v>
                </c:pt>
                <c:pt idx="4">
                  <c:v>0</c:v>
                </c:pt>
                <c:pt idx="5">
                  <c:v>0</c:v>
                </c:pt>
                <c:pt idx="6">
                  <c:v>80150338.99000001</c:v>
                </c:pt>
                <c:pt idx="7">
                  <c:v>0</c:v>
                </c:pt>
                <c:pt idx="8">
                  <c:v>228302380.55000001</c:v>
                </c:pt>
              </c:numCache>
            </c:numRef>
          </c:val>
          <c:extLst>
            <c:ext xmlns:c16="http://schemas.microsoft.com/office/drawing/2014/chart" uri="{C3380CC4-5D6E-409C-BE32-E72D297353CC}">
              <c16:uniqueId val="{00000001-6265-4317-AB60-2DA70E5D288B}"/>
            </c:ext>
          </c:extLst>
        </c:ser>
        <c:dLbls>
          <c:showLegendKey val="0"/>
          <c:showVal val="0"/>
          <c:showCatName val="0"/>
          <c:showSerName val="0"/>
          <c:showPercent val="0"/>
          <c:showBubbleSize val="0"/>
        </c:dLbls>
        <c:gapWidth val="150"/>
        <c:shape val="box"/>
        <c:axId val="2033335808"/>
        <c:axId val="1"/>
        <c:axId val="0"/>
      </c:bar3DChart>
      <c:catAx>
        <c:axId val="20333358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580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51123878.416666664</c:v>
                </c:pt>
                <c:pt idx="1">
                  <c:v>51123878.416666664</c:v>
                </c:pt>
                <c:pt idx="2">
                  <c:v>51123878.416666664</c:v>
                </c:pt>
                <c:pt idx="3">
                  <c:v>51123878.416666664</c:v>
                </c:pt>
                <c:pt idx="4">
                  <c:v>51123878.416666664</c:v>
                </c:pt>
                <c:pt idx="5">
                  <c:v>51123878.416666664</c:v>
                </c:pt>
                <c:pt idx="6">
                  <c:v>51123878.416666664</c:v>
                </c:pt>
                <c:pt idx="7">
                  <c:v>51123878.416666664</c:v>
                </c:pt>
                <c:pt idx="8">
                  <c:v>51123878.416666664</c:v>
                </c:pt>
                <c:pt idx="9">
                  <c:v>51123878.416666664</c:v>
                </c:pt>
                <c:pt idx="10">
                  <c:v>51123878.416666664</c:v>
                </c:pt>
                <c:pt idx="11">
                  <c:v>51123878.416666664</c:v>
                </c:pt>
              </c:numCache>
            </c:numRef>
          </c:val>
          <c:extLst>
            <c:ext xmlns:c16="http://schemas.microsoft.com/office/drawing/2014/chart" uri="{C3380CC4-5D6E-409C-BE32-E72D297353CC}">
              <c16:uniqueId val="{00000000-5333-4546-93CC-CD09D42603EB}"/>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62228094.725833334</c:v>
                </c:pt>
                <c:pt idx="1">
                  <c:v>62228094.725833334</c:v>
                </c:pt>
                <c:pt idx="2">
                  <c:v>62228094.725833334</c:v>
                </c:pt>
                <c:pt idx="3">
                  <c:v>62228094.725833334</c:v>
                </c:pt>
                <c:pt idx="4">
                  <c:v>62228094.725833334</c:v>
                </c:pt>
                <c:pt idx="5">
                  <c:v>62228094.725833334</c:v>
                </c:pt>
                <c:pt idx="6">
                  <c:v>62228094.725833334</c:v>
                </c:pt>
                <c:pt idx="7">
                  <c:v>62228094.725833334</c:v>
                </c:pt>
                <c:pt idx="8">
                  <c:v>62228094.725833334</c:v>
                </c:pt>
                <c:pt idx="9">
                  <c:v>62228094.725833334</c:v>
                </c:pt>
                <c:pt idx="10">
                  <c:v>62228094.725833334</c:v>
                </c:pt>
                <c:pt idx="11">
                  <c:v>62228094.725833334</c:v>
                </c:pt>
              </c:numCache>
            </c:numRef>
          </c:val>
          <c:extLst>
            <c:ext xmlns:c16="http://schemas.microsoft.com/office/drawing/2014/chart" uri="{C3380CC4-5D6E-409C-BE32-E72D297353CC}">
              <c16:uniqueId val="{00000001-5333-4546-93CC-CD09D42603EB}"/>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5333-4546-93CC-CD09D42603EB}"/>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44802722.43</c:v>
                </c:pt>
                <c:pt idx="3">
                  <c:v>34585671.620000005</c:v>
                </c:pt>
                <c:pt idx="4">
                  <c:v>30698547.059999999</c:v>
                </c:pt>
                <c:pt idx="5">
                  <c:v>49297719.75</c:v>
                </c:pt>
                <c:pt idx="6">
                  <c:v>18669297.100000001</c:v>
                </c:pt>
                <c:pt idx="7">
                  <c:v>22500413.449999999</c:v>
                </c:pt>
                <c:pt idx="8">
                  <c:v>23150031.019999996</c:v>
                </c:pt>
                <c:pt idx="9">
                  <c:v>13147302.030000001</c:v>
                </c:pt>
                <c:pt idx="10">
                  <c:v>25696555.780000001</c:v>
                </c:pt>
                <c:pt idx="11">
                  <c:v>0</c:v>
                </c:pt>
              </c:numCache>
            </c:numRef>
          </c:val>
          <c:extLst>
            <c:ext xmlns:c16="http://schemas.microsoft.com/office/drawing/2014/chart" uri="{C3380CC4-5D6E-409C-BE32-E72D297353CC}">
              <c16:uniqueId val="{00000003-5333-4546-93CC-CD09D42603EB}"/>
            </c:ext>
          </c:extLst>
        </c:ser>
        <c:dLbls>
          <c:showLegendKey val="0"/>
          <c:showVal val="0"/>
          <c:showCatName val="0"/>
          <c:showSerName val="0"/>
          <c:showPercent val="0"/>
          <c:showBubbleSize val="0"/>
        </c:dLbls>
        <c:gapWidth val="150"/>
        <c:shape val="box"/>
        <c:axId val="2033332064"/>
        <c:axId val="1"/>
        <c:axId val="0"/>
      </c:bar3DChart>
      <c:catAx>
        <c:axId val="20333320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20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98-422D-88AA-BEE63C19DF46}"/>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6198-422D-88AA-BEE63C19DF46}"/>
            </c:ext>
          </c:extLst>
        </c:ser>
        <c:dLbls>
          <c:showLegendKey val="0"/>
          <c:showVal val="0"/>
          <c:showCatName val="0"/>
          <c:showSerName val="0"/>
          <c:showPercent val="0"/>
          <c:showBubbleSize val="0"/>
        </c:dLbls>
        <c:gapWidth val="150"/>
        <c:shape val="box"/>
        <c:axId val="1933418304"/>
        <c:axId val="1"/>
        <c:axId val="0"/>
      </c:bar3DChart>
      <c:catAx>
        <c:axId val="193341830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3341830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0" val="8"/>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6595" name="Group 28"/>
        <xdr:cNvGrpSpPr>
          <a:grpSpLocks/>
        </xdr:cNvGrpSpPr>
      </xdr:nvGrpSpPr>
      <xdr:grpSpPr bwMode="auto">
        <a:xfrm>
          <a:off x="0" y="0"/>
          <a:ext cx="8601075" cy="6400800"/>
          <a:chOff x="0" y="0"/>
          <a:chExt cx="903" cy="672"/>
        </a:xfrm>
      </xdr:grpSpPr>
      <xdr:grpSp>
        <xdr:nvGrpSpPr>
          <xdr:cNvPr id="2246597" name="Group 1"/>
          <xdr:cNvGrpSpPr>
            <a:grpSpLocks/>
          </xdr:cNvGrpSpPr>
        </xdr:nvGrpSpPr>
        <xdr:grpSpPr bwMode="auto">
          <a:xfrm>
            <a:off x="0" y="0"/>
            <a:ext cx="903" cy="672"/>
            <a:chOff x="0" y="0"/>
            <a:chExt cx="791" cy="672"/>
          </a:xfrm>
        </xdr:grpSpPr>
        <xdr:grpSp>
          <xdr:nvGrpSpPr>
            <xdr:cNvPr id="2246599" name="Group 2"/>
            <xdr:cNvGrpSpPr>
              <a:grpSpLocks/>
            </xdr:cNvGrpSpPr>
          </xdr:nvGrpSpPr>
          <xdr:grpSpPr bwMode="auto">
            <a:xfrm>
              <a:off x="0" y="0"/>
              <a:ext cx="791" cy="672"/>
              <a:chOff x="12" y="17"/>
              <a:chExt cx="791" cy="672"/>
            </a:xfrm>
          </xdr:grpSpPr>
          <xdr:pic>
            <xdr:nvPicPr>
              <xdr:cNvPr id="224660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3" name="Group 5"/>
              <xdr:cNvGrpSpPr>
                <a:grpSpLocks/>
              </xdr:cNvGrpSpPr>
            </xdr:nvGrpSpPr>
            <xdr:grpSpPr bwMode="auto">
              <a:xfrm>
                <a:off x="416" y="255"/>
                <a:ext cx="367" cy="413"/>
                <a:chOff x="416" y="255"/>
                <a:chExt cx="367" cy="413"/>
              </a:xfrm>
            </xdr:grpSpPr>
            <xdr:pic>
              <xdr:nvPicPr>
                <xdr:cNvPr id="2246608"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9" name="Group 7"/>
                <xdr:cNvGrpSpPr>
                  <a:grpSpLocks/>
                </xdr:cNvGrpSpPr>
              </xdr:nvGrpSpPr>
              <xdr:grpSpPr bwMode="auto">
                <a:xfrm>
                  <a:off x="432" y="264"/>
                  <a:ext cx="286" cy="128"/>
                  <a:chOff x="426" y="263"/>
                  <a:chExt cx="290" cy="130"/>
                </a:xfrm>
              </xdr:grpSpPr>
              <xdr:pic>
                <xdr:nvPicPr>
                  <xdr:cNvPr id="2246611"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6612"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6604" name="Group 11"/>
              <xdr:cNvGrpSpPr>
                <a:grpSpLocks/>
              </xdr:cNvGrpSpPr>
            </xdr:nvGrpSpPr>
            <xdr:grpSpPr bwMode="auto">
              <a:xfrm>
                <a:off x="76" y="364"/>
                <a:ext cx="289" cy="256"/>
                <a:chOff x="76" y="364"/>
                <a:chExt cx="289" cy="256"/>
              </a:xfrm>
            </xdr:grpSpPr>
            <xdr:pic>
              <xdr:nvPicPr>
                <xdr:cNvPr id="2246605"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6"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7"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6600"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42947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42947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429488" name="TextBox2"/>
            <xdr:cNvPicPr preferRelativeResize="0">
              <a:picLocks noChangeArrowheads="1" noChangeShapeType="1"/>
              <a:extLst>
                <a:ext uri="{84589F7E-364E-4C9E-8A38-B11213B215E9}">
                  <a14:cameraTool cellRange="FinYear" spid="_x0000_s2429648"/>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429493"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16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29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29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2928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292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292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sqref="A1:K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9" t="str">
        <f>muni&amp; " - "&amp;S71C&amp; " - "&amp;date</f>
        <v>KZN225 Msunduzi - Table C3 Consolidated Monthly Budget Statement - Financial Performance (revenue and expenditure by municipal vote)  - M10 April</v>
      </c>
      <c r="B1" s="1029"/>
      <c r="C1" s="1029"/>
      <c r="D1" s="1029"/>
      <c r="E1" s="1029"/>
      <c r="F1" s="1029"/>
      <c r="G1" s="1029"/>
      <c r="H1" s="1029"/>
      <c r="I1" s="1029"/>
      <c r="J1" s="1029"/>
      <c r="K1" s="1029"/>
    </row>
    <row r="2" spans="1:24" x14ac:dyDescent="0.25">
      <c r="A2" s="20" t="str">
        <f>Vdesc</f>
        <v>Vote Description</v>
      </c>
      <c r="B2" s="1020" t="str">
        <f>head27</f>
        <v>Ref</v>
      </c>
      <c r="C2" s="142" t="str">
        <f>Head1</f>
        <v>2018/19</v>
      </c>
      <c r="D2" s="1022" t="str">
        <f>Head2</f>
        <v>Budget Year 2019/20</v>
      </c>
      <c r="E2" s="1023"/>
      <c r="F2" s="1023"/>
      <c r="G2" s="1023"/>
      <c r="H2" s="1023"/>
      <c r="I2" s="1023"/>
      <c r="J2" s="1023"/>
      <c r="K2" s="1024"/>
    </row>
    <row r="3" spans="1:24" ht="25.5" x14ac:dyDescent="0.25">
      <c r="A3" s="168"/>
      <c r="B3" s="1031"/>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2"/>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0</v>
      </c>
      <c r="G6" s="44">
        <f>'C3C'!G6</f>
        <v>0</v>
      </c>
      <c r="H6" s="44">
        <f>'C3C'!H6</f>
        <v>52219.31</v>
      </c>
      <c r="I6" s="44">
        <f>G6-H6</f>
        <v>-52219.31</v>
      </c>
      <c r="J6" s="716">
        <f>IF(I6=0,"",I6/H6)</f>
        <v>-1</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1777245066.1861629</v>
      </c>
      <c r="E7" s="44">
        <f>'C3C'!E17</f>
        <v>1777349684.1599998</v>
      </c>
      <c r="F7" s="44">
        <f>'C3C'!F17</f>
        <v>115495538.75</v>
      </c>
      <c r="G7" s="44">
        <f>'C3C'!G17</f>
        <v>1535866186.0199997</v>
      </c>
      <c r="H7" s="44">
        <f>'C3C'!H17</f>
        <v>1629237210.4799998</v>
      </c>
      <c r="I7" s="44">
        <f t="shared" ref="I7:I20" si="0">G7-H7</f>
        <v>-93371024.460000038</v>
      </c>
      <c r="J7" s="716">
        <f t="shared" ref="J7:J21" si="1">IF(I7=0,"",I7/H7)</f>
        <v>-5.7309656236301784E-2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14346769.84</v>
      </c>
      <c r="G8" s="44">
        <f>'C3C'!G28</f>
        <v>157615135.93000001</v>
      </c>
      <c r="H8" s="44">
        <f>'C3C'!H28</f>
        <v>201824947.01416665</v>
      </c>
      <c r="I8" s="44">
        <f t="shared" si="0"/>
        <v>-44209811.084166646</v>
      </c>
      <c r="J8" s="716">
        <f t="shared" si="1"/>
        <v>-0.21905027965181845</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1558436.49</v>
      </c>
      <c r="G9" s="44">
        <f>'C3C'!G39</f>
        <v>6353233.0499999998</v>
      </c>
      <c r="H9" s="44">
        <f>'C3C'!H39</f>
        <v>5996649.7249999996</v>
      </c>
      <c r="I9" s="44">
        <f t="shared" si="0"/>
        <v>356583.32500000019</v>
      </c>
      <c r="J9" s="716">
        <f t="shared" si="1"/>
        <v>5.9463757490020849E-2</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278380671.63999999</v>
      </c>
      <c r="G10" s="44">
        <f>'C3C'!G50</f>
        <v>3596970064.8100004</v>
      </c>
      <c r="H10" s="44">
        <f>'C3C'!H50</f>
        <v>3835052174.6808329</v>
      </c>
      <c r="I10" s="44">
        <f t="shared" si="0"/>
        <v>-238082109.87083244</v>
      </c>
      <c r="J10" s="716">
        <f t="shared" si="1"/>
        <v>-6.2080539983956413E-2</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414781372.18000001</v>
      </c>
      <c r="F11" s="44">
        <f>'C3C'!F61</f>
        <v>4135921.1</v>
      </c>
      <c r="G11" s="44">
        <f>'C3C'!G61</f>
        <v>121723794.90000001</v>
      </c>
      <c r="H11" s="44">
        <f>'C3C'!H61</f>
        <v>380216257.83166665</v>
      </c>
      <c r="I11" s="44">
        <f t="shared" si="0"/>
        <v>-258492462.93166664</v>
      </c>
      <c r="J11" s="716">
        <f t="shared" si="1"/>
        <v>-0.67985641751834069</v>
      </c>
      <c r="K11" s="144">
        <f>'C3C'!K61</f>
        <v>414781372.18000001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6351937471.4078617</v>
      </c>
      <c r="E21" s="73">
        <f t="shared" si="2"/>
        <v>6602595773.5</v>
      </c>
      <c r="F21" s="73">
        <f t="shared" si="2"/>
        <v>413917337.81999999</v>
      </c>
      <c r="G21" s="73">
        <f t="shared" si="2"/>
        <v>5418528414.71</v>
      </c>
      <c r="H21" s="73">
        <f t="shared" si="2"/>
        <v>6052379459.041666</v>
      </c>
      <c r="I21" s="73">
        <f t="shared" si="2"/>
        <v>-633851044.33166575</v>
      </c>
      <c r="J21" s="717">
        <f t="shared" si="1"/>
        <v>-0.10472757840468082</v>
      </c>
      <c r="K21" s="145">
        <f>SUM(K6:K20)</f>
        <v>6602595773.5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10565837.359999994</v>
      </c>
      <c r="G24" s="44">
        <f>'C3C'!G174</f>
        <v>137457388.03999999</v>
      </c>
      <c r="H24" s="44">
        <f>'C3C'!H174</f>
        <v>160880144.81916669</v>
      </c>
      <c r="I24" s="44">
        <f t="shared" ref="I24:I38" si="3">G24-H24</f>
        <v>-23422756.779166698</v>
      </c>
      <c r="J24" s="716">
        <f t="shared" ref="J24:J29" si="4">IF(I24=0,"",I24/H24)</f>
        <v>-0.1455913456908835</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-187209242.98999992</v>
      </c>
      <c r="G25" s="44">
        <f>'C3C'!G185</f>
        <v>103010275.14999995</v>
      </c>
      <c r="H25" s="44">
        <f>'C3C'!H185</f>
        <v>615042547.41416693</v>
      </c>
      <c r="I25" s="44">
        <f t="shared" si="3"/>
        <v>-512032272.26416695</v>
      </c>
      <c r="J25" s="716">
        <f t="shared" si="4"/>
        <v>-0.83251520470723905</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40512010.399999999</v>
      </c>
      <c r="G26" s="44">
        <f>'C3C'!G196</f>
        <v>652880237.04999971</v>
      </c>
      <c r="H26" s="44">
        <f>'C3C'!H196</f>
        <v>648802410.99666643</v>
      </c>
      <c r="I26" s="44">
        <f t="shared" si="3"/>
        <v>4077826.0533332825</v>
      </c>
      <c r="J26" s="716">
        <f t="shared" si="4"/>
        <v>6.2851586002417529E-3</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10986804.98</v>
      </c>
      <c r="G27" s="44">
        <f>'C3C'!G207</f>
        <v>140731788.38999999</v>
      </c>
      <c r="H27" s="44">
        <f>'C3C'!H207</f>
        <v>268696294.78083318</v>
      </c>
      <c r="I27" s="44">
        <f t="shared" si="3"/>
        <v>-127964506.3908332</v>
      </c>
      <c r="J27" s="716">
        <f t="shared" si="4"/>
        <v>-0.47624216960345389</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-458990251.95999998</v>
      </c>
      <c r="G28" s="44">
        <f>'C3C'!G218</f>
        <v>2545849085.8500013</v>
      </c>
      <c r="H28" s="44">
        <f>'C3C'!H218</f>
        <v>3112572211.8333344</v>
      </c>
      <c r="I28" s="44">
        <f t="shared" si="3"/>
        <v>-566723125.98333311</v>
      </c>
      <c r="J28" s="716">
        <f t="shared" si="4"/>
        <v>-0.18207549493270322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283275916.34000081</v>
      </c>
      <c r="E29" s="44">
        <f>'C3C'!E229</f>
        <v>297162690.43000007</v>
      </c>
      <c r="F29" s="44">
        <f>'C3C'!F229</f>
        <v>17321224.670000006</v>
      </c>
      <c r="G29" s="44">
        <f>'C3C'!G229</f>
        <v>189381912.83999994</v>
      </c>
      <c r="H29" s="44">
        <f>'C3C'!H229</f>
        <v>272399132.89416671</v>
      </c>
      <c r="I29" s="44">
        <f t="shared" si="3"/>
        <v>-83017220.054166764</v>
      </c>
      <c r="J29" s="716">
        <f t="shared" si="4"/>
        <v>-0.30476315828222866</v>
      </c>
      <c r="K29" s="144">
        <f>'C3C'!K229</f>
        <v>297162690.43000007</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5636479723.2493496</v>
      </c>
      <c r="E39" s="430">
        <f t="shared" si="6"/>
        <v>5540064810.2600021</v>
      </c>
      <c r="F39" s="430">
        <f t="shared" si="6"/>
        <v>-566813617.53999996</v>
      </c>
      <c r="G39" s="430">
        <f t="shared" si="6"/>
        <v>3769310687.3200011</v>
      </c>
      <c r="H39" s="430">
        <f t="shared" si="6"/>
        <v>5078392742.7383347</v>
      </c>
      <c r="I39" s="430">
        <f t="shared" si="6"/>
        <v>-1309082055.4183335</v>
      </c>
      <c r="J39" s="719">
        <f>IF(I39=0,"",I39/H39)</f>
        <v>-0.25777487518865261</v>
      </c>
      <c r="K39" s="513">
        <f>SUM(K24:K38)</f>
        <v>5540064810.2600021</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715457748.15851212</v>
      </c>
      <c r="E40" s="55">
        <f t="shared" si="7"/>
        <v>1062530963.2399979</v>
      </c>
      <c r="F40" s="55">
        <f t="shared" si="7"/>
        <v>980730955.3599999</v>
      </c>
      <c r="G40" s="55">
        <f t="shared" si="7"/>
        <v>1649217727.3899989</v>
      </c>
      <c r="H40" s="55">
        <f t="shared" si="7"/>
        <v>973986716.30333138</v>
      </c>
      <c r="I40" s="55">
        <f>I21-I39</f>
        <v>675231011.08666778</v>
      </c>
      <c r="J40" s="720">
        <f>IF(I40=0,"",I40/H40)</f>
        <v>0.69326511315209638</v>
      </c>
      <c r="K40" s="235">
        <f>K21-K39</f>
        <v>1062530963.2399979</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218" activePane="bottomRight" state="frozen"/>
      <selection pane="topRight"/>
      <selection pane="bottomLeft"/>
      <selection pane="bottomRight" activeCell="Y219" sqref="Y219"/>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Consolidated Monthly Budget Statement - Financial Performance (revenue and expenditure by municipal vote)  - A - M10 April</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2" t="str">
        <f>Head2</f>
        <v>Budget Year 2019/20</v>
      </c>
      <c r="E2" s="1023"/>
      <c r="F2" s="1023"/>
      <c r="G2" s="1023"/>
      <c r="H2" s="1023"/>
      <c r="I2" s="1023"/>
      <c r="J2" s="1023"/>
      <c r="K2" s="1024"/>
      <c r="L2" s="1033" t="e">
        <f>Head4</f>
        <v>#REF!</v>
      </c>
      <c r="M2" s="1034"/>
      <c r="N2" s="1034"/>
      <c r="O2" s="1034"/>
      <c r="P2" s="1034"/>
      <c r="Q2" s="1034"/>
      <c r="R2" s="1034"/>
      <c r="S2" s="1034"/>
      <c r="T2" s="1034"/>
      <c r="U2" s="1034"/>
      <c r="V2" s="1034"/>
      <c r="W2" s="1035"/>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0</v>
      </c>
      <c r="G6" s="441">
        <f t="shared" si="0"/>
        <v>0</v>
      </c>
      <c r="H6" s="443">
        <f t="shared" si="0"/>
        <v>52219.31</v>
      </c>
      <c r="I6" s="44">
        <f t="shared" ref="I6:I69" si="1">G6-H6</f>
        <v>-52219.31</v>
      </c>
      <c r="J6" s="330">
        <f t="shared" ref="J6:J69" si="2">IF(I6=0,"",I6/H6)</f>
        <v>-1</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c r="G8" s="742"/>
      <c r="H8" s="743">
        <f>E8/12*11</f>
        <v>52219.31</v>
      </c>
      <c r="I8" s="44">
        <f t="shared" si="1"/>
        <v>-52219.31</v>
      </c>
      <c r="J8" s="330">
        <f t="shared" si="2"/>
        <v>-1</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1777245066.1861629</v>
      </c>
      <c r="E17" s="441">
        <f t="shared" si="3"/>
        <v>1777349684.1599998</v>
      </c>
      <c r="F17" s="443">
        <f t="shared" si="3"/>
        <v>115495538.75</v>
      </c>
      <c r="G17" s="441">
        <f t="shared" si="3"/>
        <v>1535866186.0199997</v>
      </c>
      <c r="H17" s="443">
        <f t="shared" si="3"/>
        <v>1629237210.4799998</v>
      </c>
      <c r="I17" s="44">
        <f t="shared" si="1"/>
        <v>-93371024.460000038</v>
      </c>
      <c r="J17" s="330">
        <f t="shared" si="2"/>
        <v>-5.7309656236301784E-2</v>
      </c>
      <c r="K17" s="442">
        <f t="shared" si="3"/>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5147300.78</v>
      </c>
      <c r="G18" s="742">
        <v>31348668.589999992</v>
      </c>
      <c r="H18" s="743">
        <f>E18/12*11</f>
        <v>4219691.8133333353</v>
      </c>
      <c r="I18" s="44">
        <f t="shared" si="1"/>
        <v>27128976.776666656</v>
      </c>
      <c r="J18" s="330">
        <f t="shared" si="2"/>
        <v>6.4291370025992931</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308311384.0461629</v>
      </c>
      <c r="E19" s="742">
        <v>308311384.05000001</v>
      </c>
      <c r="F19" s="743">
        <v>1422032.2399999998</v>
      </c>
      <c r="G19" s="742">
        <v>313086037.77000004</v>
      </c>
      <c r="H19" s="743">
        <f>E19/12*11</f>
        <v>282618768.71250004</v>
      </c>
      <c r="I19" s="44">
        <f t="shared" si="1"/>
        <v>30467269.057500005</v>
      </c>
      <c r="J19" s="330">
        <f t="shared" si="2"/>
        <v>0.1078034172900013</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c r="G20" s="742"/>
      <c r="H20" s="743">
        <f>E20/12*11</f>
        <v>294154.59333333338</v>
      </c>
      <c r="I20" s="44">
        <f t="shared" si="1"/>
        <v>-294154.59333333338</v>
      </c>
      <c r="J20" s="330">
        <f t="shared" si="2"/>
        <v>-1</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108926031.81</v>
      </c>
      <c r="G21" s="742">
        <v>1191244228.0899999</v>
      </c>
      <c r="H21" s="743">
        <f>E21/12*11</f>
        <v>1341858762.7224998</v>
      </c>
      <c r="I21" s="44">
        <f t="shared" si="1"/>
        <v>-150614534.63249993</v>
      </c>
      <c r="J21" s="330">
        <f t="shared" si="2"/>
        <v>-0.11224320980467259</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173.92</v>
      </c>
      <c r="G22" s="742">
        <v>187251.57</v>
      </c>
      <c r="H22" s="743">
        <f>E22/12*11</f>
        <v>245832.63833333339</v>
      </c>
      <c r="I22" s="44">
        <f t="shared" si="1"/>
        <v>-58581.068333333387</v>
      </c>
      <c r="J22" s="330">
        <f t="shared" si="2"/>
        <v>-0.2382965448790457</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4">SUM(C29:C38)</f>
        <v>236959425</v>
      </c>
      <c r="D28" s="444">
        <f t="shared" si="4"/>
        <v>210736724.57832819</v>
      </c>
      <c r="E28" s="441">
        <f t="shared" si="4"/>
        <v>220172669.46999997</v>
      </c>
      <c r="F28" s="443">
        <f t="shared" si="4"/>
        <v>14346769.84</v>
      </c>
      <c r="G28" s="441">
        <f t="shared" si="4"/>
        <v>157615135.93000001</v>
      </c>
      <c r="H28" s="443">
        <f t="shared" si="4"/>
        <v>201824947.01416665</v>
      </c>
      <c r="I28" s="44">
        <f t="shared" si="1"/>
        <v>-44209811.084166646</v>
      </c>
      <c r="J28" s="330">
        <f t="shared" si="2"/>
        <v>-0.21905027965181845</v>
      </c>
      <c r="K28" s="442">
        <f t="shared" si="4"/>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c r="G29" s="742">
        <v>790546.56000000017</v>
      </c>
      <c r="H29" s="742">
        <f>E29/12*11</f>
        <v>891300.1166666667</v>
      </c>
      <c r="I29" s="258">
        <f t="shared" si="1"/>
        <v>-100753.55666666653</v>
      </c>
      <c r="J29" s="330">
        <f t="shared" si="2"/>
        <v>-0.11304111239597973</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188494.25</v>
      </c>
      <c r="G30" s="742">
        <v>11030404.600000001</v>
      </c>
      <c r="H30" s="743">
        <f>E30/12*11</f>
        <v>3305908.3016666668</v>
      </c>
      <c r="I30" s="44">
        <f t="shared" si="1"/>
        <v>7724496.2983333347</v>
      </c>
      <c r="J30" s="330">
        <f t="shared" si="2"/>
        <v>2.3365730666029201</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3603197.8599999994</v>
      </c>
      <c r="G31" s="742">
        <v>15085032.680000003</v>
      </c>
      <c r="H31" s="743">
        <f>E31/12*11</f>
        <v>41012328.555000007</v>
      </c>
      <c r="I31" s="44">
        <f t="shared" si="1"/>
        <v>-25927295.875000004</v>
      </c>
      <c r="J31" s="330">
        <f t="shared" si="2"/>
        <v>-0.63218297493715669</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10555077.73</v>
      </c>
      <c r="G32" s="742">
        <v>130709152.08999999</v>
      </c>
      <c r="H32" s="743">
        <f>E32/12*11</f>
        <v>156615410.04083329</v>
      </c>
      <c r="I32" s="44">
        <f t="shared" si="1"/>
        <v>-25906257.950833306</v>
      </c>
      <c r="J32" s="330">
        <f t="shared" si="2"/>
        <v>-0.16541321153569077</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5862268</v>
      </c>
      <c r="D39" s="444">
        <f t="shared" si="5"/>
        <v>6541799.7000000002</v>
      </c>
      <c r="E39" s="441">
        <f t="shared" si="5"/>
        <v>6541799.7000000002</v>
      </c>
      <c r="F39" s="443">
        <f t="shared" si="5"/>
        <v>1558436.49</v>
      </c>
      <c r="G39" s="441">
        <f t="shared" si="5"/>
        <v>6353233.0499999998</v>
      </c>
      <c r="H39" s="443">
        <f t="shared" si="5"/>
        <v>5996649.7249999996</v>
      </c>
      <c r="I39" s="44">
        <f t="shared" si="1"/>
        <v>356583.32500000019</v>
      </c>
      <c r="J39" s="330">
        <f t="shared" si="2"/>
        <v>5.9463757490020849E-2</v>
      </c>
      <c r="K39" s="442">
        <f t="shared" si="5"/>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599936.49</v>
      </c>
      <c r="G40" s="742">
        <v>2655202.29</v>
      </c>
      <c r="H40" s="743">
        <f>E40/12*11</f>
        <v>1919349.6850000003</v>
      </c>
      <c r="I40" s="44">
        <f t="shared" si="1"/>
        <v>735852.60499999975</v>
      </c>
      <c r="J40" s="330">
        <f t="shared" si="2"/>
        <v>0.3833864202812004</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c r="G41" s="742">
        <v>417.36000000000007</v>
      </c>
      <c r="H41" s="743">
        <f>E41/12*11</f>
        <v>1768.4333333333334</v>
      </c>
      <c r="I41" s="44">
        <f t="shared" si="1"/>
        <v>-1351.0733333333333</v>
      </c>
      <c r="J41" s="330">
        <f t="shared" si="2"/>
        <v>-0.76399449606996772</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c r="G42" s="742">
        <v>113.4</v>
      </c>
      <c r="H42" s="743">
        <f>E42/12*11</f>
        <v>225531.60666666666</v>
      </c>
      <c r="I42" s="44">
        <f t="shared" si="1"/>
        <v>-225418.20666666667</v>
      </c>
      <c r="J42" s="330">
        <f t="shared" si="2"/>
        <v>-0.99949718799206888</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c r="G43" s="742"/>
      <c r="H43" s="743">
        <f>E43/12*11</f>
        <v>3850000</v>
      </c>
      <c r="I43" s="44">
        <f t="shared" si="1"/>
        <v>-3850000</v>
      </c>
      <c r="J43" s="330">
        <f t="shared" si="2"/>
        <v>-1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v>958500</v>
      </c>
      <c r="G44" s="742">
        <v>3697500</v>
      </c>
      <c r="H44" s="743"/>
      <c r="I44" s="44">
        <f t="shared" si="1"/>
        <v>3697500</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6">SUM(D51:D60)</f>
        <v>4173276747.4460802</v>
      </c>
      <c r="E50" s="441">
        <f t="shared" si="6"/>
        <v>4183693281.4699993</v>
      </c>
      <c r="F50" s="443">
        <f t="shared" si="6"/>
        <v>278380671.63999999</v>
      </c>
      <c r="G50" s="441">
        <f t="shared" si="6"/>
        <v>3596970064.8100004</v>
      </c>
      <c r="H50" s="443">
        <f t="shared" si="6"/>
        <v>3835052174.6808329</v>
      </c>
      <c r="I50" s="44">
        <f t="shared" si="1"/>
        <v>-238082109.87083244</v>
      </c>
      <c r="J50" s="330">
        <f t="shared" si="2"/>
        <v>-6.2080539983956413E-2</v>
      </c>
      <c r="K50" s="442">
        <f t="shared" si="6"/>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151800274.63</v>
      </c>
      <c r="G51" s="742">
        <v>2194441562.6900001</v>
      </c>
      <c r="H51" s="743">
        <f>E51/12*11</f>
        <v>2271036382.7249994</v>
      </c>
      <c r="I51" s="44">
        <f t="shared" si="1"/>
        <v>-76594820.034999371</v>
      </c>
      <c r="J51" s="330">
        <f t="shared" si="2"/>
        <v>-3.3726813281209446E-2</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v>545787.92000000004</v>
      </c>
      <c r="G52" s="742">
        <v>4336015.99</v>
      </c>
      <c r="H52" s="743">
        <f>E52/12*11</f>
        <v>5956241.5</v>
      </c>
      <c r="I52" s="44">
        <f t="shared" si="1"/>
        <v>-1620225.5099999998</v>
      </c>
      <c r="J52" s="330">
        <f t="shared" si="2"/>
        <v>-0.27202146017752971</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31874210.330000006</v>
      </c>
      <c r="G53" s="742">
        <v>183753076.16999999</v>
      </c>
      <c r="H53" s="743">
        <f>E53/12*11</f>
        <v>286889849.69333333</v>
      </c>
      <c r="I53" s="44">
        <f t="shared" si="1"/>
        <v>-103136773.52333334</v>
      </c>
      <c r="J53" s="330">
        <f t="shared" si="2"/>
        <v>-0.35949955578275034</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94160398.75999999</v>
      </c>
      <c r="G54" s="742">
        <v>1214439409.9600003</v>
      </c>
      <c r="H54" s="743">
        <f>E54/12*11</f>
        <v>1271169700.7625</v>
      </c>
      <c r="I54" s="44">
        <f t="shared" si="1"/>
        <v>-56730290.802499771</v>
      </c>
      <c r="J54" s="330">
        <f t="shared" si="2"/>
        <v>-4.4628416464356099E-2</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7">SUM(D62:D71)</f>
        <v>184080166.97729021</v>
      </c>
      <c r="E61" s="441">
        <f t="shared" si="7"/>
        <v>414781372.18000001</v>
      </c>
      <c r="F61" s="443">
        <f t="shared" si="7"/>
        <v>4135921.1</v>
      </c>
      <c r="G61" s="441">
        <f t="shared" si="7"/>
        <v>121723794.90000001</v>
      </c>
      <c r="H61" s="443">
        <f t="shared" si="7"/>
        <v>380216257.83166665</v>
      </c>
      <c r="I61" s="44">
        <f t="shared" si="1"/>
        <v>-258492462.93166664</v>
      </c>
      <c r="J61" s="330">
        <f t="shared" si="2"/>
        <v>-0.67985641751834069</v>
      </c>
      <c r="K61" s="442">
        <f t="shared" si="7"/>
        <v>414781372.18000001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59578472.800000012</v>
      </c>
      <c r="F62" s="743">
        <v>2266628.16</v>
      </c>
      <c r="G62" s="742">
        <v>29759789.489999995</v>
      </c>
      <c r="H62" s="743">
        <f>E62/12*11</f>
        <v>54613600.066666678</v>
      </c>
      <c r="I62" s="44">
        <f t="shared" si="1"/>
        <v>-24853810.576666683</v>
      </c>
      <c r="J62" s="330">
        <f t="shared" si="2"/>
        <v>-0.45508464093792944</v>
      </c>
      <c r="K62" s="744">
        <f>E62</f>
        <v>59578472.800000012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6470.44</v>
      </c>
      <c r="G63" s="742">
        <v>99916.23</v>
      </c>
      <c r="H63" s="743">
        <f>E63/12*11</f>
        <v>387797.9966666667</v>
      </c>
      <c r="I63" s="44">
        <f t="shared" si="1"/>
        <v>-287881.76666666672</v>
      </c>
      <c r="J63" s="330">
        <f t="shared" si="2"/>
        <v>-0.74234980361210223</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1852622.5</v>
      </c>
      <c r="G64" s="742">
        <v>87065198.260000005</v>
      </c>
      <c r="H64" s="743">
        <f>E64/12*11</f>
        <v>278378587.74000001</v>
      </c>
      <c r="I64" s="44">
        <f t="shared" si="1"/>
        <v>-191313389.48000002</v>
      </c>
      <c r="J64" s="330">
        <f t="shared" si="2"/>
        <v>-0.6872417560314763</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10200</v>
      </c>
      <c r="G65" s="742">
        <v>4798890.92</v>
      </c>
      <c r="H65" s="743">
        <f>E65/12*11</f>
        <v>46836272.028333329</v>
      </c>
      <c r="I65" s="44">
        <f t="shared" si="1"/>
        <v>-42037381.108333327</v>
      </c>
      <c r="J65" s="330">
        <f t="shared" si="2"/>
        <v>-0.89753900743643855</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1">SUM(D84:D93)</f>
        <v>0</v>
      </c>
      <c r="E83" s="441">
        <f t="shared" si="11"/>
        <v>0</v>
      </c>
      <c r="F83" s="443">
        <f t="shared" si="11"/>
        <v>0</v>
      </c>
      <c r="G83" s="441">
        <f t="shared" si="11"/>
        <v>0</v>
      </c>
      <c r="H83" s="443">
        <f t="shared" si="11"/>
        <v>0</v>
      </c>
      <c r="I83" s="44">
        <f t="shared" si="8"/>
        <v>0</v>
      </c>
      <c r="J83" s="330" t="str">
        <f t="shared" si="9"/>
        <v/>
      </c>
      <c r="K83" s="442">
        <f t="shared" si="11"/>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hidden="1"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hidden="1"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hidden="1"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hidden="1"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hidden="1"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hidden="1"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hidden="1"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hidden="1"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hidden="1"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hidden="1"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hidden="1"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hidden="1"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hidden="1"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642</v>
      </c>
      <c r="B171" s="415">
        <v>2</v>
      </c>
      <c r="C171" s="504">
        <f>C6+C17+C28+C39+C50+C61+C72+C83+C94+C105+C116+C127+C138+C149+C160</f>
        <v>6098249279</v>
      </c>
      <c r="D171" s="451">
        <f t="shared" ref="D171:K171" si="22">D6+D17+D28+D39+D50+D61+D72+D83+D94+D105+D116+D127+D138+D149+D160</f>
        <v>6351937471.4078617</v>
      </c>
      <c r="E171" s="448">
        <f t="shared" si="22"/>
        <v>6602595773.5</v>
      </c>
      <c r="F171" s="450">
        <f t="shared" si="22"/>
        <v>413917337.81999999</v>
      </c>
      <c r="G171" s="448">
        <f t="shared" si="22"/>
        <v>5418528414.71</v>
      </c>
      <c r="H171" s="450">
        <f t="shared" si="22"/>
        <v>6052379459.041666</v>
      </c>
      <c r="I171" s="514">
        <f t="shared" si="16"/>
        <v>-633851044.33166599</v>
      </c>
      <c r="J171" s="515">
        <f t="shared" si="17"/>
        <v>-0.10472757840468086</v>
      </c>
      <c r="K171" s="449">
        <f t="shared" si="22"/>
        <v>6602595773.5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3">SUM(C175:C184)</f>
        <v>194108064</v>
      </c>
      <c r="D174" s="471">
        <f t="shared" si="23"/>
        <v>177602227.38999999</v>
      </c>
      <c r="E174" s="468">
        <f t="shared" si="23"/>
        <v>175505612.53</v>
      </c>
      <c r="F174" s="470">
        <f t="shared" si="23"/>
        <v>10565837.359999994</v>
      </c>
      <c r="G174" s="468">
        <f t="shared" si="23"/>
        <v>137457388.03999999</v>
      </c>
      <c r="H174" s="470">
        <f t="shared" si="23"/>
        <v>160880144.81916669</v>
      </c>
      <c r="I174" s="44">
        <f t="shared" si="16"/>
        <v>-23422756.779166698</v>
      </c>
      <c r="J174" s="330">
        <f t="shared" si="17"/>
        <v>-0.1455913456908835</v>
      </c>
      <c r="K174" s="469">
        <f t="shared" si="23"/>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921911.70999999985</v>
      </c>
      <c r="G175" s="734">
        <v>12502262.250000004</v>
      </c>
      <c r="H175" s="747">
        <f>E175/12*11</f>
        <v>20209164.130833331</v>
      </c>
      <c r="I175" s="44">
        <f t="shared" si="16"/>
        <v>-7706901.8808333278</v>
      </c>
      <c r="J175" s="330">
        <f t="shared" si="17"/>
        <v>-0.38135678600753348</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3085895.3299999996</v>
      </c>
      <c r="G176" s="734">
        <v>49503701.850000009</v>
      </c>
      <c r="H176" s="747">
        <f>E176/12*11</f>
        <v>55344470.527499996</v>
      </c>
      <c r="I176" s="44">
        <f t="shared" si="16"/>
        <v>-5840768.6774999872</v>
      </c>
      <c r="J176" s="330">
        <f t="shared" si="17"/>
        <v>-0.10553481895897406</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6160031.9599999944</v>
      </c>
      <c r="G177" s="734">
        <v>70359787.769999996</v>
      </c>
      <c r="H177" s="747">
        <f>E177/12*11</f>
        <v>79709804.166666687</v>
      </c>
      <c r="I177" s="44">
        <f t="shared" si="16"/>
        <v>-9350016.3966666907</v>
      </c>
      <c r="J177" s="330">
        <f t="shared" si="17"/>
        <v>-0.11730070716415976</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397998.36</v>
      </c>
      <c r="G178" s="734">
        <v>5091636.169999999</v>
      </c>
      <c r="H178" s="747">
        <f>E178/12*11</f>
        <v>5616705.9941666666</v>
      </c>
      <c r="I178" s="44">
        <f t="shared" si="16"/>
        <v>-525069.82416666765</v>
      </c>
      <c r="J178" s="330">
        <f t="shared" si="17"/>
        <v>-9.3483587125975362E-2</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24">SUM(E186:E195)</f>
        <v>670955506.27000034</v>
      </c>
      <c r="F185" s="443">
        <f t="shared" si="24"/>
        <v>-187209242.98999992</v>
      </c>
      <c r="G185" s="441">
        <f t="shared" si="24"/>
        <v>103010275.14999995</v>
      </c>
      <c r="H185" s="443">
        <f t="shared" si="24"/>
        <v>615042547.41416693</v>
      </c>
      <c r="I185" s="44">
        <f t="shared" si="16"/>
        <v>-512032272.26416695</v>
      </c>
      <c r="J185" s="330">
        <f t="shared" si="17"/>
        <v>-0.83251520470723905</v>
      </c>
      <c r="K185" s="442">
        <f t="shared" si="24"/>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-6115899.5000000009</v>
      </c>
      <c r="G186" s="734">
        <v>40214321.439999983</v>
      </c>
      <c r="H186" s="747">
        <f>E186/12*11</f>
        <v>105884666.2041667</v>
      </c>
      <c r="I186" s="44">
        <f t="shared" si="16"/>
        <v>-65670344.764166713</v>
      </c>
      <c r="J186" s="330">
        <f t="shared" si="17"/>
        <v>-0.62020637282400481</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10791007.119999995</v>
      </c>
      <c r="G187" s="734">
        <v>65450464.599999994</v>
      </c>
      <c r="H187" s="747">
        <f>E187/12*11</f>
        <v>100279110.26833341</v>
      </c>
      <c r="I187" s="44">
        <f t="shared" si="16"/>
        <v>-34828645.668333411</v>
      </c>
      <c r="J187" s="330">
        <f t="shared" si="17"/>
        <v>-0.34731705910769095</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8904806.2999999989</v>
      </c>
      <c r="G188" s="734">
        <v>56717830.069999993</v>
      </c>
      <c r="H188" s="747">
        <f>E188/12*11</f>
        <v>42052675.545833312</v>
      </c>
      <c r="I188" s="44">
        <f t="shared" si="16"/>
        <v>14665154.524166681</v>
      </c>
      <c r="J188" s="330">
        <f t="shared" si="17"/>
        <v>0.34873297201228243</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-203215083.3599999</v>
      </c>
      <c r="G189" s="734">
        <v>-108358945.68000002</v>
      </c>
      <c r="H189" s="747">
        <f>E189/12*11</f>
        <v>308608675.2833336</v>
      </c>
      <c r="I189" s="44">
        <f t="shared" si="16"/>
        <v>-416967620.96333361</v>
      </c>
      <c r="J189" s="330">
        <f t="shared" si="17"/>
        <v>-1.3511208671645918</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2425926.4500000007</v>
      </c>
      <c r="G190" s="734">
        <v>48986604.720000014</v>
      </c>
      <c r="H190" s="747">
        <f>E190/12*11</f>
        <v>58217420.112499997</v>
      </c>
      <c r="I190" s="44">
        <f t="shared" si="16"/>
        <v>-9230815.3924999833</v>
      </c>
      <c r="J190" s="330">
        <f t="shared" si="17"/>
        <v>-0.15855761685526862</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25">SUM(C197:C206)</f>
        <v>724942866.72000003</v>
      </c>
      <c r="D196" s="444">
        <f t="shared" si="25"/>
        <v>742913351.68133318</v>
      </c>
      <c r="E196" s="441">
        <f t="shared" si="25"/>
        <v>707784448.3599999</v>
      </c>
      <c r="F196" s="443">
        <f t="shared" si="25"/>
        <v>40512010.399999999</v>
      </c>
      <c r="G196" s="441">
        <f t="shared" si="25"/>
        <v>652880237.04999971</v>
      </c>
      <c r="H196" s="443">
        <f t="shared" si="25"/>
        <v>648802410.99666643</v>
      </c>
      <c r="I196" s="44">
        <f t="shared" si="16"/>
        <v>4077826.0533332825</v>
      </c>
      <c r="J196" s="330">
        <f t="shared" si="17"/>
        <v>6.2851586002417529E-3</v>
      </c>
      <c r="K196" s="442">
        <f t="shared" si="25"/>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2610324.5399999996</v>
      </c>
      <c r="G197" s="734">
        <v>29904983.389999993</v>
      </c>
      <c r="H197" s="747">
        <f>E197/12*11</f>
        <v>28837200.38833335</v>
      </c>
      <c r="I197" s="44">
        <f t="shared" si="16"/>
        <v>1067783.0016666427</v>
      </c>
      <c r="J197" s="330">
        <f t="shared" si="17"/>
        <v>3.7027970374635781E-2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32396876.829999998</v>
      </c>
      <c r="G198" s="734">
        <v>307409163.64999986</v>
      </c>
      <c r="H198" s="747">
        <f>E198/12*11</f>
        <v>260963415.97333348</v>
      </c>
      <c r="I198" s="44">
        <f t="shared" ref="I198:I261" si="26">G198-H198</f>
        <v>46445747.676666379</v>
      </c>
      <c r="J198" s="330">
        <f t="shared" ref="J198:J261" si="27">IF(I198=0,"",I198/H198)</f>
        <v>0.17797800317502141</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21024342.350000005</v>
      </c>
      <c r="G199" s="734">
        <v>237517300.81999975</v>
      </c>
      <c r="H199" s="747">
        <f>E199/12*11</f>
        <v>240469268.3799997</v>
      </c>
      <c r="I199" s="44">
        <f t="shared" si="26"/>
        <v>-2951967.5599999428</v>
      </c>
      <c r="J199" s="330">
        <f t="shared" si="27"/>
        <v>-1.2275862025475617E-2</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-15519533.319999998</v>
      </c>
      <c r="G200" s="734">
        <v>78048789.189999998</v>
      </c>
      <c r="H200" s="747">
        <f>E200/12*11</f>
        <v>118532526.255</v>
      </c>
      <c r="I200" s="44">
        <f t="shared" si="26"/>
        <v>-40483737.064999998</v>
      </c>
      <c r="J200" s="330">
        <f t="shared" si="27"/>
        <v>-0.34154116464123108</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196080850</v>
      </c>
      <c r="D207" s="444">
        <f t="shared" si="28"/>
        <v>289334727.75999999</v>
      </c>
      <c r="E207" s="441">
        <f t="shared" si="28"/>
        <v>293123230.66999984</v>
      </c>
      <c r="F207" s="443">
        <f t="shared" si="28"/>
        <v>10986804.98</v>
      </c>
      <c r="G207" s="441">
        <f t="shared" si="28"/>
        <v>140731788.38999999</v>
      </c>
      <c r="H207" s="443">
        <f t="shared" si="28"/>
        <v>268696294.78083318</v>
      </c>
      <c r="I207" s="44">
        <f t="shared" si="26"/>
        <v>-127964506.3908332</v>
      </c>
      <c r="J207" s="330">
        <f t="shared" si="27"/>
        <v>-0.47624216960345389</v>
      </c>
      <c r="K207" s="442">
        <f t="shared" si="28"/>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4777224.4799999995</v>
      </c>
      <c r="G208" s="384">
        <v>68518510.959999993</v>
      </c>
      <c r="H208" s="472">
        <f>E208/12*11</f>
        <v>183831720.65499988</v>
      </c>
      <c r="I208" s="44">
        <f t="shared" si="26"/>
        <v>-115313209.69499989</v>
      </c>
      <c r="J208" s="330">
        <f t="shared" si="27"/>
        <v>-0.62727590909846376</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2167375.29</v>
      </c>
      <c r="G209" s="384">
        <v>27795093.200000003</v>
      </c>
      <c r="H209" s="472">
        <f>E209/12*11</f>
        <v>23717951.885833323</v>
      </c>
      <c r="I209" s="44">
        <f t="shared" si="26"/>
        <v>4077141.31416668</v>
      </c>
      <c r="J209" s="330">
        <f t="shared" si="27"/>
        <v>0.17190107028600335</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638244.51</v>
      </c>
      <c r="G210" s="384">
        <v>13343214.339999998</v>
      </c>
      <c r="H210" s="472">
        <f>E210/12*11</f>
        <v>12388894.576666661</v>
      </c>
      <c r="I210" s="44">
        <f t="shared" si="26"/>
        <v>954319.76333333738</v>
      </c>
      <c r="J210" s="330">
        <f t="shared" si="27"/>
        <v>7.7030259433372744E-2</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2020172.8800000001</v>
      </c>
      <c r="G211" s="384">
        <v>19826377.099999994</v>
      </c>
      <c r="H211" s="472">
        <f>E211/12*11</f>
        <v>25803448.036666658</v>
      </c>
      <c r="I211" s="44">
        <f t="shared" si="26"/>
        <v>-5977070.9366666637</v>
      </c>
      <c r="J211" s="330">
        <f t="shared" si="27"/>
        <v>-0.23163845886694118</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1383787.82</v>
      </c>
      <c r="G212" s="384">
        <v>11248592.790000001</v>
      </c>
      <c r="H212" s="472">
        <f>E212/12*11</f>
        <v>22954279.626666658</v>
      </c>
      <c r="I212" s="44">
        <f t="shared" si="26"/>
        <v>-11705686.836666657</v>
      </c>
      <c r="J212" s="330">
        <f t="shared" si="27"/>
        <v>-0.50995661929062752</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29">SUM(C219:C228)</f>
        <v>3150241607.2800012</v>
      </c>
      <c r="D218" s="444">
        <f t="shared" si="29"/>
        <v>3451917725.5707622</v>
      </c>
      <c r="E218" s="441">
        <f t="shared" si="29"/>
        <v>3395533322.0000019</v>
      </c>
      <c r="F218" s="443">
        <f t="shared" si="29"/>
        <v>-458990251.95999998</v>
      </c>
      <c r="G218" s="441">
        <f t="shared" si="29"/>
        <v>2545849085.8500013</v>
      </c>
      <c r="H218" s="443">
        <f t="shared" si="29"/>
        <v>3112572211.8333344</v>
      </c>
      <c r="I218" s="44">
        <f t="shared" si="26"/>
        <v>-566723125.98333311</v>
      </c>
      <c r="J218" s="330">
        <f t="shared" si="27"/>
        <v>-0.18207549493270322</v>
      </c>
      <c r="K218" s="442">
        <f t="shared" si="29"/>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35567714.700000055</v>
      </c>
      <c r="G219" s="384">
        <v>1888113786.3300004</v>
      </c>
      <c r="H219" s="472">
        <f>E219/12*11</f>
        <v>1862060551.6333339</v>
      </c>
      <c r="I219" s="44">
        <f t="shared" si="26"/>
        <v>26053234.696666479</v>
      </c>
      <c r="J219" s="330">
        <f t="shared" si="27"/>
        <v>1.3991615188782931E-2</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1253047.3900000001</v>
      </c>
      <c r="G220" s="384">
        <v>11048125.179999998</v>
      </c>
      <c r="H220" s="472">
        <f>E220/12*11</f>
        <v>9584505.5258333329</v>
      </c>
      <c r="I220" s="44">
        <f t="shared" si="26"/>
        <v>1463619.6541666649</v>
      </c>
      <c r="J220" s="330">
        <f t="shared" si="27"/>
        <v>0.15270685067912351</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21518433.400000013</v>
      </c>
      <c r="G221" s="384">
        <v>252415348.50000009</v>
      </c>
      <c r="H221" s="472">
        <f>E221/12*11</f>
        <v>182763256.63750011</v>
      </c>
      <c r="I221" s="44">
        <f t="shared" si="26"/>
        <v>69652091.862499982</v>
      </c>
      <c r="J221" s="330">
        <f t="shared" si="27"/>
        <v>0.38110555230831056</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-517405507.22000003</v>
      </c>
      <c r="G222" s="384">
        <v>393302109.04000068</v>
      </c>
      <c r="H222" s="472">
        <f>E222/12*11</f>
        <v>1034718824.8283339</v>
      </c>
      <c r="I222" s="44">
        <f t="shared" si="26"/>
        <v>-641416715.78833318</v>
      </c>
      <c r="J222" s="330">
        <f t="shared" si="27"/>
        <v>-0.61989470027738991</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76059.77</v>
      </c>
      <c r="G223" s="384">
        <v>969716.79999999993</v>
      </c>
      <c r="H223" s="472">
        <f>E223/12*11</f>
        <v>23445073.208333336</v>
      </c>
      <c r="I223" s="44">
        <f t="shared" si="26"/>
        <v>-22475356.408333335</v>
      </c>
      <c r="J223" s="330">
        <f t="shared" si="27"/>
        <v>-0.95863878131737612</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30">SUM(C230:C239)</f>
        <v>304396959</v>
      </c>
      <c r="D229" s="444">
        <f t="shared" si="30"/>
        <v>283275916.34000081</v>
      </c>
      <c r="E229" s="441">
        <f t="shared" si="30"/>
        <v>297162690.43000007</v>
      </c>
      <c r="F229" s="443">
        <f t="shared" si="30"/>
        <v>17321224.670000006</v>
      </c>
      <c r="G229" s="441">
        <f t="shared" si="30"/>
        <v>189381912.83999994</v>
      </c>
      <c r="H229" s="443">
        <f t="shared" si="30"/>
        <v>272399132.89416671</v>
      </c>
      <c r="I229" s="44">
        <f t="shared" si="26"/>
        <v>-83017220.054166764</v>
      </c>
      <c r="J229" s="330">
        <f t="shared" si="27"/>
        <v>-0.30476315828222866</v>
      </c>
      <c r="K229" s="442">
        <f t="shared" ref="K229:K234" si="31">E229</f>
        <v>297162690.43000007</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87220228.150000021</v>
      </c>
      <c r="E230" s="384">
        <v>82781114.249999985</v>
      </c>
      <c r="F230" s="472">
        <v>7546540.1900000013</v>
      </c>
      <c r="G230" s="384">
        <v>67236109.449999973</v>
      </c>
      <c r="H230" s="472">
        <f>E230/12*11</f>
        <v>75882688.062499985</v>
      </c>
      <c r="I230" s="44">
        <f t="shared" si="26"/>
        <v>-8646578.6125000119</v>
      </c>
      <c r="J230" s="330">
        <f t="shared" si="27"/>
        <v>-0.11394665678393401</v>
      </c>
      <c r="K230" s="395">
        <f t="shared" si="31"/>
        <v>82781114.249999985</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1352313.3499999999</v>
      </c>
      <c r="G231" s="384">
        <v>14649745.709999997</v>
      </c>
      <c r="H231" s="472">
        <f>E231/12*11</f>
        <v>14628615.714166669</v>
      </c>
      <c r="I231" s="44">
        <f t="shared" si="26"/>
        <v>21129.995833327994</v>
      </c>
      <c r="J231" s="330">
        <f t="shared" si="27"/>
        <v>1.4444289361477483E-3</v>
      </c>
      <c r="K231" s="395">
        <f t="shared" si="31"/>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3209629.0400000005</v>
      </c>
      <c r="G232" s="384">
        <v>39491813.629999995</v>
      </c>
      <c r="H232" s="472">
        <f>E232/12*11</f>
        <v>102221771.58416663</v>
      </c>
      <c r="I232" s="44">
        <f t="shared" si="26"/>
        <v>-62729957.954166636</v>
      </c>
      <c r="J232" s="330">
        <f t="shared" si="27"/>
        <v>-0.61366533745227148</v>
      </c>
      <c r="K232" s="395">
        <f t="shared" si="31"/>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5064732.4000000004</v>
      </c>
      <c r="G233" s="384">
        <v>66032012.999999978</v>
      </c>
      <c r="H233" s="472">
        <f>E233/12*11</f>
        <v>73659066.735833392</v>
      </c>
      <c r="I233" s="44">
        <f t="shared" si="26"/>
        <v>-7627053.7358334139</v>
      </c>
      <c r="J233" s="330">
        <f t="shared" si="27"/>
        <v>-0.10354534850660867</v>
      </c>
      <c r="K233" s="395">
        <f t="shared" si="31"/>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148009.69</v>
      </c>
      <c r="G234" s="384">
        <v>1972231.0499999996</v>
      </c>
      <c r="H234" s="472">
        <f>E234/12*11</f>
        <v>6006990.7975000013</v>
      </c>
      <c r="I234" s="44">
        <f t="shared" si="26"/>
        <v>-4034759.7475000015</v>
      </c>
      <c r="J234" s="330">
        <f t="shared" si="27"/>
        <v>-0.67167736450989635</v>
      </c>
      <c r="K234" s="395">
        <f t="shared" si="31"/>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32">SUM(C241:C250)</f>
        <v>0</v>
      </c>
      <c r="D240" s="444">
        <f t="shared" si="32"/>
        <v>0</v>
      </c>
      <c r="E240" s="441">
        <f t="shared" si="32"/>
        <v>0</v>
      </c>
      <c r="F240" s="443">
        <f t="shared" si="32"/>
        <v>0</v>
      </c>
      <c r="G240" s="441">
        <f t="shared" si="32"/>
        <v>0</v>
      </c>
      <c r="H240" s="443">
        <f t="shared" si="32"/>
        <v>0</v>
      </c>
      <c r="I240" s="44">
        <f t="shared" si="26"/>
        <v>0</v>
      </c>
      <c r="J240" s="330" t="str">
        <f t="shared" si="27"/>
        <v/>
      </c>
      <c r="K240" s="442">
        <f t="shared" si="32"/>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26"/>
        <v>0</v>
      </c>
      <c r="J242" s="330" t="str">
        <f t="shared" si="27"/>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33">SUM(C252:C261)</f>
        <v>0</v>
      </c>
      <c r="D251" s="444">
        <f t="shared" si="33"/>
        <v>0</v>
      </c>
      <c r="E251" s="441">
        <f t="shared" si="33"/>
        <v>0</v>
      </c>
      <c r="F251" s="443">
        <f t="shared" si="33"/>
        <v>0</v>
      </c>
      <c r="G251" s="441">
        <f t="shared" si="33"/>
        <v>0</v>
      </c>
      <c r="H251" s="443">
        <f t="shared" si="33"/>
        <v>0</v>
      </c>
      <c r="I251" s="44">
        <f t="shared" si="26"/>
        <v>0</v>
      </c>
      <c r="J251" s="330" t="str">
        <f t="shared" si="27"/>
        <v/>
      </c>
      <c r="K251" s="442">
        <f t="shared" si="33"/>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26"/>
        <v>0</v>
      </c>
      <c r="J253" s="330" t="str">
        <f t="shared" si="27"/>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34">SUM(C263:C272)</f>
        <v>0</v>
      </c>
      <c r="D262" s="444">
        <f t="shared" si="34"/>
        <v>0</v>
      </c>
      <c r="E262" s="441">
        <f t="shared" si="34"/>
        <v>0</v>
      </c>
      <c r="F262" s="443">
        <f t="shared" si="34"/>
        <v>0</v>
      </c>
      <c r="G262" s="441">
        <f t="shared" si="34"/>
        <v>0</v>
      </c>
      <c r="H262" s="443">
        <f t="shared" si="34"/>
        <v>0</v>
      </c>
      <c r="I262" s="44">
        <f t="shared" ref="I262:I325" si="35">G262-H262</f>
        <v>0</v>
      </c>
      <c r="J262" s="330" t="str">
        <f t="shared" ref="J262:J325" si="36">IF(I262=0,"",I262/H262)</f>
        <v/>
      </c>
      <c r="K262" s="442">
        <f t="shared" si="34"/>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35"/>
        <v>0</v>
      </c>
      <c r="J263" s="330" t="str">
        <f t="shared" si="36"/>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35"/>
        <v>0</v>
      </c>
      <c r="J264" s="330" t="str">
        <f t="shared" si="36"/>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37">SUM(C274:C283)</f>
        <v>0</v>
      </c>
      <c r="D273" s="444">
        <f t="shared" si="37"/>
        <v>0</v>
      </c>
      <c r="E273" s="441">
        <f t="shared" si="37"/>
        <v>0</v>
      </c>
      <c r="F273" s="443">
        <f t="shared" si="37"/>
        <v>0</v>
      </c>
      <c r="G273" s="441">
        <f t="shared" si="37"/>
        <v>0</v>
      </c>
      <c r="H273" s="443">
        <f t="shared" si="37"/>
        <v>0</v>
      </c>
      <c r="I273" s="44">
        <f t="shared" si="35"/>
        <v>0</v>
      </c>
      <c r="J273" s="330" t="str">
        <f t="shared" si="36"/>
        <v/>
      </c>
      <c r="K273" s="442">
        <f t="shared" si="37"/>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35"/>
        <v>0</v>
      </c>
      <c r="J275" s="330" t="str">
        <f t="shared" si="36"/>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38">SUM(C285:C294)</f>
        <v>0</v>
      </c>
      <c r="D284" s="444">
        <f t="shared" si="38"/>
        <v>0</v>
      </c>
      <c r="E284" s="441">
        <f t="shared" si="38"/>
        <v>0</v>
      </c>
      <c r="F284" s="443">
        <f t="shared" si="38"/>
        <v>0</v>
      </c>
      <c r="G284" s="441">
        <f t="shared" si="38"/>
        <v>0</v>
      </c>
      <c r="H284" s="443">
        <f t="shared" si="38"/>
        <v>0</v>
      </c>
      <c r="I284" s="44">
        <f t="shared" si="35"/>
        <v>0</v>
      </c>
      <c r="J284" s="330" t="str">
        <f t="shared" si="36"/>
        <v/>
      </c>
      <c r="K284" s="442">
        <f t="shared" si="38"/>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35"/>
        <v>0</v>
      </c>
      <c r="J286" s="330" t="str">
        <f t="shared" si="36"/>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39">SUM(C296:C305)</f>
        <v>0</v>
      </c>
      <c r="D295" s="444">
        <f t="shared" si="39"/>
        <v>0</v>
      </c>
      <c r="E295" s="441">
        <f t="shared" si="39"/>
        <v>0</v>
      </c>
      <c r="F295" s="443">
        <f t="shared" si="39"/>
        <v>0</v>
      </c>
      <c r="G295" s="441">
        <f t="shared" si="39"/>
        <v>0</v>
      </c>
      <c r="H295" s="443">
        <f t="shared" si="39"/>
        <v>0</v>
      </c>
      <c r="I295" s="44">
        <f t="shared" si="35"/>
        <v>0</v>
      </c>
      <c r="J295" s="330" t="str">
        <f t="shared" si="36"/>
        <v/>
      </c>
      <c r="K295" s="442">
        <f t="shared" si="39"/>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35"/>
        <v>0</v>
      </c>
      <c r="J297" s="330" t="str">
        <f t="shared" si="36"/>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40">SUM(C307:C316)</f>
        <v>0</v>
      </c>
      <c r="D306" s="444">
        <f t="shared" si="40"/>
        <v>0</v>
      </c>
      <c r="E306" s="441">
        <f t="shared" si="40"/>
        <v>0</v>
      </c>
      <c r="F306" s="443">
        <f t="shared" si="40"/>
        <v>0</v>
      </c>
      <c r="G306" s="441">
        <f t="shared" si="40"/>
        <v>0</v>
      </c>
      <c r="H306" s="443">
        <f t="shared" si="40"/>
        <v>0</v>
      </c>
      <c r="I306" s="44">
        <f t="shared" si="35"/>
        <v>0</v>
      </c>
      <c r="J306" s="330" t="str">
        <f t="shared" si="36"/>
        <v/>
      </c>
      <c r="K306" s="442">
        <f t="shared" si="40"/>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35"/>
        <v>0</v>
      </c>
      <c r="J308" s="330" t="str">
        <f t="shared" si="36"/>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41">SUM(C318:C327)</f>
        <v>0</v>
      </c>
      <c r="D317" s="444">
        <f t="shared" si="41"/>
        <v>0</v>
      </c>
      <c r="E317" s="441">
        <f t="shared" si="41"/>
        <v>0</v>
      </c>
      <c r="F317" s="443">
        <f t="shared" si="41"/>
        <v>0</v>
      </c>
      <c r="G317" s="441">
        <f t="shared" si="41"/>
        <v>0</v>
      </c>
      <c r="H317" s="443">
        <f t="shared" si="41"/>
        <v>0</v>
      </c>
      <c r="I317" s="44">
        <f t="shared" si="35"/>
        <v>0</v>
      </c>
      <c r="J317" s="330" t="str">
        <f t="shared" si="36"/>
        <v/>
      </c>
      <c r="K317" s="442">
        <f t="shared" si="41"/>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35"/>
        <v>0</v>
      </c>
      <c r="J319" s="330" t="str">
        <f t="shared" si="36"/>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42">G326-H326</f>
        <v>0</v>
      </c>
      <c r="J326" s="330" t="str">
        <f t="shared" ref="J326:J341" si="43">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42"/>
        <v>0</v>
      </c>
      <c r="J327" s="330" t="str">
        <f t="shared" si="43"/>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44">SUM(C329:C338)</f>
        <v>0</v>
      </c>
      <c r="D328" s="444">
        <f t="shared" si="44"/>
        <v>0</v>
      </c>
      <c r="E328" s="441">
        <f t="shared" si="44"/>
        <v>0</v>
      </c>
      <c r="F328" s="443">
        <f t="shared" si="44"/>
        <v>0</v>
      </c>
      <c r="G328" s="441">
        <f t="shared" si="44"/>
        <v>0</v>
      </c>
      <c r="H328" s="443">
        <f t="shared" si="44"/>
        <v>0</v>
      </c>
      <c r="I328" s="44">
        <f t="shared" si="42"/>
        <v>0</v>
      </c>
      <c r="J328" s="330" t="str">
        <f t="shared" si="43"/>
        <v/>
      </c>
      <c r="K328" s="442">
        <f t="shared" si="44"/>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42"/>
        <v>0</v>
      </c>
      <c r="J330" s="330" t="str">
        <f t="shared" si="43"/>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42"/>
        <v>0</v>
      </c>
      <c r="J338" s="330" t="str">
        <f t="shared" si="43"/>
        <v/>
      </c>
      <c r="K338" s="395"/>
      <c r="L338" s="452">
        <f t="shared" ref="L338:W338" si="45">SUM(L173:L249)</f>
        <v>0</v>
      </c>
      <c r="M338" s="453">
        <f t="shared" si="45"/>
        <v>0</v>
      </c>
      <c r="N338" s="453">
        <f t="shared" si="45"/>
        <v>0</v>
      </c>
      <c r="O338" s="453">
        <f t="shared" si="45"/>
        <v>0</v>
      </c>
      <c r="P338" s="453">
        <f t="shared" si="45"/>
        <v>0</v>
      </c>
      <c r="Q338" s="453">
        <f t="shared" si="45"/>
        <v>0</v>
      </c>
      <c r="R338" s="453">
        <f t="shared" si="45"/>
        <v>0</v>
      </c>
      <c r="S338" s="453">
        <f t="shared" si="45"/>
        <v>0</v>
      </c>
      <c r="T338" s="453">
        <f t="shared" si="45"/>
        <v>0</v>
      </c>
      <c r="U338" s="453">
        <f t="shared" si="45"/>
        <v>0</v>
      </c>
      <c r="V338" s="453">
        <f t="shared" si="45"/>
        <v>0</v>
      </c>
      <c r="W338" s="453">
        <f t="shared" si="45"/>
        <v>0</v>
      </c>
    </row>
    <row r="339" spans="1:24" ht="12.75" customHeight="1" x14ac:dyDescent="0.25">
      <c r="A339" s="447" t="s">
        <v>641</v>
      </c>
      <c r="B339" s="445">
        <v>2</v>
      </c>
      <c r="C339" s="508">
        <f t="shared" ref="C339:H339" si="46">C174+C185+C196+C207+C218+C229+C240+C251+C262++C273+C284+C295+C306+C317+C328</f>
        <v>5545120282.000001</v>
      </c>
      <c r="D339" s="475">
        <f t="shared" si="46"/>
        <v>5636479723.2493496</v>
      </c>
      <c r="E339" s="430">
        <f t="shared" si="46"/>
        <v>5540064810.2600021</v>
      </c>
      <c r="F339" s="474">
        <f t="shared" si="46"/>
        <v>-566813617.53999996</v>
      </c>
      <c r="G339" s="430">
        <f t="shared" si="46"/>
        <v>3769310687.3200011</v>
      </c>
      <c r="H339" s="474">
        <f t="shared" si="46"/>
        <v>5078392742.7383347</v>
      </c>
      <c r="I339" s="430">
        <f t="shared" si="42"/>
        <v>-1309082055.4183335</v>
      </c>
      <c r="J339" s="430">
        <f t="shared" si="43"/>
        <v>-0.25777487518865261</v>
      </c>
      <c r="K339" s="513">
        <f>K174+K185+K196+K207+K218+K229+K240+K251+K262++K273+K284+K295+K306+K317+K328</f>
        <v>5540064810.2600021</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2"/>
        <v>0</v>
      </c>
      <c r="J340" s="50" t="str">
        <f t="shared" si="43"/>
        <v/>
      </c>
      <c r="K340" s="194"/>
      <c r="L340" s="480">
        <f t="shared" ref="L340:W340" si="47">L170-L338</f>
        <v>0</v>
      </c>
      <c r="M340" s="481">
        <f t="shared" si="47"/>
        <v>0</v>
      </c>
      <c r="N340" s="481">
        <f t="shared" si="47"/>
        <v>0</v>
      </c>
      <c r="O340" s="481">
        <f t="shared" si="47"/>
        <v>0</v>
      </c>
      <c r="P340" s="481">
        <f t="shared" si="47"/>
        <v>0</v>
      </c>
      <c r="Q340" s="481">
        <f t="shared" si="47"/>
        <v>0</v>
      </c>
      <c r="R340" s="481">
        <f t="shared" si="47"/>
        <v>0</v>
      </c>
      <c r="S340" s="481">
        <f t="shared" si="47"/>
        <v>0</v>
      </c>
      <c r="T340" s="481">
        <f t="shared" si="47"/>
        <v>0</v>
      </c>
      <c r="U340" s="481">
        <f t="shared" si="47"/>
        <v>0</v>
      </c>
      <c r="V340" s="481">
        <f t="shared" si="47"/>
        <v>0</v>
      </c>
      <c r="W340" s="481">
        <f t="shared" si="47"/>
        <v>0</v>
      </c>
    </row>
    <row r="341" spans="1:24" s="486" customFormat="1" ht="11.25" customHeight="1" thickTop="1" x14ac:dyDescent="0.25">
      <c r="A341" s="887" t="str">
        <f>result</f>
        <v>Surplus/ (Deficit) for the year</v>
      </c>
      <c r="B341" s="477">
        <v>2</v>
      </c>
      <c r="C341" s="509">
        <f t="shared" ref="C341:H341" si="48">C171-C339</f>
        <v>553128996.99999905</v>
      </c>
      <c r="D341" s="512">
        <f t="shared" si="48"/>
        <v>715457748.15851212</v>
      </c>
      <c r="E341" s="55">
        <f t="shared" si="48"/>
        <v>1062530963.2399979</v>
      </c>
      <c r="F341" s="479">
        <f t="shared" si="48"/>
        <v>980730955.3599999</v>
      </c>
      <c r="G341" s="55">
        <f t="shared" si="48"/>
        <v>1649217727.3899989</v>
      </c>
      <c r="H341" s="479">
        <f t="shared" si="48"/>
        <v>973986716.30333138</v>
      </c>
      <c r="I341" s="55">
        <f t="shared" si="42"/>
        <v>675231011.08666754</v>
      </c>
      <c r="J341" s="55">
        <f t="shared" si="43"/>
        <v>0.69326511315209605</v>
      </c>
      <c r="K341" s="235">
        <f>K171-K339</f>
        <v>1062530963.2399979</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38" activePane="bottomRight" state="frozen"/>
      <selection pane="topRight"/>
      <selection pane="bottomLeft"/>
      <selection pane="bottomRight" activeCell="O27" sqref="O27"/>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"&amp;S71B&amp; " - "&amp;date</f>
        <v>KZN225 Msunduzi - Table C4 Consolidated Monthly Budget Statement - Financial Performance (revenue and expenditure)  - M10 April</v>
      </c>
      <c r="B1" s="1038"/>
      <c r="C1" s="1038"/>
      <c r="D1" s="1038"/>
      <c r="E1" s="1038"/>
      <c r="F1" s="1038"/>
      <c r="G1" s="1038"/>
      <c r="H1" s="1038"/>
      <c r="I1" s="1038"/>
      <c r="J1" s="1038"/>
      <c r="K1" s="1038"/>
    </row>
    <row r="2" spans="1:11" x14ac:dyDescent="0.25">
      <c r="A2" s="1027" t="str">
        <f>desc</f>
        <v>Description</v>
      </c>
      <c r="B2" s="1036" t="str">
        <f>head27</f>
        <v>Ref</v>
      </c>
      <c r="C2" s="158" t="str">
        <f>Head1</f>
        <v>2018/19</v>
      </c>
      <c r="D2" s="1022" t="str">
        <f>Head2</f>
        <v>Budget Year 2019/20</v>
      </c>
      <c r="E2" s="1023"/>
      <c r="F2" s="1023"/>
      <c r="G2" s="1023"/>
      <c r="H2" s="1023"/>
      <c r="I2" s="1023"/>
      <c r="J2" s="1023"/>
      <c r="K2" s="1024"/>
    </row>
    <row r="3" spans="1:11" ht="25.5" x14ac:dyDescent="0.25">
      <c r="A3" s="1028"/>
      <c r="B3" s="1037"/>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101075388.20000002</v>
      </c>
      <c r="G6" s="734">
        <v>1091307615.6299999</v>
      </c>
      <c r="H6" s="734">
        <f>E6/12*11</f>
        <v>1100707243.5883329</v>
      </c>
      <c r="I6" s="44">
        <f t="shared" ref="I6:I22" si="0">G6-H6</f>
        <v>-9399627.9583330154</v>
      </c>
      <c r="J6" s="330">
        <f t="shared" ref="J6:J22" si="1">IF(I6=0,"",I6/H6)</f>
        <v>-8.5396257843184491E-3</v>
      </c>
      <c r="K6" s="736">
        <f>E6</f>
        <v>1200771538.4599996</v>
      </c>
    </row>
    <row r="7" spans="1:11" ht="11.25" customHeight="1" x14ac:dyDescent="0.25">
      <c r="A7" s="39" t="s">
        <v>843</v>
      </c>
      <c r="B7" s="419"/>
      <c r="C7" s="749">
        <v>2183865035</v>
      </c>
      <c r="D7" s="746">
        <v>2417937958.4970875</v>
      </c>
      <c r="E7" s="734">
        <v>2417937958.4970875</v>
      </c>
      <c r="F7" s="734">
        <v>146578513.18000001</v>
      </c>
      <c r="G7" s="734">
        <v>1980351493.54</v>
      </c>
      <c r="H7" s="734">
        <f>E7/12*11</f>
        <v>2216443128.6223302</v>
      </c>
      <c r="I7" s="44">
        <f t="shared" si="0"/>
        <v>-236091635.08233023</v>
      </c>
      <c r="J7" s="330">
        <f t="shared" si="1"/>
        <v>-0.10651824629900483</v>
      </c>
      <c r="K7" s="736">
        <f>E7</f>
        <v>2417937958.4970875</v>
      </c>
    </row>
    <row r="8" spans="1:11" ht="11.25" customHeight="1" x14ac:dyDescent="0.25">
      <c r="A8" s="86" t="s">
        <v>844</v>
      </c>
      <c r="B8" s="421"/>
      <c r="C8" s="749">
        <v>603660664</v>
      </c>
      <c r="D8" s="746">
        <v>662966142.04000008</v>
      </c>
      <c r="E8" s="734">
        <v>662966141.82400012</v>
      </c>
      <c r="F8" s="734">
        <v>56758155.120000005</v>
      </c>
      <c r="G8" s="734">
        <v>626522876.10000014</v>
      </c>
      <c r="H8" s="734">
        <f>E8/12*11</f>
        <v>607718963.3386668</v>
      </c>
      <c r="I8" s="44">
        <f t="shared" si="0"/>
        <v>18803912.761333346</v>
      </c>
      <c r="J8" s="330">
        <f t="shared" si="1"/>
        <v>3.0941790359854855E-2</v>
      </c>
      <c r="K8" s="736">
        <f>E8</f>
        <v>662966141.82400012</v>
      </c>
    </row>
    <row r="9" spans="1:11" ht="11.25" customHeight="1" x14ac:dyDescent="0.25">
      <c r="A9" s="86" t="s">
        <v>845</v>
      </c>
      <c r="B9" s="421"/>
      <c r="C9" s="749">
        <v>137071995</v>
      </c>
      <c r="D9" s="746">
        <v>145475358.24000001</v>
      </c>
      <c r="E9" s="734">
        <v>145296314.69999999</v>
      </c>
      <c r="F9" s="734">
        <v>14563542.630000001</v>
      </c>
      <c r="G9" s="734">
        <v>305461318</v>
      </c>
      <c r="H9" s="734">
        <f>E9/12*11</f>
        <v>133188288.47499999</v>
      </c>
      <c r="I9" s="44">
        <f t="shared" si="0"/>
        <v>172273029.52500001</v>
      </c>
      <c r="J9" s="330">
        <f t="shared" si="1"/>
        <v>1.2934547886868926</v>
      </c>
      <c r="K9" s="736">
        <f>E9</f>
        <v>145296314.69999999</v>
      </c>
    </row>
    <row r="10" spans="1:11" ht="11.25" customHeight="1" x14ac:dyDescent="0.25">
      <c r="A10" s="517" t="s">
        <v>73</v>
      </c>
      <c r="B10" s="421"/>
      <c r="C10" s="749">
        <v>106276001</v>
      </c>
      <c r="D10" s="746">
        <v>111323522.45999999</v>
      </c>
      <c r="E10" s="734">
        <v>111323522.45999999</v>
      </c>
      <c r="F10" s="734">
        <v>8468255.9100000001</v>
      </c>
      <c r="G10" s="734">
        <v>100498362.19</v>
      </c>
      <c r="H10" s="734">
        <f>E10/12*11</f>
        <v>102046562.255</v>
      </c>
      <c r="I10" s="44">
        <f t="shared" si="0"/>
        <v>-1548200.0649999976</v>
      </c>
      <c r="J10" s="330">
        <f t="shared" si="1"/>
        <v>-1.517150632797667E-2</v>
      </c>
      <c r="K10" s="736">
        <f>E10</f>
        <v>111323522.45999999</v>
      </c>
    </row>
    <row r="11" spans="1:11" ht="0.95" customHeight="1" x14ac:dyDescent="0.25">
      <c r="A11" s="86"/>
      <c r="B11" s="421"/>
      <c r="C11" s="649"/>
      <c r="D11" s="650"/>
      <c r="E11" s="408"/>
      <c r="F11" s="408"/>
      <c r="G11" s="408"/>
      <c r="H11" s="408"/>
      <c r="I11" s="408"/>
      <c r="J11" s="948"/>
      <c r="K11" s="643"/>
    </row>
    <row r="12" spans="1:11" ht="11.25" customHeight="1" x14ac:dyDescent="0.25">
      <c r="A12" s="86" t="s">
        <v>976</v>
      </c>
      <c r="B12" s="421"/>
      <c r="C12" s="749">
        <v>35220143</v>
      </c>
      <c r="D12" s="746">
        <v>27826600.600000001</v>
      </c>
      <c r="E12" s="734">
        <v>27826600.600000001</v>
      </c>
      <c r="F12" s="734">
        <v>5973520.0500000007</v>
      </c>
      <c r="G12" s="734">
        <v>35927347.380000003</v>
      </c>
      <c r="H12" s="734">
        <f t="shared" ref="H12:H14" si="2">E12/12*11</f>
        <v>25507717.216666665</v>
      </c>
      <c r="I12" s="44">
        <f t="shared" si="0"/>
        <v>10419630.163333338</v>
      </c>
      <c r="J12" s="330">
        <f t="shared" si="1"/>
        <v>0.40848932402799193</v>
      </c>
      <c r="K12" s="736">
        <f>E12</f>
        <v>27826600.600000001</v>
      </c>
    </row>
    <row r="13" spans="1:11" ht="11.25" customHeight="1" x14ac:dyDescent="0.25">
      <c r="A13" s="86" t="s">
        <v>848</v>
      </c>
      <c r="B13" s="421"/>
      <c r="C13" s="749">
        <v>39866400</v>
      </c>
      <c r="D13" s="746">
        <v>14702275.050000001</v>
      </c>
      <c r="E13" s="734">
        <v>14702275.050000001</v>
      </c>
      <c r="F13" s="734">
        <v>1390944.83</v>
      </c>
      <c r="G13" s="734">
        <v>12486102.010000002</v>
      </c>
      <c r="H13" s="734">
        <f t="shared" si="2"/>
        <v>13477085.462500002</v>
      </c>
      <c r="I13" s="44">
        <f t="shared" si="0"/>
        <v>-990983.4525000006</v>
      </c>
      <c r="J13" s="330">
        <f t="shared" si="1"/>
        <v>-7.3530991196680662E-2</v>
      </c>
      <c r="K13" s="736">
        <f>E13</f>
        <v>14702275.050000001</v>
      </c>
    </row>
    <row r="14" spans="1:11" ht="11.25" customHeight="1" x14ac:dyDescent="0.25">
      <c r="A14" s="86" t="s">
        <v>849</v>
      </c>
      <c r="B14" s="421"/>
      <c r="C14" s="749">
        <v>117861252</v>
      </c>
      <c r="D14" s="746">
        <v>193739515.68000001</v>
      </c>
      <c r="E14" s="734">
        <v>193739515.68000001</v>
      </c>
      <c r="F14" s="734">
        <v>23544545.830000006</v>
      </c>
      <c r="G14" s="734">
        <v>273049794.46000004</v>
      </c>
      <c r="H14" s="734">
        <f t="shared" si="2"/>
        <v>177594556.04000002</v>
      </c>
      <c r="I14" s="44">
        <f t="shared" si="0"/>
        <v>95455238.420000017</v>
      </c>
      <c r="J14" s="330">
        <f t="shared" si="1"/>
        <v>0.53748966493376304</v>
      </c>
      <c r="K14" s="736">
        <f>E14</f>
        <v>193739515.68000001</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181719.6</v>
      </c>
      <c r="G16" s="734">
        <v>9137130.2400000002</v>
      </c>
      <c r="H16" s="734">
        <f t="shared" ref="H16:H20" si="3">E16/12*11</f>
        <v>14725340.153333332</v>
      </c>
      <c r="I16" s="44">
        <f t="shared" si="0"/>
        <v>-5588209.9133333322</v>
      </c>
      <c r="J16" s="330">
        <f t="shared" si="1"/>
        <v>-0.37949615120220809</v>
      </c>
      <c r="K16" s="736">
        <f>E16</f>
        <v>16064007.439999999</v>
      </c>
    </row>
    <row r="17" spans="1:11" ht="11.25" customHeight="1" x14ac:dyDescent="0.25">
      <c r="A17" s="86" t="s">
        <v>850</v>
      </c>
      <c r="B17" s="421"/>
      <c r="C17" s="749">
        <v>112584</v>
      </c>
      <c r="D17" s="746">
        <v>1071357.9000000001</v>
      </c>
      <c r="E17" s="734">
        <v>1071357.9000000001</v>
      </c>
      <c r="F17" s="734">
        <v>5830.43</v>
      </c>
      <c r="G17" s="734">
        <v>477631.09</v>
      </c>
      <c r="H17" s="734">
        <f t="shared" si="3"/>
        <v>982078.07500000019</v>
      </c>
      <c r="I17" s="44">
        <f t="shared" si="0"/>
        <v>-504446.98500000016</v>
      </c>
      <c r="J17" s="330">
        <f t="shared" si="1"/>
        <v>-0.51365262889103813</v>
      </c>
      <c r="K17" s="736">
        <f>E17</f>
        <v>1071357.9000000001</v>
      </c>
    </row>
    <row r="18" spans="1:11" ht="11.25" customHeight="1" x14ac:dyDescent="0.25">
      <c r="A18" s="86" t="s">
        <v>587</v>
      </c>
      <c r="B18" s="421"/>
      <c r="C18" s="749">
        <v>392037</v>
      </c>
      <c r="D18" s="746">
        <v>575982.80000000005</v>
      </c>
      <c r="E18" s="734">
        <v>575982.80000000005</v>
      </c>
      <c r="F18" s="734"/>
      <c r="G18" s="734">
        <v>1255730</v>
      </c>
      <c r="H18" s="734">
        <f t="shared" si="3"/>
        <v>527984.2333333334</v>
      </c>
      <c r="I18" s="44">
        <f t="shared" si="0"/>
        <v>727745.7666666666</v>
      </c>
      <c r="J18" s="330">
        <f t="shared" si="1"/>
        <v>1.3783475352515258</v>
      </c>
      <c r="K18" s="736">
        <f>E18</f>
        <v>575982.80000000005</v>
      </c>
    </row>
    <row r="19" spans="1:11" ht="11.25" customHeight="1" x14ac:dyDescent="0.25">
      <c r="A19" s="518" t="s">
        <v>1131</v>
      </c>
      <c r="B19" s="421"/>
      <c r="C19" s="749">
        <v>667200100</v>
      </c>
      <c r="D19" s="746">
        <v>672022829</v>
      </c>
      <c r="E19" s="734">
        <v>687201130</v>
      </c>
      <c r="F19" s="734">
        <v>7343269.0899999999</v>
      </c>
      <c r="G19" s="734">
        <v>587984547.81999993</v>
      </c>
      <c r="H19" s="734">
        <f t="shared" si="3"/>
        <v>629934369.16666675</v>
      </c>
      <c r="I19" s="44">
        <f t="shared" si="0"/>
        <v>-41949821.346666813</v>
      </c>
      <c r="J19" s="330">
        <f t="shared" si="1"/>
        <v>-6.6593955497557256E-2</v>
      </c>
      <c r="K19" s="736">
        <f>E19</f>
        <v>687201130</v>
      </c>
    </row>
    <row r="20" spans="1:11" ht="11.25" customHeight="1" x14ac:dyDescent="0.25">
      <c r="A20" s="86" t="s">
        <v>460</v>
      </c>
      <c r="B20" s="421"/>
      <c r="C20" s="749">
        <v>159778553</v>
      </c>
      <c r="D20" s="746">
        <v>140145248.93999997</v>
      </c>
      <c r="E20" s="734">
        <v>140324292.47999999</v>
      </c>
      <c r="F20" s="734">
        <v>3028302.72</v>
      </c>
      <c r="G20" s="734">
        <v>95812114.950000003</v>
      </c>
      <c r="H20" s="734">
        <f t="shared" si="3"/>
        <v>128630601.44</v>
      </c>
      <c r="I20" s="44">
        <f t="shared" si="0"/>
        <v>-32818486.489999995</v>
      </c>
      <c r="J20" s="330">
        <f t="shared" si="1"/>
        <v>-0.25513747213028654</v>
      </c>
      <c r="K20" s="736">
        <f>E20</f>
        <v>140324292.47999999</v>
      </c>
    </row>
    <row r="21" spans="1:11" ht="11.25" customHeight="1" x14ac:dyDescent="0.25">
      <c r="A21" s="39" t="s">
        <v>851</v>
      </c>
      <c r="B21" s="419"/>
      <c r="C21" s="749"/>
      <c r="D21" s="746"/>
      <c r="E21" s="734"/>
      <c r="F21" s="734">
        <v>-31897.119999999999</v>
      </c>
      <c r="G21" s="734">
        <v>423156.49</v>
      </c>
      <c r="H21" s="734"/>
      <c r="I21" s="44">
        <f t="shared" si="0"/>
        <v>423156.49</v>
      </c>
      <c r="J21" s="330" t="e">
        <f t="shared" si="1"/>
        <v>#DIV/0!</v>
      </c>
      <c r="K21" s="736"/>
    </row>
    <row r="22" spans="1:11" ht="24.75" customHeight="1" x14ac:dyDescent="0.25">
      <c r="A22" s="587" t="s">
        <v>140</v>
      </c>
      <c r="B22" s="588"/>
      <c r="C22" s="522">
        <f t="shared" ref="C22:H22" si="4">SUM(C6:C10)+SUM(C12:C21)</f>
        <v>5027344757</v>
      </c>
      <c r="D22" s="523">
        <f t="shared" si="4"/>
        <v>5604622337.1070871</v>
      </c>
      <c r="E22" s="524">
        <f t="shared" si="4"/>
        <v>5619800637.8910866</v>
      </c>
      <c r="F22" s="524">
        <f t="shared" si="4"/>
        <v>368880090.47000003</v>
      </c>
      <c r="G22" s="524">
        <f t="shared" si="4"/>
        <v>5120695219.9000006</v>
      </c>
      <c r="H22" s="524">
        <f t="shared" si="4"/>
        <v>5151483918.0668297</v>
      </c>
      <c r="I22" s="524">
        <f t="shared" si="0"/>
        <v>-30788698.166829109</v>
      </c>
      <c r="J22" s="525">
        <f t="shared" si="1"/>
        <v>-5.9766658804562512E-3</v>
      </c>
      <c r="K22" s="526">
        <f>SUM(K6:K10)+SUM(K12:K21)</f>
        <v>5619800637.8910866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1455869442.71</v>
      </c>
      <c r="E25" s="734">
        <v>1455410731.7000008</v>
      </c>
      <c r="F25" s="734">
        <v>103124589.31000015</v>
      </c>
      <c r="G25" s="734">
        <v>1172123441.6800003</v>
      </c>
      <c r="H25" s="734">
        <f t="shared" ref="H25:H34" si="5">E25/12*11</f>
        <v>1334126504.0583339</v>
      </c>
      <c r="I25" s="44">
        <f t="shared" ref="I25:I36" si="6">G25-H25</f>
        <v>-162003062.37833357</v>
      </c>
      <c r="J25" s="330">
        <f t="shared" ref="J25:J41" si="7">IF(I25=0,"",I25/H25)</f>
        <v>-0.12143006070678443</v>
      </c>
      <c r="K25" s="736">
        <f t="shared" ref="K25:K35" si="8">E25</f>
        <v>1455410731.7000008</v>
      </c>
    </row>
    <row r="26" spans="1:11" ht="12.75" customHeight="1" x14ac:dyDescent="0.25">
      <c r="A26" s="39" t="s">
        <v>484</v>
      </c>
      <c r="B26" s="419"/>
      <c r="C26" s="749">
        <v>48573499</v>
      </c>
      <c r="D26" s="746">
        <v>51487908.93999999</v>
      </c>
      <c r="E26" s="734">
        <v>51487908.93999999</v>
      </c>
      <c r="F26" s="734">
        <v>3683708.9899999993</v>
      </c>
      <c r="G26" s="734">
        <v>40067939.060000002</v>
      </c>
      <c r="H26" s="734">
        <f t="shared" si="5"/>
        <v>47197249.861666657</v>
      </c>
      <c r="I26" s="44">
        <f t="shared" si="6"/>
        <v>-7129310.8016666546</v>
      </c>
      <c r="J26" s="330">
        <f t="shared" si="7"/>
        <v>-0.15105352160480523</v>
      </c>
      <c r="K26" s="736">
        <f t="shared" si="8"/>
        <v>51487908.93999999</v>
      </c>
    </row>
    <row r="27" spans="1:11" ht="12.75" customHeight="1" x14ac:dyDescent="0.25">
      <c r="A27" s="86" t="s">
        <v>618</v>
      </c>
      <c r="B27" s="421"/>
      <c r="C27" s="749">
        <v>110178020</v>
      </c>
      <c r="D27" s="746">
        <v>116890701.2</v>
      </c>
      <c r="E27" s="734">
        <v>116890701.2</v>
      </c>
      <c r="F27" s="734">
        <v>-863534349.81999993</v>
      </c>
      <c r="G27" s="734">
        <v>-834462145.27999997</v>
      </c>
      <c r="H27" s="734">
        <f t="shared" si="5"/>
        <v>107149809.43333334</v>
      </c>
      <c r="I27" s="44">
        <f t="shared" si="6"/>
        <v>-941611954.71333337</v>
      </c>
      <c r="J27" s="330">
        <f t="shared" si="7"/>
        <v>-8.7878080203137205</v>
      </c>
      <c r="K27" s="736">
        <f t="shared" si="8"/>
        <v>116890701.2</v>
      </c>
    </row>
    <row r="28" spans="1:11" ht="12.75" customHeight="1" x14ac:dyDescent="0.25">
      <c r="A28" s="86" t="s">
        <v>671</v>
      </c>
      <c r="B28" s="421"/>
      <c r="C28" s="749">
        <v>467691505</v>
      </c>
      <c r="D28" s="746">
        <v>492025080.2500006</v>
      </c>
      <c r="E28" s="734">
        <v>492071235.64999992</v>
      </c>
      <c r="F28" s="734">
        <v>-13344484.979999984</v>
      </c>
      <c r="G28" s="734">
        <v>378057287.31000036</v>
      </c>
      <c r="H28" s="734">
        <f t="shared" si="5"/>
        <v>451065299.34583324</v>
      </c>
      <c r="I28" s="44">
        <f t="shared" si="6"/>
        <v>-73008012.035832882</v>
      </c>
      <c r="J28" s="330">
        <f t="shared" si="7"/>
        <v>-0.16185685784677797</v>
      </c>
      <c r="K28" s="736">
        <f t="shared" si="8"/>
        <v>492071235.64999992</v>
      </c>
    </row>
    <row r="29" spans="1:11" ht="12.75" customHeight="1" x14ac:dyDescent="0.25">
      <c r="A29" s="86" t="s">
        <v>459</v>
      </c>
      <c r="B29" s="421"/>
      <c r="C29" s="749">
        <v>50676476</v>
      </c>
      <c r="D29" s="746">
        <v>41660099</v>
      </c>
      <c r="E29" s="734">
        <v>41660099</v>
      </c>
      <c r="F29" s="734">
        <v>9633317.6600000001</v>
      </c>
      <c r="G29" s="734">
        <v>40425570.939999998</v>
      </c>
      <c r="H29" s="734">
        <f t="shared" si="5"/>
        <v>38188424.083333328</v>
      </c>
      <c r="I29" s="44">
        <f t="shared" si="6"/>
        <v>2237146.8566666692</v>
      </c>
      <c r="J29" s="330">
        <f t="shared" si="7"/>
        <v>5.8581806145884742E-2</v>
      </c>
      <c r="K29" s="736">
        <f t="shared" si="8"/>
        <v>41660099</v>
      </c>
    </row>
    <row r="30" spans="1:11" ht="12.75" customHeight="1" x14ac:dyDescent="0.25">
      <c r="A30" s="86" t="s">
        <v>855</v>
      </c>
      <c r="B30" s="421"/>
      <c r="C30" s="749">
        <v>2010059855</v>
      </c>
      <c r="D30" s="746">
        <v>2282599888.9785767</v>
      </c>
      <c r="E30" s="734">
        <v>2282599888.9785767</v>
      </c>
      <c r="F30" s="734">
        <v>125016127.78</v>
      </c>
      <c r="G30" s="734">
        <v>2183701045.6100001</v>
      </c>
      <c r="H30" s="734">
        <f t="shared" si="5"/>
        <v>2092383231.5636952</v>
      </c>
      <c r="I30" s="44">
        <f t="shared" si="6"/>
        <v>91317814.046304941</v>
      </c>
      <c r="J30" s="330">
        <f t="shared" si="7"/>
        <v>4.3642967821941797E-2</v>
      </c>
      <c r="K30" s="736">
        <f t="shared" si="8"/>
        <v>2282599888.9785767</v>
      </c>
    </row>
    <row r="31" spans="1:11" ht="12.75" customHeight="1" x14ac:dyDescent="0.25">
      <c r="A31" s="86" t="s">
        <v>933</v>
      </c>
      <c r="B31" s="421"/>
      <c r="C31" s="749">
        <v>59068739.030000009</v>
      </c>
      <c r="D31" s="746">
        <v>55756420.649999999</v>
      </c>
      <c r="E31" s="734">
        <v>51560937.43</v>
      </c>
      <c r="F31" s="734">
        <v>8059505.8899999997</v>
      </c>
      <c r="G31" s="734">
        <v>44155393.770000055</v>
      </c>
      <c r="H31" s="734">
        <f t="shared" si="5"/>
        <v>47264192.644166671</v>
      </c>
      <c r="I31" s="44">
        <f t="shared" si="6"/>
        <v>-3108798.8741666153</v>
      </c>
      <c r="J31" s="330">
        <f t="shared" si="7"/>
        <v>-6.5774928127335777E-2</v>
      </c>
      <c r="K31" s="736">
        <f t="shared" si="8"/>
        <v>51560937.43</v>
      </c>
    </row>
    <row r="32" spans="1:11" ht="12.75" customHeight="1" x14ac:dyDescent="0.25">
      <c r="A32" s="86" t="s">
        <v>856</v>
      </c>
      <c r="B32" s="421"/>
      <c r="C32" s="749">
        <v>671010484.44999993</v>
      </c>
      <c r="D32" s="746">
        <v>587242320.13000011</v>
      </c>
      <c r="E32" s="734">
        <v>524585180</v>
      </c>
      <c r="F32" s="734">
        <v>45789345.470000021</v>
      </c>
      <c r="G32" s="734">
        <v>382641307.14999986</v>
      </c>
      <c r="H32" s="734">
        <f t="shared" si="5"/>
        <v>480869748.33333331</v>
      </c>
      <c r="I32" s="44">
        <f t="shared" si="6"/>
        <v>-98228441.183333457</v>
      </c>
      <c r="J32" s="330">
        <f t="shared" si="7"/>
        <v>-0.20427244908582323</v>
      </c>
      <c r="K32" s="736">
        <f t="shared" si="8"/>
        <v>524585180</v>
      </c>
    </row>
    <row r="33" spans="1:12" ht="12.75" customHeight="1" x14ac:dyDescent="0.25">
      <c r="A33" s="517" t="s">
        <v>1131</v>
      </c>
      <c r="B33" s="421"/>
      <c r="C33" s="749">
        <v>42492244</v>
      </c>
      <c r="D33" s="746">
        <v>46379439.519999988</v>
      </c>
      <c r="E33" s="734">
        <v>49902933.629999988</v>
      </c>
      <c r="F33" s="734">
        <v>5490336.9500000002</v>
      </c>
      <c r="G33" s="734">
        <v>48031949.670000002</v>
      </c>
      <c r="H33" s="734">
        <f t="shared" si="5"/>
        <v>45744355.827499986</v>
      </c>
      <c r="I33" s="44">
        <f t="shared" si="6"/>
        <v>2287593.8425000161</v>
      </c>
      <c r="J33" s="330">
        <f t="shared" si="7"/>
        <v>5.0008220710909886E-2</v>
      </c>
      <c r="K33" s="736">
        <f t="shared" si="8"/>
        <v>49902933.629999988</v>
      </c>
    </row>
    <row r="34" spans="1:12" ht="12.75" customHeight="1" x14ac:dyDescent="0.25">
      <c r="A34" s="86" t="s">
        <v>440</v>
      </c>
      <c r="B34" s="421"/>
      <c r="C34" s="749">
        <v>206293884.52000001</v>
      </c>
      <c r="D34" s="746">
        <v>198552291.56999794</v>
      </c>
      <c r="E34" s="734">
        <v>165922456.08000007</v>
      </c>
      <c r="F34" s="734">
        <v>10196265.629999997</v>
      </c>
      <c r="G34" s="734">
        <v>323516967.48999983</v>
      </c>
      <c r="H34" s="734">
        <f t="shared" si="5"/>
        <v>152095584.74000007</v>
      </c>
      <c r="I34" s="44">
        <f t="shared" si="6"/>
        <v>171421382.74999976</v>
      </c>
      <c r="J34" s="330">
        <f t="shared" si="7"/>
        <v>1.1270635044602786</v>
      </c>
      <c r="K34" s="736">
        <f t="shared" si="8"/>
        <v>165922456.08000007</v>
      </c>
    </row>
    <row r="35" spans="1:12" ht="12.75" customHeight="1" x14ac:dyDescent="0.25">
      <c r="A35" s="39" t="s">
        <v>585</v>
      </c>
      <c r="B35" s="419"/>
      <c r="C35" s="749"/>
      <c r="D35" s="746">
        <v>43396</v>
      </c>
      <c r="E35" s="734"/>
      <c r="F35" s="734"/>
      <c r="G35" s="734">
        <v>1047008.75</v>
      </c>
      <c r="H35" s="734"/>
      <c r="I35" s="44">
        <f t="shared" si="6"/>
        <v>1047008.75</v>
      </c>
      <c r="J35" s="330" t="e">
        <f t="shared" si="7"/>
        <v>#DIV/0!</v>
      </c>
      <c r="K35" s="736">
        <f t="shared" si="8"/>
        <v>0</v>
      </c>
    </row>
    <row r="36" spans="1:12" ht="12.75" customHeight="1" x14ac:dyDescent="0.25">
      <c r="A36" s="92" t="s">
        <v>495</v>
      </c>
      <c r="B36" s="422"/>
      <c r="C36" s="243">
        <f t="shared" ref="C36:K36" si="9">SUM(C25:C35)</f>
        <v>4934358439.000001</v>
      </c>
      <c r="D36" s="74">
        <f>SUM(D25:D35)</f>
        <v>5328506988.948575</v>
      </c>
      <c r="E36" s="73">
        <f>SUM(E25:E35)</f>
        <v>5232092072.6085777</v>
      </c>
      <c r="F36" s="73">
        <f t="shared" si="9"/>
        <v>-565885637.11999977</v>
      </c>
      <c r="G36" s="73">
        <f t="shared" si="9"/>
        <v>3779305766.1500006</v>
      </c>
      <c r="H36" s="73">
        <f t="shared" si="9"/>
        <v>4796084399.8911953</v>
      </c>
      <c r="I36" s="73">
        <f t="shared" si="6"/>
        <v>-1016778633.7411947</v>
      </c>
      <c r="J36" s="331">
        <f t="shared" si="7"/>
        <v>-0.2120018225209426</v>
      </c>
      <c r="K36" s="145">
        <f t="shared" si="9"/>
        <v>5232092072.6085777</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10">C22-C36</f>
        <v>92986317.999999046</v>
      </c>
      <c r="D38" s="51">
        <f t="shared" si="10"/>
        <v>276115348.15851212</v>
      </c>
      <c r="E38" s="50">
        <f t="shared" si="10"/>
        <v>387708565.28250885</v>
      </c>
      <c r="F38" s="50">
        <f t="shared" si="10"/>
        <v>934765727.58999979</v>
      </c>
      <c r="G38" s="50">
        <f t="shared" si="10"/>
        <v>1341389453.75</v>
      </c>
      <c r="H38" s="50">
        <f t="shared" si="10"/>
        <v>355399518.17563438</v>
      </c>
      <c r="I38" s="102">
        <f>I22-I36</f>
        <v>985989935.57436562</v>
      </c>
      <c r="J38" s="102">
        <f t="shared" si="7"/>
        <v>2.7743142158316059</v>
      </c>
      <c r="K38" s="194">
        <f>K22-K36</f>
        <v>387708565.28250885</v>
      </c>
    </row>
    <row r="39" spans="1:12" ht="19.899999999999999" customHeight="1" x14ac:dyDescent="0.25">
      <c r="A39" s="938" t="s">
        <v>1132</v>
      </c>
      <c r="B39" s="419"/>
      <c r="C39" s="749">
        <v>460142625</v>
      </c>
      <c r="D39" s="746">
        <v>439342400</v>
      </c>
      <c r="E39" s="734">
        <v>674822398</v>
      </c>
      <c r="F39" s="734">
        <v>45043895.799999997</v>
      </c>
      <c r="G39" s="734">
        <v>306507259.23999989</v>
      </c>
      <c r="H39" s="734">
        <f t="shared" ref="H39" si="11">E39/12*11</f>
        <v>618587198.16666675</v>
      </c>
      <c r="I39" s="47">
        <f>G39-H39</f>
        <v>-312079938.92666686</v>
      </c>
      <c r="J39" s="102">
        <f t="shared" si="7"/>
        <v>-0.50450436066506299</v>
      </c>
      <c r="K39" s="736">
        <f>E39</f>
        <v>674822398</v>
      </c>
    </row>
    <row r="40" spans="1:12" ht="39.6" customHeight="1" x14ac:dyDescent="0.25">
      <c r="A40" s="938" t="s">
        <v>1133</v>
      </c>
      <c r="B40" s="419"/>
      <c r="C40" s="749"/>
      <c r="D40" s="746"/>
      <c r="E40" s="734"/>
      <c r="F40" s="734"/>
      <c r="G40" s="734"/>
      <c r="H40" s="734"/>
      <c r="I40" s="47">
        <f>G40-H40</f>
        <v>0</v>
      </c>
      <c r="J40" s="102" t="str">
        <f t="shared" si="7"/>
        <v/>
      </c>
      <c r="K40" s="736"/>
    </row>
    <row r="41" spans="1:12" ht="12.75" customHeight="1" x14ac:dyDescent="0.25">
      <c r="A41" s="518" t="s">
        <v>1134</v>
      </c>
      <c r="B41" s="419"/>
      <c r="C41" s="750"/>
      <c r="D41" s="751"/>
      <c r="E41" s="752"/>
      <c r="F41" s="752"/>
      <c r="G41" s="752"/>
      <c r="H41" s="752"/>
      <c r="I41" s="47">
        <f>G41-H41</f>
        <v>0</v>
      </c>
      <c r="J41" s="102" t="str">
        <f t="shared" si="7"/>
        <v/>
      </c>
      <c r="K41" s="753"/>
    </row>
    <row r="42" spans="1:12" ht="25.5" x14ac:dyDescent="0.25">
      <c r="A42" s="250" t="s">
        <v>761</v>
      </c>
      <c r="B42" s="521"/>
      <c r="C42" s="252">
        <f t="shared" ref="C42:H42" si="12">C38+SUM(C39:C41)</f>
        <v>553128942.99999905</v>
      </c>
      <c r="D42" s="253">
        <f t="shared" si="12"/>
        <v>715457748.15851212</v>
      </c>
      <c r="E42" s="254">
        <f t="shared" si="12"/>
        <v>1062530963.2825089</v>
      </c>
      <c r="F42" s="254">
        <f t="shared" si="12"/>
        <v>979809623.38999975</v>
      </c>
      <c r="G42" s="254">
        <f t="shared" si="12"/>
        <v>1647896712.9899998</v>
      </c>
      <c r="H42" s="254">
        <f t="shared" si="12"/>
        <v>973986716.34230113</v>
      </c>
      <c r="I42" s="329"/>
      <c r="J42" s="329"/>
      <c r="K42" s="255">
        <f>K38+SUM(K39:K41)</f>
        <v>1062530963.2825089</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3">C42-C43</f>
        <v>553128942.99999905</v>
      </c>
      <c r="D44" s="51">
        <f t="shared" si="13"/>
        <v>715457748.15851212</v>
      </c>
      <c r="E44" s="50">
        <f t="shared" si="13"/>
        <v>1062530963.2825089</v>
      </c>
      <c r="F44" s="50">
        <f t="shared" si="13"/>
        <v>979809623.38999975</v>
      </c>
      <c r="G44" s="50">
        <f t="shared" si="13"/>
        <v>1647896712.9899998</v>
      </c>
      <c r="H44" s="50">
        <f t="shared" si="13"/>
        <v>973986716.34230113</v>
      </c>
      <c r="I44" s="327"/>
      <c r="J44" s="327"/>
      <c r="K44" s="194">
        <f>K42-K43</f>
        <v>1062530963.2825089</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4">SUM(C44:C45)</f>
        <v>553128942.99999905</v>
      </c>
      <c r="D46" s="530">
        <f t="shared" si="14"/>
        <v>715457748.15851212</v>
      </c>
      <c r="E46" s="528">
        <f t="shared" si="14"/>
        <v>1062530963.2825089</v>
      </c>
      <c r="F46" s="528">
        <f t="shared" si="14"/>
        <v>979809623.38999975</v>
      </c>
      <c r="G46" s="528">
        <f t="shared" si="14"/>
        <v>1647896712.9899998</v>
      </c>
      <c r="H46" s="528">
        <f t="shared" si="14"/>
        <v>973986716.34230113</v>
      </c>
      <c r="I46" s="273"/>
      <c r="J46" s="273"/>
      <c r="K46" s="529">
        <f>SUM(K44:K45)</f>
        <v>1062530963.2825089</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5">C46+C47</f>
        <v>553128942.99999905</v>
      </c>
      <c r="D48" s="77">
        <f t="shared" si="15"/>
        <v>715457748.15851212</v>
      </c>
      <c r="E48" s="76">
        <f t="shared" si="15"/>
        <v>1062530963.2825089</v>
      </c>
      <c r="F48" s="76">
        <f t="shared" si="15"/>
        <v>979809623.38999975</v>
      </c>
      <c r="G48" s="76">
        <f t="shared" si="15"/>
        <v>1647896712.9899998</v>
      </c>
      <c r="H48" s="76">
        <f t="shared" si="15"/>
        <v>973986716.34230113</v>
      </c>
      <c r="I48" s="334"/>
      <c r="J48" s="334"/>
      <c r="K48" s="234">
        <f>K46+K47</f>
        <v>1062530963.2825089</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6">C22+SUM(C39:C41)</f>
        <v>5487487382</v>
      </c>
      <c r="D53" s="62">
        <f t="shared" si="16"/>
        <v>6043964737.1070871</v>
      </c>
      <c r="E53" s="62">
        <f t="shared" si="16"/>
        <v>6294623035.8910866</v>
      </c>
      <c r="F53" s="62">
        <f t="shared" si="16"/>
        <v>413923986.27000004</v>
      </c>
      <c r="G53" s="62">
        <f t="shared" si="16"/>
        <v>5427202479.1400003</v>
      </c>
      <c r="H53" s="62">
        <f t="shared" si="16"/>
        <v>5770071116.2334967</v>
      </c>
      <c r="I53" s="62"/>
      <c r="J53" s="62"/>
      <c r="K53" s="62">
        <f>K22+SUM(K39:K41)</f>
        <v>6294623035.8910866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65" activePane="bottomRight" state="frozen"/>
      <selection pane="topRight"/>
      <selection pane="bottomLeft"/>
      <selection pane="bottomRight" activeCell="O13" sqref="O13"/>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9" t="str">
        <f>muni&amp; " - "&amp;S71D&amp; " - "&amp;date</f>
        <v>KZN225 Msunduzi - Table C5 Consolidated Monthly Budget Statement - Capital Expenditure (municipal vote, functional classification and funding  - M10 April</v>
      </c>
      <c r="B1" s="1029"/>
      <c r="C1" s="1029"/>
      <c r="D1" s="1029"/>
      <c r="E1" s="1029"/>
      <c r="F1" s="1029"/>
      <c r="G1" s="1029"/>
      <c r="H1" s="1029"/>
      <c r="I1" s="1029"/>
      <c r="J1" s="1029"/>
      <c r="K1" s="1029"/>
    </row>
    <row r="2" spans="1:12" x14ac:dyDescent="0.25">
      <c r="A2" s="1027" t="str">
        <f>Vdesc</f>
        <v>Vote Description</v>
      </c>
      <c r="B2" s="1036" t="str">
        <f>head27</f>
        <v>Ref</v>
      </c>
      <c r="C2" s="139" t="str">
        <f>Head1</f>
        <v>2018/19</v>
      </c>
      <c r="D2" s="245" t="str">
        <f>Head2</f>
        <v>Budget Year 2019/20</v>
      </c>
      <c r="E2" s="229"/>
      <c r="F2" s="229"/>
      <c r="G2" s="229"/>
      <c r="H2" s="229"/>
      <c r="I2" s="229"/>
      <c r="J2" s="229"/>
      <c r="K2" s="230"/>
    </row>
    <row r="3" spans="1:12" ht="25.5" x14ac:dyDescent="0.25">
      <c r="A3" s="1028"/>
      <c r="B3" s="1037"/>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0</v>
      </c>
      <c r="G7" s="408">
        <f>'C5C'!G18</f>
        <v>0</v>
      </c>
      <c r="H7" s="408">
        <f>'C5C'!H18</f>
        <v>23461629.803333197</v>
      </c>
      <c r="I7" s="44">
        <f>G7-H7</f>
        <v>-23461629.803333197</v>
      </c>
      <c r="J7" s="330">
        <f>IF(I7=0,"",I7/H7)</f>
        <v>-1</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45217.38</v>
      </c>
      <c r="G8" s="408">
        <f>'C5C'!G29</f>
        <v>2953167.4400000004</v>
      </c>
      <c r="H8" s="408">
        <f>'C5C'!H29</f>
        <v>15005814.504999999</v>
      </c>
      <c r="I8" s="44">
        <f t="shared" ref="I8:I17" si="0">G8-H8</f>
        <v>-12052647.064999998</v>
      </c>
      <c r="J8" s="330">
        <f t="shared" ref="J8:J17" si="1">IF(I8=0,"",I8/H8)</f>
        <v>-0.80319845757016428</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0</v>
      </c>
      <c r="G9" s="408">
        <f>'C5C'!G40</f>
        <v>1580656.8800000001</v>
      </c>
      <c r="H9" s="408">
        <f>'C5C'!H40</f>
        <v>73449.401666666672</v>
      </c>
      <c r="I9" s="44">
        <f t="shared" si="0"/>
        <v>1507207.4783333335</v>
      </c>
      <c r="J9" s="330">
        <f t="shared" si="1"/>
        <v>20.520350664984996</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0</v>
      </c>
      <c r="G10" s="408">
        <f>'C5C'!G51</f>
        <v>0</v>
      </c>
      <c r="H10" s="408">
        <f>'C5C'!H51</f>
        <v>330668169.33333355</v>
      </c>
      <c r="I10" s="44">
        <f t="shared" si="0"/>
        <v>-330668169.33333355</v>
      </c>
      <c r="J10" s="330">
        <f t="shared" si="1"/>
        <v>-1</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60790000.399999999</v>
      </c>
      <c r="E11" s="408">
        <f>'C5C'!E62</f>
        <v>40817166.699999996</v>
      </c>
      <c r="F11" s="408">
        <f>'C5C'!F62</f>
        <v>1883185</v>
      </c>
      <c r="G11" s="408">
        <f>'C5C'!G62</f>
        <v>3554126.02</v>
      </c>
      <c r="H11" s="408">
        <f>'C5C'!H62</f>
        <v>37415736.141666666</v>
      </c>
      <c r="I11" s="44">
        <f t="shared" si="0"/>
        <v>-33861610.121666662</v>
      </c>
      <c r="J11" s="330">
        <f t="shared" si="1"/>
        <v>-0.90500985984765692</v>
      </c>
      <c r="K11" s="643">
        <f>'C5C'!K62</f>
        <v>40817166.699999996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489965757.39999998</v>
      </c>
      <c r="E21" s="430">
        <f t="shared" si="2"/>
        <v>443590690.0200001</v>
      </c>
      <c r="F21" s="430">
        <f t="shared" si="2"/>
        <v>1928402.38</v>
      </c>
      <c r="G21" s="430">
        <f t="shared" si="2"/>
        <v>8087950.3399999999</v>
      </c>
      <c r="H21" s="430">
        <f t="shared" si="2"/>
        <v>406624799.18500006</v>
      </c>
      <c r="I21" s="430">
        <f t="shared" si="2"/>
        <v>-398536848.84500009</v>
      </c>
      <c r="J21" s="431">
        <f>IF(I21=0,"",I21/H21)</f>
        <v>-0.98010954974657061</v>
      </c>
      <c r="K21" s="513">
        <f>SUM(K6:K20)</f>
        <v>443590690.0200001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28408.35</v>
      </c>
      <c r="G24" s="44">
        <f>'C5C'!G176</f>
        <v>141517.54999999999</v>
      </c>
      <c r="H24" s="44">
        <f>'C5C'!H176</f>
        <v>4589136.7225000001</v>
      </c>
      <c r="I24" s="44">
        <f>'C5C'!I176</f>
        <v>-4447619.1725000003</v>
      </c>
      <c r="J24" s="330">
        <f>IF(I24=0,"",I24/H24)</f>
        <v>-0.96916248990661891</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1834351.4</v>
      </c>
      <c r="G25" s="44">
        <f>'C5C'!G187</f>
        <v>5404694.4400000004</v>
      </c>
      <c r="H25" s="44">
        <f>'C5C'!H187</f>
        <v>7202158.5258333329</v>
      </c>
      <c r="I25" s="44">
        <f>'C5C'!I187</f>
        <v>-1797464.0858333325</v>
      </c>
      <c r="J25" s="330">
        <f t="shared" ref="J25:J39" si="3">IF(I25=0,"",I25/H25)</f>
        <v>-0.24957296890731173</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-6453238.2800000003</v>
      </c>
      <c r="G26" s="44">
        <f>'C5C'!G198</f>
        <v>-7528536.0200000005</v>
      </c>
      <c r="H26" s="44">
        <f>'C5C'!H198</f>
        <v>15991109.090000002</v>
      </c>
      <c r="I26" s="44">
        <f>'C5C'!I198</f>
        <v>-23519645.110000003</v>
      </c>
      <c r="J26" s="330">
        <f t="shared" si="3"/>
        <v>-1.4707951135614448</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0</v>
      </c>
      <c r="G27" s="44">
        <f>'C5C'!G209</f>
        <v>0</v>
      </c>
      <c r="H27" s="44">
        <f>'C5C'!H209</f>
        <v>2312901.25</v>
      </c>
      <c r="I27" s="44">
        <f>'C5C'!I209</f>
        <v>-2312901.25</v>
      </c>
      <c r="J27" s="330">
        <f t="shared" si="3"/>
        <v>-1</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28326718.219999999</v>
      </c>
      <c r="G28" s="44">
        <f>'C5C'!G220</f>
        <v>218356556.72999999</v>
      </c>
      <c r="H28" s="44">
        <f>'C5C'!H220</f>
        <v>32922681</v>
      </c>
      <c r="I28" s="44">
        <f>'C5C'!I220</f>
        <v>185433875.72999999</v>
      </c>
      <c r="J28" s="330">
        <f t="shared" si="3"/>
        <v>5.6324050805582928</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234399552.22999999</v>
      </c>
      <c r="F29" s="44">
        <f>'C5C'!F231</f>
        <v>0</v>
      </c>
      <c r="G29" s="44">
        <f>'C5C'!G231</f>
        <v>63645362.850000009</v>
      </c>
      <c r="H29" s="44">
        <f>'C5C'!H231</f>
        <v>214866256.21083334</v>
      </c>
      <c r="I29" s="44">
        <f>'C5C'!I231</f>
        <v>-151220893.36083335</v>
      </c>
      <c r="J29" s="330">
        <f t="shared" si="3"/>
        <v>-0.7037907953887873</v>
      </c>
      <c r="K29" s="144">
        <f>'C5C'!K231</f>
        <v>234399552.22999999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303146446.69</v>
      </c>
      <c r="F39" s="161">
        <f t="shared" si="4"/>
        <v>23736239.689999998</v>
      </c>
      <c r="G39" s="161">
        <f t="shared" si="4"/>
        <v>280019595.55000001</v>
      </c>
      <c r="H39" s="161">
        <f t="shared" si="4"/>
        <v>277884242.79916668</v>
      </c>
      <c r="I39" s="73">
        <f t="shared" si="4"/>
        <v>2135352.7508333027</v>
      </c>
      <c r="J39" s="331">
        <f t="shared" si="3"/>
        <v>7.6843247005429207E-3</v>
      </c>
      <c r="K39" s="263">
        <f>SUM(K24:K38)</f>
        <v>303146446.69</v>
      </c>
      <c r="L39" s="100"/>
    </row>
    <row r="40" spans="1:12" ht="12.75" customHeight="1" x14ac:dyDescent="0.25">
      <c r="A40" s="92" t="s">
        <v>770</v>
      </c>
      <c r="B40" s="422"/>
      <c r="C40" s="243">
        <f t="shared" ref="C40:I40" si="5">C39+C21</f>
        <v>613486541</v>
      </c>
      <c r="D40" s="260">
        <f t="shared" si="5"/>
        <v>555371301.39999998</v>
      </c>
      <c r="E40" s="73">
        <f t="shared" si="5"/>
        <v>746737136.71000004</v>
      </c>
      <c r="F40" s="73">
        <f t="shared" si="5"/>
        <v>25664642.069999997</v>
      </c>
      <c r="G40" s="73">
        <f t="shared" si="5"/>
        <v>288107545.88999999</v>
      </c>
      <c r="H40" s="73">
        <f t="shared" si="5"/>
        <v>684509041.98416674</v>
      </c>
      <c r="I40" s="73">
        <f t="shared" si="5"/>
        <v>-396401496.09416676</v>
      </c>
      <c r="J40" s="331">
        <f>IF(I40=0,"",I40/H40)</f>
        <v>-0.57910337450785032</v>
      </c>
      <c r="K40" s="145">
        <f>K39+K21</f>
        <v>746737136.71000004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1853191.2</v>
      </c>
      <c r="G43" s="638">
        <f t="shared" si="6"/>
        <v>5877549.8799999999</v>
      </c>
      <c r="H43" s="638">
        <f t="shared" si="6"/>
        <v>37547492.968333207</v>
      </c>
      <c r="I43" s="44">
        <f t="shared" ref="I43:I62" si="7">G43-H43</f>
        <v>-31669943.088333208</v>
      </c>
      <c r="J43" s="330">
        <f>IF(I43=0,"",I43/H43)</f>
        <v>-0.8434635866379413</v>
      </c>
      <c r="K43" s="642">
        <f>SUM(K44:K46)</f>
        <v>40960901.419999868</v>
      </c>
      <c r="L43" s="100"/>
    </row>
    <row r="44" spans="1:12" ht="12.75" customHeight="1" x14ac:dyDescent="0.25">
      <c r="A44" s="416" t="s">
        <v>112</v>
      </c>
      <c r="B44" s="419"/>
      <c r="C44" s="736">
        <v>3715815</v>
      </c>
      <c r="D44" s="754">
        <v>2178500</v>
      </c>
      <c r="E44" s="734">
        <v>4705618.88</v>
      </c>
      <c r="F44" s="734">
        <v>18839.8</v>
      </c>
      <c r="G44" s="734">
        <v>75429.600000000006</v>
      </c>
      <c r="H44" s="734">
        <f t="shared" ref="H44:H46" si="8">E44/12*11</f>
        <v>4313483.9733333336</v>
      </c>
      <c r="I44" s="44">
        <f t="shared" si="7"/>
        <v>-4238054.373333334</v>
      </c>
      <c r="J44" s="330">
        <f t="shared" ref="J44:J63" si="9">IF(I44=0,"",I44/H44)</f>
        <v>-0.98251306821439055</v>
      </c>
      <c r="K44" s="736">
        <f>E44</f>
        <v>4705618.88</v>
      </c>
      <c r="L44" s="100"/>
    </row>
    <row r="45" spans="1:12" ht="12.75" customHeight="1" x14ac:dyDescent="0.25">
      <c r="A45" s="416" t="s">
        <v>1136</v>
      </c>
      <c r="B45" s="419"/>
      <c r="C45" s="755">
        <v>24297118</v>
      </c>
      <c r="D45" s="756">
        <v>48706500</v>
      </c>
      <c r="E45" s="757">
        <v>35954570.449999861</v>
      </c>
      <c r="F45" s="757">
        <v>1834351.4</v>
      </c>
      <c r="G45" s="757">
        <v>5802120.2800000003</v>
      </c>
      <c r="H45" s="757">
        <f t="shared" si="8"/>
        <v>32958356.245833203</v>
      </c>
      <c r="I45" s="44">
        <f t="shared" si="7"/>
        <v>-27156235.965833202</v>
      </c>
      <c r="J45" s="330">
        <f t="shared" si="9"/>
        <v>-0.82395601780857808</v>
      </c>
      <c r="K45" s="755">
        <f>E45</f>
        <v>35954570.449999861</v>
      </c>
      <c r="L45" s="100"/>
    </row>
    <row r="46" spans="1:12" ht="12.75" customHeight="1" x14ac:dyDescent="0.25">
      <c r="A46" s="416" t="s">
        <v>1147</v>
      </c>
      <c r="B46" s="419"/>
      <c r="C46" s="736">
        <v>120000</v>
      </c>
      <c r="D46" s="754">
        <v>250000</v>
      </c>
      <c r="E46" s="734">
        <v>300712.09000000003</v>
      </c>
      <c r="F46" s="734"/>
      <c r="G46" s="734"/>
      <c r="H46" s="734">
        <f t="shared" si="8"/>
        <v>275652.7491666667</v>
      </c>
      <c r="I46" s="44">
        <f t="shared" si="7"/>
        <v>-275652.7491666667</v>
      </c>
      <c r="J46" s="330">
        <f t="shared" si="9"/>
        <v>-1</v>
      </c>
      <c r="K46" s="736">
        <f>E46</f>
        <v>300712.09000000003</v>
      </c>
      <c r="L46" s="100"/>
    </row>
    <row r="47" spans="1:12" ht="12.75" customHeight="1" x14ac:dyDescent="0.25">
      <c r="A47" s="414" t="s">
        <v>113</v>
      </c>
      <c r="B47" s="419"/>
      <c r="C47" s="642">
        <f t="shared" ref="C47:H47" si="10">SUM(C48:C52)</f>
        <v>94239595</v>
      </c>
      <c r="D47" s="670">
        <f t="shared" si="10"/>
        <v>28965656</v>
      </c>
      <c r="E47" s="638">
        <f t="shared" si="10"/>
        <v>257187469.29000002</v>
      </c>
      <c r="F47" s="638">
        <f t="shared" si="10"/>
        <v>-4452055.4000000004</v>
      </c>
      <c r="G47" s="638">
        <f t="shared" si="10"/>
        <v>65033467.63000001</v>
      </c>
      <c r="H47" s="638">
        <f t="shared" si="10"/>
        <v>235755180.18250003</v>
      </c>
      <c r="I47" s="44">
        <f t="shared" si="7"/>
        <v>-170721712.55250001</v>
      </c>
      <c r="J47" s="330">
        <f t="shared" si="9"/>
        <v>-0.72414829833364813</v>
      </c>
      <c r="K47" s="642">
        <f>SUM(K48:K52)</f>
        <v>257187469.29000002</v>
      </c>
      <c r="L47" s="100"/>
    </row>
    <row r="48" spans="1:12" ht="12.75" customHeight="1" x14ac:dyDescent="0.25">
      <c r="A48" s="416" t="s">
        <v>114</v>
      </c>
      <c r="B48" s="419"/>
      <c r="C48" s="736">
        <v>30651091</v>
      </c>
      <c r="D48" s="754">
        <v>22407256</v>
      </c>
      <c r="E48" s="734">
        <v>23977454.350000001</v>
      </c>
      <c r="F48" s="734">
        <v>45217.38</v>
      </c>
      <c r="G48" s="734">
        <v>5962480.3699999992</v>
      </c>
      <c r="H48" s="734">
        <f t="shared" ref="H48:H51" si="11">E48/12*11</f>
        <v>21979333.154166669</v>
      </c>
      <c r="I48" s="44">
        <f t="shared" si="7"/>
        <v>-16016852.784166669</v>
      </c>
      <c r="J48" s="330">
        <f t="shared" si="9"/>
        <v>-0.72872332712834464</v>
      </c>
      <c r="K48" s="736">
        <f>E48</f>
        <v>23977454.350000001</v>
      </c>
      <c r="L48" s="100"/>
    </row>
    <row r="49" spans="1:12" ht="12.75" customHeight="1" x14ac:dyDescent="0.25">
      <c r="A49" s="416" t="s">
        <v>115</v>
      </c>
      <c r="B49" s="419"/>
      <c r="C49" s="736">
        <v>11558226</v>
      </c>
      <c r="D49" s="754">
        <v>1500000</v>
      </c>
      <c r="E49" s="734">
        <v>750949.64</v>
      </c>
      <c r="F49" s="734"/>
      <c r="G49" s="734">
        <v>510300</v>
      </c>
      <c r="H49" s="734">
        <f t="shared" si="11"/>
        <v>688370.5033333333</v>
      </c>
      <c r="I49" s="44">
        <f t="shared" si="7"/>
        <v>-178070.5033333333</v>
      </c>
      <c r="J49" s="330">
        <f t="shared" si="9"/>
        <v>-0.25868409885527194</v>
      </c>
      <c r="K49" s="736">
        <f>E49</f>
        <v>750949.64</v>
      </c>
      <c r="L49" s="100"/>
    </row>
    <row r="50" spans="1:12" ht="12.75" customHeight="1" x14ac:dyDescent="0.25">
      <c r="A50" s="416" t="s">
        <v>116</v>
      </c>
      <c r="B50" s="419"/>
      <c r="C50" s="736">
        <v>2000000</v>
      </c>
      <c r="D50" s="754">
        <v>1058400</v>
      </c>
      <c r="E50" s="734">
        <v>2240805.75</v>
      </c>
      <c r="F50" s="734">
        <v>-4497272.78</v>
      </c>
      <c r="G50" s="734">
        <v>-4465359.07</v>
      </c>
      <c r="H50" s="734">
        <f t="shared" si="11"/>
        <v>2054071.9375</v>
      </c>
      <c r="I50" s="44">
        <f t="shared" si="7"/>
        <v>-6519431.0075000003</v>
      </c>
      <c r="J50" s="330">
        <f t="shared" si="9"/>
        <v>-3.1739058834690885</v>
      </c>
      <c r="K50" s="736">
        <f>E50</f>
        <v>2240805.75</v>
      </c>
      <c r="L50" s="100"/>
    </row>
    <row r="51" spans="1:12" ht="12.75" customHeight="1" x14ac:dyDescent="0.25">
      <c r="A51" s="416" t="s">
        <v>720</v>
      </c>
      <c r="B51" s="419"/>
      <c r="C51" s="736">
        <v>50030278</v>
      </c>
      <c r="D51" s="754">
        <v>4000000</v>
      </c>
      <c r="E51" s="734">
        <v>230218259.55000001</v>
      </c>
      <c r="F51" s="734"/>
      <c r="G51" s="734">
        <v>63026046.330000013</v>
      </c>
      <c r="H51" s="734">
        <f t="shared" si="11"/>
        <v>211033404.58750004</v>
      </c>
      <c r="I51" s="44">
        <f t="shared" si="7"/>
        <v>-148007358.25750002</v>
      </c>
      <c r="J51" s="330">
        <f t="shared" si="9"/>
        <v>-0.70134564026394342</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9"/>
        <v/>
      </c>
      <c r="K52" s="755"/>
      <c r="L52" s="100"/>
    </row>
    <row r="53" spans="1:12" ht="12.75" customHeight="1" x14ac:dyDescent="0.25">
      <c r="A53" s="414" t="s">
        <v>117</v>
      </c>
      <c r="B53" s="419"/>
      <c r="C53" s="642">
        <f t="shared" ref="C53:H53" si="12">SUM(C54:C56)</f>
        <v>308823251</v>
      </c>
      <c r="D53" s="670">
        <f t="shared" si="12"/>
        <v>286538900.39999998</v>
      </c>
      <c r="E53" s="638">
        <f t="shared" si="12"/>
        <v>312819010.69000012</v>
      </c>
      <c r="F53" s="638">
        <f t="shared" si="12"/>
        <v>18139302.370000001</v>
      </c>
      <c r="G53" s="638">
        <f t="shared" si="12"/>
        <v>152803875.38999999</v>
      </c>
      <c r="H53" s="638">
        <f t="shared" si="12"/>
        <v>286750759.7991668</v>
      </c>
      <c r="I53" s="44">
        <f t="shared" si="7"/>
        <v>-133946884.40916681</v>
      </c>
      <c r="J53" s="330">
        <f t="shared" si="9"/>
        <v>-0.46711954487227836</v>
      </c>
      <c r="K53" s="642">
        <f>SUM(K54:K56)</f>
        <v>312819010.69000012</v>
      </c>
      <c r="L53" s="100"/>
    </row>
    <row r="54" spans="1:12" ht="12.75" customHeight="1" x14ac:dyDescent="0.25">
      <c r="A54" s="416" t="s">
        <v>118</v>
      </c>
      <c r="B54" s="419"/>
      <c r="C54" s="736">
        <v>35975923</v>
      </c>
      <c r="D54" s="754">
        <v>51800000.399999999</v>
      </c>
      <c r="E54" s="734">
        <v>40151253.690000005</v>
      </c>
      <c r="F54" s="734"/>
      <c r="G54" s="734">
        <v>1358077.1500000001</v>
      </c>
      <c r="H54" s="734">
        <f t="shared" ref="H54:H55" si="13">E54/12*11</f>
        <v>36805315.882500008</v>
      </c>
      <c r="I54" s="44">
        <f t="shared" si="7"/>
        <v>-35447238.732500009</v>
      </c>
      <c r="J54" s="330">
        <f t="shared" si="9"/>
        <v>-0.96310105979430738</v>
      </c>
      <c r="K54" s="736">
        <f>E54</f>
        <v>40151253.690000005</v>
      </c>
      <c r="L54" s="100"/>
    </row>
    <row r="55" spans="1:12" ht="12.75" customHeight="1" x14ac:dyDescent="0.25">
      <c r="A55" s="416" t="s">
        <v>119</v>
      </c>
      <c r="B55" s="419"/>
      <c r="C55" s="736">
        <v>271262353</v>
      </c>
      <c r="D55" s="754">
        <v>234378900</v>
      </c>
      <c r="E55" s="734">
        <v>272667757.00000012</v>
      </c>
      <c r="F55" s="734">
        <v>18139302.370000001</v>
      </c>
      <c r="G55" s="734">
        <v>151445798.23999998</v>
      </c>
      <c r="H55" s="734">
        <f t="shared" si="13"/>
        <v>249945443.91666678</v>
      </c>
      <c r="I55" s="44">
        <f t="shared" si="7"/>
        <v>-98499645.676666796</v>
      </c>
      <c r="J55" s="330">
        <f t="shared" si="9"/>
        <v>-0.39408458155175308</v>
      </c>
      <c r="K55" s="736">
        <f>E55</f>
        <v>272667757.00000012</v>
      </c>
      <c r="L55" s="100"/>
    </row>
    <row r="56" spans="1:12" ht="12.75" customHeight="1" x14ac:dyDescent="0.25">
      <c r="A56" s="416" t="s">
        <v>120</v>
      </c>
      <c r="B56" s="419"/>
      <c r="C56" s="736">
        <v>1584975</v>
      </c>
      <c r="D56" s="754">
        <v>360000</v>
      </c>
      <c r="E56" s="734"/>
      <c r="F56" s="734"/>
      <c r="G56" s="734"/>
      <c r="H56" s="734"/>
      <c r="I56" s="44">
        <f t="shared" si="7"/>
        <v>0</v>
      </c>
      <c r="J56" s="330" t="str">
        <f t="shared" si="9"/>
        <v/>
      </c>
      <c r="K56" s="736"/>
      <c r="L56" s="100"/>
    </row>
    <row r="57" spans="1:12" ht="12.75" customHeight="1" x14ac:dyDescent="0.25">
      <c r="A57" s="414" t="s">
        <v>121</v>
      </c>
      <c r="B57" s="419"/>
      <c r="C57" s="642">
        <f t="shared" ref="C57:H57" si="14">SUM(C58:C61)</f>
        <v>177154337</v>
      </c>
      <c r="D57" s="670">
        <f t="shared" si="14"/>
        <v>180491745</v>
      </c>
      <c r="E57" s="638">
        <f t="shared" si="14"/>
        <v>131169354.62</v>
      </c>
      <c r="F57" s="638">
        <f t="shared" si="14"/>
        <v>8241018.8999999994</v>
      </c>
      <c r="G57" s="638">
        <f t="shared" si="14"/>
        <v>61517606.310000002</v>
      </c>
      <c r="H57" s="638">
        <f t="shared" si="14"/>
        <v>120238575.06833333</v>
      </c>
      <c r="I57" s="44">
        <f t="shared" si="7"/>
        <v>-58720968.758333325</v>
      </c>
      <c r="J57" s="330">
        <f t="shared" si="9"/>
        <v>-0.48837046451158744</v>
      </c>
      <c r="K57" s="642">
        <f>SUM(K58:K61)</f>
        <v>131169354.62</v>
      </c>
      <c r="L57" s="100"/>
    </row>
    <row r="58" spans="1:12" ht="12.75" customHeight="1" x14ac:dyDescent="0.25">
      <c r="A58" s="416" t="s">
        <v>1204</v>
      </c>
      <c r="B58" s="419"/>
      <c r="C58" s="736">
        <v>56636360</v>
      </c>
      <c r="D58" s="754">
        <v>28331044</v>
      </c>
      <c r="E58" s="734">
        <v>17808538.09</v>
      </c>
      <c r="F58" s="734">
        <v>4844171.7</v>
      </c>
      <c r="G58" s="734">
        <v>9217413.4700000007</v>
      </c>
      <c r="H58" s="734">
        <f t="shared" ref="H58:H62" si="15">E58/12*11</f>
        <v>16324493.249166667</v>
      </c>
      <c r="I58" s="44">
        <f t="shared" si="7"/>
        <v>-7107079.7791666668</v>
      </c>
      <c r="J58" s="330">
        <f t="shared" si="9"/>
        <v>-0.43536296476029779</v>
      </c>
      <c r="K58" s="736">
        <f>E58</f>
        <v>17808538.09</v>
      </c>
      <c r="L58" s="100"/>
    </row>
    <row r="59" spans="1:12" ht="12.75" customHeight="1" x14ac:dyDescent="0.25">
      <c r="A59" s="416" t="s">
        <v>1208</v>
      </c>
      <c r="B59" s="419"/>
      <c r="C59" s="736">
        <v>75391016</v>
      </c>
      <c r="D59" s="754">
        <v>100054457</v>
      </c>
      <c r="E59" s="734">
        <v>78088841.359999999</v>
      </c>
      <c r="F59" s="734">
        <v>4488592.5</v>
      </c>
      <c r="G59" s="734">
        <v>45457138.82</v>
      </c>
      <c r="H59" s="734">
        <f t="shared" si="15"/>
        <v>71581437.913333327</v>
      </c>
      <c r="I59" s="44">
        <f t="shared" si="7"/>
        <v>-26124299.093333326</v>
      </c>
      <c r="J59" s="330">
        <f t="shared" si="9"/>
        <v>-0.36495912704300687</v>
      </c>
      <c r="K59" s="736">
        <f>E59</f>
        <v>78088841.359999999</v>
      </c>
      <c r="L59" s="100"/>
    </row>
    <row r="60" spans="1:12" ht="12.75" customHeight="1" x14ac:dyDescent="0.25">
      <c r="A60" s="416" t="s">
        <v>122</v>
      </c>
      <c r="B60" s="419"/>
      <c r="C60" s="755">
        <v>44301896</v>
      </c>
      <c r="D60" s="756">
        <v>45106244</v>
      </c>
      <c r="E60" s="757">
        <v>27987832.550000001</v>
      </c>
      <c r="F60" s="757">
        <v>854651.65</v>
      </c>
      <c r="G60" s="757">
        <v>12144611.200000001</v>
      </c>
      <c r="H60" s="757">
        <f t="shared" si="15"/>
        <v>25655513.170833334</v>
      </c>
      <c r="I60" s="44">
        <f t="shared" si="7"/>
        <v>-13510901.970833333</v>
      </c>
      <c r="J60" s="330">
        <f t="shared" si="9"/>
        <v>-0.5266276250592915</v>
      </c>
      <c r="K60" s="755">
        <f>E60</f>
        <v>27987832.550000001</v>
      </c>
      <c r="L60" s="100"/>
    </row>
    <row r="61" spans="1:12" ht="12.75" customHeight="1" x14ac:dyDescent="0.25">
      <c r="A61" s="416" t="s">
        <v>123</v>
      </c>
      <c r="B61" s="419"/>
      <c r="C61" s="736">
        <v>825065</v>
      </c>
      <c r="D61" s="754">
        <v>7000000</v>
      </c>
      <c r="E61" s="734">
        <v>7284142.6200000001</v>
      </c>
      <c r="F61" s="734">
        <v>-1946396.95</v>
      </c>
      <c r="G61" s="734">
        <v>-5301557.18</v>
      </c>
      <c r="H61" s="734">
        <f t="shared" si="15"/>
        <v>6677130.7350000003</v>
      </c>
      <c r="I61" s="44">
        <f t="shared" si="7"/>
        <v>-11978687.914999999</v>
      </c>
      <c r="J61" s="330">
        <f t="shared" si="9"/>
        <v>-1.7939873263541841</v>
      </c>
      <c r="K61" s="736">
        <f>E61</f>
        <v>7284142.6200000001</v>
      </c>
      <c r="L61" s="100"/>
    </row>
    <row r="62" spans="1:12" ht="12.75" customHeight="1" x14ac:dyDescent="0.25">
      <c r="A62" s="414" t="s">
        <v>727</v>
      </c>
      <c r="B62" s="419"/>
      <c r="C62" s="736">
        <v>5136425</v>
      </c>
      <c r="D62" s="754">
        <v>8240000</v>
      </c>
      <c r="E62" s="734">
        <v>4600400.6900000004</v>
      </c>
      <c r="F62" s="734">
        <v>1883185</v>
      </c>
      <c r="G62" s="734">
        <v>2875046.68</v>
      </c>
      <c r="H62" s="734">
        <f t="shared" si="15"/>
        <v>4217033.9658333333</v>
      </c>
      <c r="I62" s="44">
        <f t="shared" si="7"/>
        <v>-1341987.2858333332</v>
      </c>
      <c r="J62" s="330">
        <f t="shared" si="9"/>
        <v>-0.31823013442770348</v>
      </c>
      <c r="K62" s="736">
        <f>E62</f>
        <v>4600400.6900000004</v>
      </c>
      <c r="L62" s="100"/>
    </row>
    <row r="63" spans="1:12" ht="12.75" customHeight="1" x14ac:dyDescent="0.25">
      <c r="A63" s="537" t="s">
        <v>1226</v>
      </c>
      <c r="B63" s="540">
        <v>3</v>
      </c>
      <c r="C63" s="541">
        <f>C43+C47+C53+C57+C62</f>
        <v>613486541</v>
      </c>
      <c r="D63" s="542">
        <f t="shared" ref="D63:I63" si="16">D43+D47+D53+D57+D62</f>
        <v>555371301.39999998</v>
      </c>
      <c r="E63" s="478">
        <f t="shared" si="16"/>
        <v>746737136.71000016</v>
      </c>
      <c r="F63" s="478">
        <f t="shared" si="16"/>
        <v>25664642.07</v>
      </c>
      <c r="G63" s="478">
        <f t="shared" si="16"/>
        <v>288107545.88999999</v>
      </c>
      <c r="H63" s="478">
        <f t="shared" si="16"/>
        <v>684509041.98416674</v>
      </c>
      <c r="I63" s="478">
        <f t="shared" si="16"/>
        <v>-396401496.09416676</v>
      </c>
      <c r="J63" s="543">
        <f t="shared" si="9"/>
        <v>-0.57910337450785032</v>
      </c>
      <c r="K63" s="544">
        <f>K43+K47+K53+K57+K62</f>
        <v>746737136.71000016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v>25963769.59</v>
      </c>
      <c r="G66" s="734">
        <v>217397830.56000003</v>
      </c>
      <c r="H66" s="734">
        <f t="shared" ref="H66:H67" si="17">E66/12*11</f>
        <v>360656521.5</v>
      </c>
      <c r="I66" s="44">
        <f t="shared" ref="I66:I74" si="18">G66-H66</f>
        <v>-143258690.93999997</v>
      </c>
      <c r="J66" s="330">
        <f t="shared" ref="J66:J74" si="19">IF(I66=0,"",I66/H66)</f>
        <v>-0.39721641617396891</v>
      </c>
      <c r="K66" s="736">
        <f>E66</f>
        <v>393443478</v>
      </c>
      <c r="L66" s="100"/>
    </row>
    <row r="67" spans="1:12" ht="12.75" customHeight="1" x14ac:dyDescent="0.25">
      <c r="A67" s="107" t="s">
        <v>610</v>
      </c>
      <c r="B67" s="169"/>
      <c r="C67" s="749">
        <v>72548195</v>
      </c>
      <c r="D67" s="754">
        <v>9991000</v>
      </c>
      <c r="E67" s="734">
        <v>273968716</v>
      </c>
      <c r="F67" s="734"/>
      <c r="G67" s="734">
        <v>61800721.480000012</v>
      </c>
      <c r="H67" s="734">
        <f t="shared" si="17"/>
        <v>251137989.66666666</v>
      </c>
      <c r="I67" s="44">
        <f t="shared" si="18"/>
        <v>-189337268.18666664</v>
      </c>
      <c r="J67" s="330">
        <f t="shared" si="19"/>
        <v>-0.75391727248423224</v>
      </c>
      <c r="K67" s="736">
        <f>E67</f>
        <v>273968716</v>
      </c>
      <c r="L67" s="100"/>
    </row>
    <row r="68" spans="1:12" ht="12.75" customHeight="1" x14ac:dyDescent="0.25">
      <c r="A68" s="107" t="s">
        <v>611</v>
      </c>
      <c r="B68" s="169"/>
      <c r="C68" s="749"/>
      <c r="D68" s="754"/>
      <c r="E68" s="734"/>
      <c r="F68" s="734"/>
      <c r="G68" s="734"/>
      <c r="H68" s="734"/>
      <c r="I68" s="44">
        <f t="shared" si="18"/>
        <v>0</v>
      </c>
      <c r="J68" s="330" t="str">
        <f t="shared" si="19"/>
        <v/>
      </c>
      <c r="K68" s="736"/>
      <c r="L68" s="100"/>
    </row>
    <row r="69" spans="1:12" ht="12.75" customHeight="1" x14ac:dyDescent="0.25">
      <c r="A69" s="538" t="s">
        <v>71</v>
      </c>
      <c r="B69" s="248"/>
      <c r="C69" s="750"/>
      <c r="D69" s="758"/>
      <c r="E69" s="752"/>
      <c r="F69" s="752"/>
      <c r="G69" s="752"/>
      <c r="H69" s="752"/>
      <c r="I69" s="99">
        <f t="shared" si="18"/>
        <v>0</v>
      </c>
      <c r="J69" s="335" t="str">
        <f t="shared" si="19"/>
        <v/>
      </c>
      <c r="K69" s="753"/>
      <c r="L69" s="100"/>
    </row>
    <row r="70" spans="1:12" ht="12.75" customHeight="1" x14ac:dyDescent="0.25">
      <c r="A70" s="693" t="s">
        <v>972</v>
      </c>
      <c r="B70" s="169"/>
      <c r="C70" s="109">
        <f t="shared" ref="C70:H70" si="20">SUM(C66:C69)</f>
        <v>466029304</v>
      </c>
      <c r="D70" s="259">
        <f t="shared" si="20"/>
        <v>439342400</v>
      </c>
      <c r="E70" s="50">
        <f t="shared" si="20"/>
        <v>667412194</v>
      </c>
      <c r="F70" s="50">
        <f t="shared" si="20"/>
        <v>25963769.59</v>
      </c>
      <c r="G70" s="50">
        <f t="shared" si="20"/>
        <v>279198552.04000002</v>
      </c>
      <c r="H70" s="50">
        <f t="shared" si="20"/>
        <v>611794511.16666663</v>
      </c>
      <c r="I70" s="50">
        <f t="shared" si="18"/>
        <v>-332595959.12666661</v>
      </c>
      <c r="J70" s="146">
        <f t="shared" si="19"/>
        <v>-0.54363998541343561</v>
      </c>
      <c r="K70" s="50">
        <f>SUM(K66:K69)</f>
        <v>667412194</v>
      </c>
      <c r="L70" s="699"/>
    </row>
    <row r="71" spans="1:12" ht="0.95" customHeight="1" x14ac:dyDescent="0.25">
      <c r="A71" s="106"/>
      <c r="B71" s="169"/>
      <c r="C71" s="649"/>
      <c r="D71" s="671"/>
      <c r="E71" s="408"/>
      <c r="F71" s="408"/>
      <c r="G71" s="408"/>
      <c r="H71" s="408"/>
      <c r="I71" s="408"/>
      <c r="J71" s="948"/>
      <c r="K71" s="643"/>
      <c r="L71" s="100"/>
    </row>
    <row r="72" spans="1:12" ht="12.75" customHeight="1" x14ac:dyDescent="0.25">
      <c r="A72" s="106" t="s">
        <v>788</v>
      </c>
      <c r="B72" s="169">
        <v>6</v>
      </c>
      <c r="C72" s="749">
        <v>47052852</v>
      </c>
      <c r="D72" s="754">
        <v>5631044</v>
      </c>
      <c r="E72" s="734">
        <v>5631044</v>
      </c>
      <c r="F72" s="734"/>
      <c r="G72" s="734">
        <v>2507448.04</v>
      </c>
      <c r="H72" s="734">
        <f t="shared" ref="H72:H73" si="21">E72/12*11</f>
        <v>5161790.333333334</v>
      </c>
      <c r="I72" s="44">
        <f t="shared" si="18"/>
        <v>-2654342.2933333339</v>
      </c>
      <c r="J72" s="330">
        <f t="shared" si="19"/>
        <v>-0.51422900232742252</v>
      </c>
      <c r="K72" s="736">
        <f>E72</f>
        <v>5631044</v>
      </c>
      <c r="L72" s="100"/>
    </row>
    <row r="73" spans="1:12" ht="12.75" customHeight="1" x14ac:dyDescent="0.25">
      <c r="A73" s="106" t="s">
        <v>479</v>
      </c>
      <c r="B73" s="248"/>
      <c r="C73" s="750">
        <v>100404385</v>
      </c>
      <c r="D73" s="758">
        <v>110397875</v>
      </c>
      <c r="E73" s="752">
        <v>73693898.710000008</v>
      </c>
      <c r="F73" s="752">
        <v>-299127.52000000048</v>
      </c>
      <c r="G73" s="752">
        <v>6401545.8099999987</v>
      </c>
      <c r="H73" s="752">
        <f t="shared" si="21"/>
        <v>67552740.484166682</v>
      </c>
      <c r="I73" s="99">
        <f t="shared" si="18"/>
        <v>-61151194.674166679</v>
      </c>
      <c r="J73" s="335">
        <f t="shared" si="19"/>
        <v>-0.90523632699253076</v>
      </c>
      <c r="K73" s="753">
        <f>E73</f>
        <v>73693898.710000008</v>
      </c>
      <c r="L73" s="100"/>
    </row>
    <row r="74" spans="1:12" ht="12.75" customHeight="1" x14ac:dyDescent="0.25">
      <c r="A74" s="539" t="s">
        <v>904</v>
      </c>
      <c r="B74" s="119"/>
      <c r="C74" s="244">
        <f t="shared" ref="C74:H74" si="22">+C70+C72+C73</f>
        <v>613486541</v>
      </c>
      <c r="D74" s="265">
        <f t="shared" si="22"/>
        <v>555371319</v>
      </c>
      <c r="E74" s="76">
        <f t="shared" si="22"/>
        <v>746737136.71000004</v>
      </c>
      <c r="F74" s="76">
        <f t="shared" si="22"/>
        <v>25664642.07</v>
      </c>
      <c r="G74" s="76">
        <f t="shared" si="22"/>
        <v>288107545.89000005</v>
      </c>
      <c r="H74" s="76">
        <f t="shared" si="22"/>
        <v>684509041.98416662</v>
      </c>
      <c r="I74" s="76">
        <f t="shared" si="18"/>
        <v>-396401496.09416658</v>
      </c>
      <c r="J74" s="333">
        <f t="shared" si="19"/>
        <v>-0.57910337450785021</v>
      </c>
      <c r="K74" s="234">
        <f>+K70+K72+K73</f>
        <v>746737136.71000004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9" t="s">
        <v>149</v>
      </c>
      <c r="B77" s="1039"/>
      <c r="C77" s="1039"/>
      <c r="D77" s="1039"/>
      <c r="E77" s="1039"/>
      <c r="F77" s="1039"/>
      <c r="G77" s="1039"/>
      <c r="H77" s="1039"/>
      <c r="I77" s="1039"/>
      <c r="J77" s="1039"/>
      <c r="K77" s="1039"/>
    </row>
    <row r="78" spans="1:12" ht="12" customHeight="1" x14ac:dyDescent="0.25">
      <c r="A78" s="1039" t="s">
        <v>1228</v>
      </c>
      <c r="B78" s="1039"/>
      <c r="C78" s="1039"/>
      <c r="D78" s="1039"/>
      <c r="E78" s="1039"/>
      <c r="F78" s="1039"/>
      <c r="G78" s="1039"/>
      <c r="H78" s="1039"/>
      <c r="I78" s="1039"/>
      <c r="J78" s="1039"/>
      <c r="K78" s="1039"/>
    </row>
    <row r="79" spans="1:12" ht="12" customHeight="1" x14ac:dyDescent="0.25">
      <c r="A79" s="1040" t="s">
        <v>531</v>
      </c>
      <c r="B79" s="1039"/>
      <c r="C79" s="1039"/>
      <c r="D79" s="1039"/>
      <c r="E79" s="1039"/>
      <c r="F79" s="1039"/>
      <c r="G79" s="1039"/>
      <c r="H79" s="1039"/>
      <c r="I79" s="1039"/>
      <c r="J79" s="1039"/>
      <c r="K79" s="1039"/>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23">D40-D74</f>
        <v>-17.600000023841858</v>
      </c>
      <c r="E86" s="694">
        <f t="shared" si="23"/>
        <v>0</v>
      </c>
      <c r="F86" s="694">
        <f t="shared" si="23"/>
        <v>0</v>
      </c>
      <c r="G86" s="694">
        <f t="shared" si="23"/>
        <v>0</v>
      </c>
      <c r="H86" s="694">
        <f t="shared" si="23"/>
        <v>0</v>
      </c>
      <c r="I86" s="694"/>
      <c r="J86" s="694"/>
      <c r="K86" s="694">
        <f t="shared" si="23"/>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89" activePane="bottomRight" state="frozen"/>
      <selection pane="topRight"/>
      <selection pane="bottomLeft"/>
      <selection pane="bottomRight" activeCell="G232" sqref="G232"/>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9" t="str">
        <f>muni&amp; " - "&amp;S71D&amp; " - "&amp;"A"&amp; " - "&amp;date</f>
        <v>KZN225 Msunduzi - Table C5 Consolidated Monthly Budget Statement - Capital Expenditure (municipal vote, functional classification and funding  - A - M10 April</v>
      </c>
      <c r="B1" s="1029"/>
      <c r="C1" s="1029"/>
      <c r="D1" s="1029"/>
      <c r="E1" s="1029"/>
      <c r="F1" s="1029"/>
      <c r="G1" s="1029"/>
      <c r="H1" s="1029"/>
      <c r="I1" s="1029"/>
      <c r="J1" s="1029"/>
      <c r="K1" s="1029"/>
    </row>
    <row r="2" spans="1:23" ht="28.5" customHeight="1" x14ac:dyDescent="0.25">
      <c r="A2" s="435" t="str">
        <f>Vdesc</f>
        <v>Vote Description</v>
      </c>
      <c r="B2" s="436" t="str">
        <f>head27</f>
        <v>Ref</v>
      </c>
      <c r="C2" s="142" t="str">
        <f>Head1</f>
        <v>2018/19</v>
      </c>
      <c r="D2" s="1022" t="str">
        <f>Head2</f>
        <v>Budget Year 2019/20</v>
      </c>
      <c r="E2" s="1023"/>
      <c r="F2" s="1023"/>
      <c r="G2" s="1023"/>
      <c r="H2" s="1023"/>
      <c r="I2" s="1023"/>
      <c r="J2" s="1023"/>
      <c r="K2" s="1024"/>
      <c r="L2" s="1033" t="e">
        <f>Head4</f>
        <v>#REF!</v>
      </c>
      <c r="M2" s="1034"/>
      <c r="N2" s="1034"/>
      <c r="O2" s="1034"/>
      <c r="P2" s="1034"/>
      <c r="Q2" s="1034"/>
      <c r="R2" s="1034"/>
      <c r="S2" s="1034"/>
      <c r="T2" s="1034"/>
      <c r="U2" s="1034"/>
      <c r="V2" s="1034"/>
      <c r="W2" s="1035"/>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c r="G9" s="742"/>
      <c r="H9" s="743"/>
      <c r="I9" s="44">
        <f t="shared" si="1"/>
        <v>0</v>
      </c>
      <c r="J9" s="330" t="str">
        <f t="shared" si="2"/>
        <v/>
      </c>
      <c r="K9" s="744">
        <f>E9</f>
        <v>0</v>
      </c>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0</v>
      </c>
      <c r="G18" s="441">
        <f t="shared" si="3"/>
        <v>0</v>
      </c>
      <c r="H18" s="443">
        <f t="shared" si="3"/>
        <v>23461629.803333197</v>
      </c>
      <c r="I18" s="44">
        <f t="shared" si="1"/>
        <v>-23461629.803333197</v>
      </c>
      <c r="J18" s="330">
        <f t="shared" si="2"/>
        <v>-1</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c r="H19" s="743">
        <f t="shared" ref="H19:H20" si="4">E19/12*11</f>
        <v>-0.41250000001067139</v>
      </c>
      <c r="I19" s="44">
        <f t="shared" si="1"/>
        <v>0.41250000001067139</v>
      </c>
      <c r="J19" s="330">
        <f t="shared" si="2"/>
        <v>-1</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c r="G20" s="742"/>
      <c r="H20" s="743">
        <f t="shared" si="4"/>
        <v>23461630.215833198</v>
      </c>
      <c r="I20" s="44">
        <f t="shared" si="1"/>
        <v>-23461630.215833198</v>
      </c>
      <c r="J20" s="330">
        <f t="shared" si="2"/>
        <v>-1</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5">SUM(C30:C39)</f>
        <v>35939310</v>
      </c>
      <c r="D29" s="444">
        <f t="shared" si="5"/>
        <v>22974656</v>
      </c>
      <c r="E29" s="441">
        <f t="shared" si="5"/>
        <v>16369979.460000001</v>
      </c>
      <c r="F29" s="443">
        <f t="shared" si="5"/>
        <v>45217.38</v>
      </c>
      <c r="G29" s="441">
        <f t="shared" si="5"/>
        <v>2953167.4400000004</v>
      </c>
      <c r="H29" s="443">
        <f t="shared" si="5"/>
        <v>15005814.504999999</v>
      </c>
      <c r="I29" s="44">
        <f t="shared" si="1"/>
        <v>-12052647.064999998</v>
      </c>
      <c r="J29" s="330">
        <f t="shared" si="2"/>
        <v>-0.80319845757016428</v>
      </c>
      <c r="K29" s="442">
        <f t="shared" si="5"/>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v>45217.38</v>
      </c>
      <c r="G30" s="742">
        <v>45217.38</v>
      </c>
      <c r="H30" s="742">
        <f t="shared" ref="H30:H33" si="6">E30/12*11</f>
        <v>367130.93083333329</v>
      </c>
      <c r="I30" s="258">
        <f t="shared" si="1"/>
        <v>-321913.55083333328</v>
      </c>
      <c r="J30" s="330">
        <f t="shared" si="2"/>
        <v>-0.8768358201327161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c r="G31" s="742"/>
      <c r="H31" s="743">
        <f t="shared" si="6"/>
        <v>1376741.0066666666</v>
      </c>
      <c r="I31" s="44">
        <f t="shared" si="1"/>
        <v>-1376741.0066666666</v>
      </c>
      <c r="J31" s="330">
        <f t="shared" si="2"/>
        <v>-1</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c r="G32" s="742">
        <v>2707950.0600000005</v>
      </c>
      <c r="H32" s="743">
        <f t="shared" si="6"/>
        <v>6584811.8324999996</v>
      </c>
      <c r="I32" s="44">
        <f t="shared" si="1"/>
        <v>-3876861.772499999</v>
      </c>
      <c r="J32" s="330">
        <f t="shared" si="2"/>
        <v>-0.58875817124573837</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c r="G33" s="742">
        <v>200000</v>
      </c>
      <c r="H33" s="743">
        <f t="shared" si="6"/>
        <v>6677130.7350000003</v>
      </c>
      <c r="I33" s="44">
        <f t="shared" si="1"/>
        <v>-6477130.7350000003</v>
      </c>
      <c r="J33" s="330">
        <f t="shared" si="2"/>
        <v>-0.97004701451303843</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7">SUM(C41:C50)</f>
        <v>2587789</v>
      </c>
      <c r="D40" s="444">
        <f t="shared" si="7"/>
        <v>700000</v>
      </c>
      <c r="E40" s="441">
        <f t="shared" si="7"/>
        <v>80126.62</v>
      </c>
      <c r="F40" s="443">
        <f t="shared" si="7"/>
        <v>0</v>
      </c>
      <c r="G40" s="441">
        <f t="shared" si="7"/>
        <v>1580656.8800000001</v>
      </c>
      <c r="H40" s="443">
        <f t="shared" si="7"/>
        <v>73449.401666666672</v>
      </c>
      <c r="I40" s="44">
        <f t="shared" si="1"/>
        <v>1507207.4783333335</v>
      </c>
      <c r="J40" s="330">
        <f t="shared" si="2"/>
        <v>20.520350664984996</v>
      </c>
      <c r="K40" s="442">
        <f t="shared" si="7"/>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c r="G42" s="742">
        <v>1580656.8800000001</v>
      </c>
      <c r="H42" s="743"/>
      <c r="I42" s="44">
        <f t="shared" si="1"/>
        <v>1580656.8800000001</v>
      </c>
      <c r="J42" s="330" t="e">
        <f t="shared" si="2"/>
        <v>#DIV/0!</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 t="shared" ref="H44" si="8">E44/12*11</f>
        <v>73449.401666666672</v>
      </c>
      <c r="I44" s="44">
        <f t="shared" si="1"/>
        <v>-73449.401666666672</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9">SUM(D52:D61)</f>
        <v>377869601</v>
      </c>
      <c r="E51" s="441">
        <f t="shared" si="9"/>
        <v>360728912.00000024</v>
      </c>
      <c r="F51" s="443">
        <f t="shared" si="9"/>
        <v>0</v>
      </c>
      <c r="G51" s="441">
        <f t="shared" si="9"/>
        <v>0</v>
      </c>
      <c r="H51" s="443">
        <f t="shared" si="9"/>
        <v>330668169.33333355</v>
      </c>
      <c r="I51" s="44">
        <f t="shared" si="1"/>
        <v>-330668169.33333355</v>
      </c>
      <c r="J51" s="330">
        <f t="shared" si="2"/>
        <v>-1</v>
      </c>
      <c r="K51" s="442">
        <f t="shared" si="9"/>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c r="G52" s="742"/>
      <c r="H52" s="743">
        <f t="shared" ref="H52" si="10">E52/12*11</f>
        <v>7128649</v>
      </c>
      <c r="I52" s="44">
        <f t="shared" si="1"/>
        <v>-7128649</v>
      </c>
      <c r="J52" s="330">
        <f t="shared" si="2"/>
        <v>-1</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c r="G54" s="742"/>
      <c r="H54" s="743">
        <f t="shared" ref="H54:H55" si="11">E54/12*11</f>
        <v>234094583.25000021</v>
      </c>
      <c r="I54" s="44">
        <f t="shared" si="1"/>
        <v>-234094583.25000021</v>
      </c>
      <c r="J54" s="330">
        <f t="shared" si="2"/>
        <v>-1</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c r="G55" s="742"/>
      <c r="H55" s="743">
        <f t="shared" si="11"/>
        <v>89444937.083333343</v>
      </c>
      <c r="I55" s="44">
        <f t="shared" si="1"/>
        <v>-89444937.083333343</v>
      </c>
      <c r="J55" s="330">
        <f t="shared" si="2"/>
        <v>-1</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12">SUM(D63:D72)</f>
        <v>60790000.399999999</v>
      </c>
      <c r="E62" s="441">
        <f t="shared" si="12"/>
        <v>40817166.699999996</v>
      </c>
      <c r="F62" s="443">
        <f t="shared" si="12"/>
        <v>1883185</v>
      </c>
      <c r="G62" s="441">
        <f t="shared" si="12"/>
        <v>3554126.02</v>
      </c>
      <c r="H62" s="443">
        <f t="shared" si="12"/>
        <v>37415736.141666666</v>
      </c>
      <c r="I62" s="44">
        <f t="shared" si="1"/>
        <v>-33861610.121666662</v>
      </c>
      <c r="J62" s="330">
        <f t="shared" si="2"/>
        <v>-0.90500985984765692</v>
      </c>
      <c r="K62" s="442">
        <f t="shared" si="12"/>
        <v>40817166.699999996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6540000</v>
      </c>
      <c r="E63" s="742">
        <v>3532540.43</v>
      </c>
      <c r="F63" s="743">
        <v>1883185</v>
      </c>
      <c r="G63" s="742">
        <v>1883185</v>
      </c>
      <c r="H63" s="743">
        <f t="shared" ref="H63" si="13">E63/12*11</f>
        <v>3238162.0608333335</v>
      </c>
      <c r="I63" s="44">
        <f t="shared" si="1"/>
        <v>-1354977.0608333335</v>
      </c>
      <c r="J63" s="330">
        <f t="shared" si="2"/>
        <v>-0.41844016308579479</v>
      </c>
      <c r="K63" s="744">
        <f>E63</f>
        <v>3532540.43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c r="G65" s="742">
        <v>1624523.8399999999</v>
      </c>
      <c r="H65" s="743">
        <f t="shared" ref="H65:H66" si="14">E65/12*11</f>
        <v>1586389.75</v>
      </c>
      <c r="I65" s="44">
        <f t="shared" si="1"/>
        <v>38134.089999999851</v>
      </c>
      <c r="J65" s="330">
        <f t="shared" si="2"/>
        <v>2.4038285673492185E-2</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c r="G66" s="742">
        <v>46417.18</v>
      </c>
      <c r="H66" s="743">
        <f t="shared" si="14"/>
        <v>32591184.330833331</v>
      </c>
      <c r="I66" s="44">
        <f t="shared" si="1"/>
        <v>-32544767.150833331</v>
      </c>
      <c r="J66" s="330">
        <f t="shared" si="2"/>
        <v>-0.99857577498476835</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15">G71-H71</f>
        <v>0</v>
      </c>
      <c r="J71" s="330" t="str">
        <f t="shared" ref="J71:J134" si="16">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15"/>
        <v>0</v>
      </c>
      <c r="J72" s="330" t="str">
        <f t="shared" si="16"/>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7">SUM(C74:C83)</f>
        <v>0</v>
      </c>
      <c r="D73" s="444">
        <f t="shared" si="17"/>
        <v>0</v>
      </c>
      <c r="E73" s="441">
        <f t="shared" si="17"/>
        <v>0</v>
      </c>
      <c r="F73" s="443">
        <f t="shared" si="17"/>
        <v>0</v>
      </c>
      <c r="G73" s="441">
        <f t="shared" si="17"/>
        <v>0</v>
      </c>
      <c r="H73" s="443">
        <f t="shared" si="17"/>
        <v>0</v>
      </c>
      <c r="I73" s="44">
        <f t="shared" si="15"/>
        <v>0</v>
      </c>
      <c r="J73" s="330" t="str">
        <f t="shared" si="16"/>
        <v/>
      </c>
      <c r="K73" s="442">
        <f t="shared" si="17"/>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15"/>
        <v>0</v>
      </c>
      <c r="J74" s="330" t="str">
        <f t="shared" si="16"/>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15"/>
        <v>0</v>
      </c>
      <c r="J75" s="330" t="str">
        <f t="shared" si="16"/>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15"/>
        <v>0</v>
      </c>
      <c r="J76" s="330" t="str">
        <f t="shared" si="16"/>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15"/>
        <v>0</v>
      </c>
      <c r="J77" s="330" t="str">
        <f t="shared" si="16"/>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15"/>
        <v>0</v>
      </c>
      <c r="J78" s="330" t="str">
        <f t="shared" si="16"/>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15"/>
        <v>0</v>
      </c>
      <c r="J79" s="330" t="str">
        <f t="shared" si="16"/>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15"/>
        <v>0</v>
      </c>
      <c r="J80" s="330" t="str">
        <f t="shared" si="16"/>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15"/>
        <v>0</v>
      </c>
      <c r="J81" s="330" t="str">
        <f t="shared" si="16"/>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15"/>
        <v>0</v>
      </c>
      <c r="J82" s="330" t="str">
        <f t="shared" si="16"/>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15"/>
        <v>0</v>
      </c>
      <c r="J83" s="330" t="str">
        <f t="shared" si="16"/>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8">SUM(D85:D94)</f>
        <v>0</v>
      </c>
      <c r="E84" s="441">
        <f t="shared" si="18"/>
        <v>0</v>
      </c>
      <c r="F84" s="443">
        <f t="shared" si="18"/>
        <v>0</v>
      </c>
      <c r="G84" s="441">
        <f t="shared" si="18"/>
        <v>0</v>
      </c>
      <c r="H84" s="443">
        <f t="shared" si="18"/>
        <v>0</v>
      </c>
      <c r="I84" s="44">
        <f t="shared" si="15"/>
        <v>0</v>
      </c>
      <c r="J84" s="330" t="str">
        <f t="shared" si="16"/>
        <v/>
      </c>
      <c r="K84" s="442">
        <f t="shared" si="18"/>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15"/>
        <v>0</v>
      </c>
      <c r="J85" s="330" t="str">
        <f t="shared" si="16"/>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15"/>
        <v>0</v>
      </c>
      <c r="J86" s="330" t="str">
        <f t="shared" si="16"/>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15"/>
        <v>0</v>
      </c>
      <c r="J87" s="330" t="str">
        <f t="shared" si="16"/>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15"/>
        <v>0</v>
      </c>
      <c r="J88" s="330" t="str">
        <f t="shared" si="16"/>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15"/>
        <v>0</v>
      </c>
      <c r="J89" s="330" t="str">
        <f t="shared" si="16"/>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15"/>
        <v>0</v>
      </c>
      <c r="J90" s="330" t="str">
        <f t="shared" si="16"/>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15"/>
        <v>0</v>
      </c>
      <c r="J91" s="330" t="str">
        <f t="shared" si="16"/>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15"/>
        <v>0</v>
      </c>
      <c r="J92" s="330" t="str">
        <f t="shared" si="16"/>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15"/>
        <v>0</v>
      </c>
      <c r="J93" s="330" t="str">
        <f t="shared" si="16"/>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15"/>
        <v>0</v>
      </c>
      <c r="J94" s="330" t="str">
        <f t="shared" si="16"/>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9">SUM(D96:D105)</f>
        <v>0</v>
      </c>
      <c r="E95" s="441">
        <f t="shared" si="19"/>
        <v>0</v>
      </c>
      <c r="F95" s="443">
        <f t="shared" si="19"/>
        <v>0</v>
      </c>
      <c r="G95" s="441">
        <f t="shared" si="19"/>
        <v>0</v>
      </c>
      <c r="H95" s="443">
        <f t="shared" si="19"/>
        <v>0</v>
      </c>
      <c r="I95" s="44">
        <f t="shared" si="15"/>
        <v>0</v>
      </c>
      <c r="J95" s="330" t="str">
        <f t="shared" si="16"/>
        <v/>
      </c>
      <c r="K95" s="442">
        <f t="shared" si="19"/>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15"/>
        <v>0</v>
      </c>
      <c r="J96" s="330" t="str">
        <f t="shared" si="16"/>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15"/>
        <v>0</v>
      </c>
      <c r="J97" s="330" t="str">
        <f t="shared" si="16"/>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15"/>
        <v>0</v>
      </c>
      <c r="J98" s="330" t="str">
        <f t="shared" si="16"/>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15"/>
        <v>0</v>
      </c>
      <c r="J99" s="330" t="str">
        <f t="shared" si="16"/>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15"/>
        <v>0</v>
      </c>
      <c r="J100" s="330" t="str">
        <f t="shared" si="16"/>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15"/>
        <v>0</v>
      </c>
      <c r="J101" s="330" t="str">
        <f t="shared" si="16"/>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15"/>
        <v>0</v>
      </c>
      <c r="J102" s="330" t="str">
        <f t="shared" si="16"/>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15"/>
        <v>0</v>
      </c>
      <c r="J103" s="330" t="str">
        <f t="shared" si="16"/>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15"/>
        <v>0</v>
      </c>
      <c r="J104" s="330" t="str">
        <f t="shared" si="16"/>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15"/>
        <v>0</v>
      </c>
      <c r="J105" s="330" t="str">
        <f t="shared" si="16"/>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20">SUM(D107:D116)</f>
        <v>0</v>
      </c>
      <c r="E106" s="441">
        <f t="shared" si="20"/>
        <v>0</v>
      </c>
      <c r="F106" s="443">
        <f t="shared" si="20"/>
        <v>0</v>
      </c>
      <c r="G106" s="441">
        <f t="shared" si="20"/>
        <v>0</v>
      </c>
      <c r="H106" s="443">
        <f t="shared" si="20"/>
        <v>0</v>
      </c>
      <c r="I106" s="44">
        <f t="shared" si="15"/>
        <v>0</v>
      </c>
      <c r="J106" s="330" t="str">
        <f t="shared" si="16"/>
        <v/>
      </c>
      <c r="K106" s="442">
        <f t="shared" si="20"/>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15"/>
        <v>0</v>
      </c>
      <c r="J107" s="330" t="str">
        <f t="shared" si="16"/>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15"/>
        <v>0</v>
      </c>
      <c r="J108" s="330" t="str">
        <f t="shared" si="16"/>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15"/>
        <v>0</v>
      </c>
      <c r="J109" s="330" t="str">
        <f t="shared" si="16"/>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15"/>
        <v>0</v>
      </c>
      <c r="J110" s="330" t="str">
        <f t="shared" si="16"/>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15"/>
        <v>0</v>
      </c>
      <c r="J111" s="330" t="str">
        <f t="shared" si="16"/>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15"/>
        <v>0</v>
      </c>
      <c r="J112" s="330" t="str">
        <f t="shared" si="16"/>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15"/>
        <v>0</v>
      </c>
      <c r="J113" s="330" t="str">
        <f t="shared" si="16"/>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15"/>
        <v>0</v>
      </c>
      <c r="J114" s="330" t="str">
        <f t="shared" si="16"/>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15"/>
        <v>0</v>
      </c>
      <c r="J115" s="330" t="str">
        <f t="shared" si="16"/>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15"/>
        <v>0</v>
      </c>
      <c r="J116" s="330" t="str">
        <f t="shared" si="16"/>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21">SUM(D118:D127)</f>
        <v>0</v>
      </c>
      <c r="E117" s="441">
        <f t="shared" si="21"/>
        <v>0</v>
      </c>
      <c r="F117" s="443">
        <f t="shared" si="21"/>
        <v>0</v>
      </c>
      <c r="G117" s="441">
        <f t="shared" si="21"/>
        <v>0</v>
      </c>
      <c r="H117" s="443">
        <f t="shared" si="21"/>
        <v>0</v>
      </c>
      <c r="I117" s="44">
        <f t="shared" si="15"/>
        <v>0</v>
      </c>
      <c r="J117" s="330" t="str">
        <f t="shared" si="16"/>
        <v/>
      </c>
      <c r="K117" s="442">
        <f t="shared" si="21"/>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15"/>
        <v>0</v>
      </c>
      <c r="J118" s="330" t="str">
        <f t="shared" si="16"/>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15"/>
        <v>0</v>
      </c>
      <c r="J119" s="330" t="str">
        <f t="shared" si="16"/>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15"/>
        <v>0</v>
      </c>
      <c r="J120" s="330" t="str">
        <f t="shared" si="16"/>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15"/>
        <v>0</v>
      </c>
      <c r="J121" s="330" t="str">
        <f t="shared" si="16"/>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15"/>
        <v>0</v>
      </c>
      <c r="J122" s="330" t="str">
        <f t="shared" si="16"/>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15"/>
        <v>0</v>
      </c>
      <c r="J123" s="330" t="str">
        <f t="shared" si="16"/>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15"/>
        <v>0</v>
      </c>
      <c r="J124" s="330" t="str">
        <f t="shared" si="16"/>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15"/>
        <v>0</v>
      </c>
      <c r="J125" s="330" t="str">
        <f t="shared" si="16"/>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15"/>
        <v>0</v>
      </c>
      <c r="J126" s="330" t="str">
        <f t="shared" si="16"/>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15"/>
        <v>0</v>
      </c>
      <c r="J127" s="330" t="str">
        <f t="shared" si="16"/>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22">SUM(D129:D138)</f>
        <v>0</v>
      </c>
      <c r="E128" s="441">
        <f t="shared" si="22"/>
        <v>0</v>
      </c>
      <c r="F128" s="443">
        <f t="shared" si="22"/>
        <v>0</v>
      </c>
      <c r="G128" s="441">
        <f t="shared" si="22"/>
        <v>0</v>
      </c>
      <c r="H128" s="443">
        <f t="shared" si="22"/>
        <v>0</v>
      </c>
      <c r="I128" s="44">
        <f t="shared" si="15"/>
        <v>0</v>
      </c>
      <c r="J128" s="330" t="str">
        <f t="shared" si="16"/>
        <v/>
      </c>
      <c r="K128" s="442">
        <f t="shared" si="22"/>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15"/>
        <v>0</v>
      </c>
      <c r="J129" s="330" t="str">
        <f t="shared" si="16"/>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15"/>
        <v>0</v>
      </c>
      <c r="J130" s="330" t="str">
        <f t="shared" si="16"/>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15"/>
        <v>0</v>
      </c>
      <c r="J131" s="330" t="str">
        <f t="shared" si="16"/>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15"/>
        <v>0</v>
      </c>
      <c r="J132" s="330" t="str">
        <f t="shared" si="16"/>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15"/>
        <v>0</v>
      </c>
      <c r="J133" s="330" t="str">
        <f t="shared" si="16"/>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15"/>
        <v>0</v>
      </c>
      <c r="J134" s="330" t="str">
        <f t="shared" si="16"/>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23">G135-H135</f>
        <v>0</v>
      </c>
      <c r="J135" s="330" t="str">
        <f t="shared" ref="J135:J199" si="24">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23"/>
        <v>0</v>
      </c>
      <c r="J136" s="330" t="str">
        <f t="shared" si="24"/>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23"/>
        <v>0</v>
      </c>
      <c r="J137" s="330" t="str">
        <f t="shared" si="24"/>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23"/>
        <v>0</v>
      </c>
      <c r="J138" s="330" t="str">
        <f t="shared" si="24"/>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25">SUM(D140:D149)</f>
        <v>0</v>
      </c>
      <c r="E139" s="441">
        <f t="shared" si="25"/>
        <v>0</v>
      </c>
      <c r="F139" s="443">
        <f t="shared" si="25"/>
        <v>0</v>
      </c>
      <c r="G139" s="441">
        <f t="shared" si="25"/>
        <v>0</v>
      </c>
      <c r="H139" s="443">
        <f t="shared" si="25"/>
        <v>0</v>
      </c>
      <c r="I139" s="44">
        <f t="shared" si="23"/>
        <v>0</v>
      </c>
      <c r="J139" s="330" t="str">
        <f t="shared" si="24"/>
        <v/>
      </c>
      <c r="K139" s="442">
        <f t="shared" si="25"/>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23"/>
        <v>0</v>
      </c>
      <c r="J140" s="330" t="str">
        <f t="shared" si="24"/>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23"/>
        <v>0</v>
      </c>
      <c r="J141" s="330" t="str">
        <f t="shared" si="24"/>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23"/>
        <v>0</v>
      </c>
      <c r="J142" s="330" t="str">
        <f t="shared" si="24"/>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23"/>
        <v>0</v>
      </c>
      <c r="J143" s="330" t="str">
        <f t="shared" si="24"/>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23"/>
        <v>0</v>
      </c>
      <c r="J144" s="330" t="str">
        <f t="shared" si="24"/>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23"/>
        <v>0</v>
      </c>
      <c r="J145" s="330" t="str">
        <f t="shared" si="24"/>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23"/>
        <v>0</v>
      </c>
      <c r="J146" s="330" t="str">
        <f t="shared" si="24"/>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23"/>
        <v>0</v>
      </c>
      <c r="J147" s="330" t="str">
        <f t="shared" si="24"/>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23"/>
        <v>0</v>
      </c>
      <c r="J148" s="330" t="str">
        <f t="shared" si="24"/>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23"/>
        <v>0</v>
      </c>
      <c r="J149" s="330" t="str">
        <f t="shared" si="24"/>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26">SUM(D151:D160)</f>
        <v>0</v>
      </c>
      <c r="E150" s="441">
        <f t="shared" si="26"/>
        <v>0</v>
      </c>
      <c r="F150" s="443">
        <f t="shared" si="26"/>
        <v>0</v>
      </c>
      <c r="G150" s="441">
        <f t="shared" si="26"/>
        <v>0</v>
      </c>
      <c r="H150" s="443">
        <f t="shared" si="26"/>
        <v>0</v>
      </c>
      <c r="I150" s="44">
        <f t="shared" si="23"/>
        <v>0</v>
      </c>
      <c r="J150" s="330" t="str">
        <f t="shared" si="24"/>
        <v/>
      </c>
      <c r="K150" s="442">
        <f t="shared" si="26"/>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23"/>
        <v>0</v>
      </c>
      <c r="J151" s="330" t="str">
        <f t="shared" si="24"/>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23"/>
        <v>0</v>
      </c>
      <c r="J152" s="330" t="str">
        <f t="shared" si="24"/>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23"/>
        <v>0</v>
      </c>
      <c r="J153" s="330" t="str">
        <f t="shared" si="24"/>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23"/>
        <v>0</v>
      </c>
      <c r="J154" s="330" t="str">
        <f t="shared" si="24"/>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23"/>
        <v>0</v>
      </c>
      <c r="J155" s="330" t="str">
        <f t="shared" si="24"/>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23"/>
        <v>0</v>
      </c>
      <c r="J156" s="330" t="str">
        <f t="shared" si="24"/>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23"/>
        <v>0</v>
      </c>
      <c r="J157" s="330" t="str">
        <f t="shared" si="24"/>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23"/>
        <v>0</v>
      </c>
      <c r="J158" s="330" t="str">
        <f t="shared" si="24"/>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23"/>
        <v>0</v>
      </c>
      <c r="J159" s="330" t="str">
        <f t="shared" si="24"/>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23"/>
        <v>0</v>
      </c>
      <c r="J160" s="330" t="str">
        <f t="shared" si="24"/>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7">SUM(D162:D171)</f>
        <v>0</v>
      </c>
      <c r="E161" s="441">
        <f t="shared" si="27"/>
        <v>0</v>
      </c>
      <c r="F161" s="443">
        <f t="shared" si="27"/>
        <v>0</v>
      </c>
      <c r="G161" s="441">
        <f t="shared" si="27"/>
        <v>0</v>
      </c>
      <c r="H161" s="443">
        <f t="shared" si="27"/>
        <v>0</v>
      </c>
      <c r="I161" s="44">
        <f t="shared" si="23"/>
        <v>0</v>
      </c>
      <c r="J161" s="330" t="str">
        <f t="shared" si="24"/>
        <v/>
      </c>
      <c r="K161" s="442">
        <f t="shared" si="27"/>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23"/>
        <v>0</v>
      </c>
      <c r="J162" s="330" t="str">
        <f t="shared" si="24"/>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23"/>
        <v>0</v>
      </c>
      <c r="J163" s="330" t="str">
        <f t="shared" si="24"/>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23"/>
        <v>0</v>
      </c>
      <c r="J164" s="330" t="str">
        <f t="shared" si="24"/>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23"/>
        <v>0</v>
      </c>
      <c r="J165" s="330" t="str">
        <f t="shared" si="24"/>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23"/>
        <v>0</v>
      </c>
      <c r="J166" s="330" t="str">
        <f t="shared" si="24"/>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23"/>
        <v>0</v>
      </c>
      <c r="J167" s="330" t="str">
        <f t="shared" si="24"/>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23"/>
        <v>0</v>
      </c>
      <c r="J168" s="330" t="str">
        <f t="shared" si="24"/>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23"/>
        <v>0</v>
      </c>
      <c r="J169" s="330" t="str">
        <f t="shared" si="24"/>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23"/>
        <v>0</v>
      </c>
      <c r="J170" s="330" t="str">
        <f t="shared" si="24"/>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23"/>
        <v>0</v>
      </c>
      <c r="J171" s="330" t="str">
        <f t="shared" si="24"/>
        <v/>
      </c>
      <c r="K171" s="744"/>
      <c r="L171" s="452">
        <f t="shared" ref="L171:W171" si="28">SUM(L79:L82)</f>
        <v>0</v>
      </c>
      <c r="M171" s="453">
        <f t="shared" si="28"/>
        <v>0</v>
      </c>
      <c r="N171" s="453">
        <f t="shared" si="28"/>
        <v>0</v>
      </c>
      <c r="O171" s="453">
        <f t="shared" si="28"/>
        <v>0</v>
      </c>
      <c r="P171" s="453">
        <f t="shared" si="28"/>
        <v>0</v>
      </c>
      <c r="Q171" s="453">
        <f t="shared" si="28"/>
        <v>0</v>
      </c>
      <c r="R171" s="453">
        <f t="shared" si="28"/>
        <v>0</v>
      </c>
      <c r="S171" s="453">
        <f t="shared" si="28"/>
        <v>0</v>
      </c>
      <c r="T171" s="453">
        <f t="shared" si="28"/>
        <v>0</v>
      </c>
      <c r="U171" s="453">
        <f t="shared" si="28"/>
        <v>0</v>
      </c>
      <c r="V171" s="453">
        <f t="shared" si="28"/>
        <v>0</v>
      </c>
      <c r="W171" s="453">
        <f t="shared" si="28"/>
        <v>0</v>
      </c>
    </row>
    <row r="172" spans="1:23" ht="12.75" customHeight="1" x14ac:dyDescent="0.25">
      <c r="A172" s="447" t="s">
        <v>807</v>
      </c>
      <c r="B172" s="415"/>
      <c r="C172" s="504">
        <f>C7+C18+C29+C40+C51+C62+C73+C84+C95+C106+C117+C128+C139+C150+C161</f>
        <v>143242056</v>
      </c>
      <c r="D172" s="451">
        <f t="shared" ref="D172:K172" si="29">D7+D18+D29+D40+D51+D62+D73+D84+D95+D106+D117+D128+D139+D150+D161</f>
        <v>489965757.39999998</v>
      </c>
      <c r="E172" s="448">
        <f t="shared" si="29"/>
        <v>443590690.0200001</v>
      </c>
      <c r="F172" s="450">
        <f t="shared" si="29"/>
        <v>1928402.38</v>
      </c>
      <c r="G172" s="448">
        <f t="shared" si="29"/>
        <v>8087950.3399999999</v>
      </c>
      <c r="H172" s="450">
        <f t="shared" si="29"/>
        <v>406624799.18500006</v>
      </c>
      <c r="I172" s="514">
        <f t="shared" si="23"/>
        <v>-398536848.84500009</v>
      </c>
      <c r="J172" s="515">
        <f t="shared" si="24"/>
        <v>-0.98010954974657061</v>
      </c>
      <c r="K172" s="449">
        <f t="shared" si="29"/>
        <v>443590690.0200001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23"/>
        <v>0</v>
      </c>
      <c r="J173" s="133" t="str">
        <f t="shared" si="24"/>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23"/>
        <v>0</v>
      </c>
      <c r="J175" s="330" t="str">
        <f t="shared" si="24"/>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30">SUM(C177:C186)</f>
        <v>4313936</v>
      </c>
      <c r="D176" s="471">
        <f t="shared" si="30"/>
        <v>4868500</v>
      </c>
      <c r="E176" s="468">
        <f t="shared" si="30"/>
        <v>5006330.97</v>
      </c>
      <c r="F176" s="470">
        <f t="shared" si="30"/>
        <v>28408.35</v>
      </c>
      <c r="G176" s="468">
        <f t="shared" si="30"/>
        <v>141517.54999999999</v>
      </c>
      <c r="H176" s="470">
        <f t="shared" si="30"/>
        <v>4589136.7225000001</v>
      </c>
      <c r="I176" s="44">
        <f t="shared" si="23"/>
        <v>-4447619.1725000003</v>
      </c>
      <c r="J176" s="330">
        <f t="shared" si="24"/>
        <v>-0.96916248990661891</v>
      </c>
      <c r="K176" s="469">
        <f t="shared" si="30"/>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 t="shared" ref="H177:H180" si="31">E177/12*11</f>
        <v>114728.42333333334</v>
      </c>
      <c r="I177" s="44">
        <f t="shared" si="23"/>
        <v>-114728.42333333334</v>
      </c>
      <c r="J177" s="330">
        <f t="shared" si="24"/>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v>28408.35</v>
      </c>
      <c r="G178" s="734">
        <v>122677.75</v>
      </c>
      <c r="H178" s="747">
        <f t="shared" si="31"/>
        <v>3557443.4041666663</v>
      </c>
      <c r="I178" s="44">
        <f t="shared" si="23"/>
        <v>-3434765.6541666663</v>
      </c>
      <c r="J178" s="330">
        <f t="shared" si="24"/>
        <v>-0.96551519277683706</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c r="G179" s="734">
        <v>18839.8</v>
      </c>
      <c r="H179" s="747">
        <f t="shared" si="31"/>
        <v>687566.09166666667</v>
      </c>
      <c r="I179" s="44">
        <f t="shared" si="23"/>
        <v>-668726.29166666663</v>
      </c>
      <c r="J179" s="330">
        <f t="shared" si="24"/>
        <v>-0.9725992886671706</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 t="shared" si="31"/>
        <v>229398.80333333332</v>
      </c>
      <c r="I180" s="44">
        <f t="shared" si="23"/>
        <v>-229398.80333333332</v>
      </c>
      <c r="J180" s="330">
        <f t="shared" si="24"/>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23"/>
        <v>0</v>
      </c>
      <c r="J181" s="330" t="str">
        <f t="shared" si="24"/>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23"/>
        <v>0</v>
      </c>
      <c r="J182" s="330" t="str">
        <f t="shared" si="24"/>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23"/>
        <v>0</v>
      </c>
      <c r="J183" s="330" t="str">
        <f t="shared" si="24"/>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23"/>
        <v>0</v>
      </c>
      <c r="J184" s="330" t="str">
        <f t="shared" si="24"/>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23"/>
        <v>0</v>
      </c>
      <c r="J185" s="330" t="str">
        <f t="shared" si="24"/>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23"/>
        <v>0</v>
      </c>
      <c r="J186" s="330" t="str">
        <f t="shared" si="24"/>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32">SUM(E188:E197)</f>
        <v>7856900.21</v>
      </c>
      <c r="F187" s="443">
        <f t="shared" si="32"/>
        <v>1834351.4</v>
      </c>
      <c r="G187" s="441">
        <f t="shared" si="32"/>
        <v>5404694.4400000004</v>
      </c>
      <c r="H187" s="443">
        <f t="shared" si="32"/>
        <v>7202158.5258333329</v>
      </c>
      <c r="I187" s="44">
        <f t="shared" si="23"/>
        <v>-1797464.0858333325</v>
      </c>
      <c r="J187" s="330">
        <f t="shared" si="24"/>
        <v>-0.24957296890731173</v>
      </c>
      <c r="K187" s="442">
        <f t="shared" si="32"/>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v>1834351.4</v>
      </c>
      <c r="G188" s="734">
        <v>4093055.26</v>
      </c>
      <c r="H188" s="747">
        <f t="shared" ref="H188:H189" si="33">E188/12*11</f>
        <v>4121103.1949999994</v>
      </c>
      <c r="I188" s="44">
        <f t="shared" si="23"/>
        <v>-28047.93499999959</v>
      </c>
      <c r="J188" s="330">
        <f t="shared" si="24"/>
        <v>-6.8059288187758164E-3</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c r="G189" s="734"/>
      <c r="H189" s="747">
        <f t="shared" si="33"/>
        <v>344185.25166666665</v>
      </c>
      <c r="I189" s="44">
        <f t="shared" si="23"/>
        <v>-344185.25166666665</v>
      </c>
      <c r="J189" s="330">
        <f t="shared" si="24"/>
        <v>-1</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23"/>
        <v>0</v>
      </c>
      <c r="J190" s="330" t="str">
        <f t="shared" si="24"/>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c r="G191" s="734">
        <v>798894.73</v>
      </c>
      <c r="H191" s="747">
        <f t="shared" ref="H191:H192" si="34">E191/12*11</f>
        <v>1755590.9250000003</v>
      </c>
      <c r="I191" s="44">
        <f t="shared" si="23"/>
        <v>-956696.1950000003</v>
      </c>
      <c r="J191" s="330">
        <f t="shared" si="24"/>
        <v>-0.5449425497571424</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c r="G192" s="734">
        <v>512744.44999999995</v>
      </c>
      <c r="H192" s="747">
        <f t="shared" si="34"/>
        <v>981279.15416666702</v>
      </c>
      <c r="I192" s="44">
        <f t="shared" si="23"/>
        <v>-468534.70416666707</v>
      </c>
      <c r="J192" s="330">
        <f t="shared" si="24"/>
        <v>-0.47747341026984458</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23"/>
        <v>0</v>
      </c>
      <c r="J193" s="330" t="str">
        <f t="shared" si="24"/>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23"/>
        <v>0</v>
      </c>
      <c r="J194" s="330" t="str">
        <f t="shared" si="24"/>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23"/>
        <v>0</v>
      </c>
      <c r="J195" s="330" t="str">
        <f t="shared" si="24"/>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23"/>
        <v>0</v>
      </c>
      <c r="J196" s="330" t="str">
        <f t="shared" si="24"/>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23"/>
        <v>0</v>
      </c>
      <c r="J197" s="330" t="str">
        <f t="shared" si="24"/>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35">SUM(C199:C208)</f>
        <v>15738155</v>
      </c>
      <c r="D198" s="444">
        <f t="shared" si="35"/>
        <v>12991000</v>
      </c>
      <c r="E198" s="441">
        <f t="shared" si="35"/>
        <v>17444846.280000001</v>
      </c>
      <c r="F198" s="443">
        <f t="shared" si="35"/>
        <v>-6453238.2800000003</v>
      </c>
      <c r="G198" s="441">
        <f t="shared" si="35"/>
        <v>-7528536.0200000005</v>
      </c>
      <c r="H198" s="443">
        <f t="shared" si="35"/>
        <v>15991109.090000002</v>
      </c>
      <c r="I198" s="44">
        <f t="shared" si="23"/>
        <v>-23519645.110000003</v>
      </c>
      <c r="J198" s="330">
        <f t="shared" si="24"/>
        <v>-1.4707951135614448</v>
      </c>
      <c r="K198" s="442">
        <f t="shared" si="3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c r="H199" s="747">
        <f t="shared" ref="H199:H201" si="36">E199/12*11</f>
        <v>321239.57250000001</v>
      </c>
      <c r="I199" s="44">
        <f t="shared" si="23"/>
        <v>-321239.57250000001</v>
      </c>
      <c r="J199" s="330">
        <f t="shared" si="24"/>
        <v>-1</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v>-4497272.78</v>
      </c>
      <c r="G200" s="734">
        <v>-4497272.78</v>
      </c>
      <c r="H200" s="747">
        <f t="shared" si="36"/>
        <v>367130.93083333329</v>
      </c>
      <c r="I200" s="44">
        <f t="shared" ref="I200:I263" si="37">G200-H200</f>
        <v>-4864403.7108333334</v>
      </c>
      <c r="J200" s="330">
        <f t="shared" ref="J200:J263" si="38">IF(I200=0,"",I200/H200)</f>
        <v>-13.249779036029057</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c r="G201" s="384">
        <v>2536381.8899999997</v>
      </c>
      <c r="H201" s="472">
        <f t="shared" si="36"/>
        <v>15302738.586666668</v>
      </c>
      <c r="I201" s="44">
        <f t="shared" si="37"/>
        <v>-12766356.696666669</v>
      </c>
      <c r="J201" s="330">
        <f t="shared" si="38"/>
        <v>-0.83425307335446752</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v>-1955965.5</v>
      </c>
      <c r="G202" s="384">
        <v>-5567645.1299999999</v>
      </c>
      <c r="H202" s="472"/>
      <c r="I202" s="44">
        <f t="shared" si="37"/>
        <v>-5567645.1299999999</v>
      </c>
      <c r="J202" s="330" t="e">
        <f t="shared" si="38"/>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37"/>
        <v>0</v>
      </c>
      <c r="J203" s="330" t="str">
        <f t="shared" si="38"/>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37"/>
        <v>0</v>
      </c>
      <c r="J204" s="330" t="str">
        <f t="shared" si="38"/>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37"/>
        <v>0</v>
      </c>
      <c r="J205" s="330" t="str">
        <f t="shared" si="38"/>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37"/>
        <v>0</v>
      </c>
      <c r="J206" s="330" t="str">
        <f t="shared" si="38"/>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37"/>
        <v>0</v>
      </c>
      <c r="J207" s="330" t="str">
        <f t="shared" si="38"/>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37"/>
        <v>0</v>
      </c>
      <c r="J208" s="330" t="str">
        <f t="shared" si="38"/>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39">SUM(C210:C219)</f>
        <v>875802</v>
      </c>
      <c r="D209" s="444">
        <f t="shared" si="39"/>
        <v>4500000</v>
      </c>
      <c r="E209" s="441">
        <f t="shared" si="39"/>
        <v>2523165</v>
      </c>
      <c r="F209" s="443">
        <f t="shared" si="39"/>
        <v>0</v>
      </c>
      <c r="G209" s="441">
        <f t="shared" si="39"/>
        <v>0</v>
      </c>
      <c r="H209" s="443">
        <f t="shared" si="39"/>
        <v>2312901.25</v>
      </c>
      <c r="I209" s="44">
        <f t="shared" si="37"/>
        <v>-2312901.25</v>
      </c>
      <c r="J209" s="330">
        <f t="shared" si="38"/>
        <v>-1</v>
      </c>
      <c r="K209" s="442">
        <f t="shared" si="39"/>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 t="shared" ref="H210:H214" si="40">E210/12*11</f>
        <v>-2635.416666666667</v>
      </c>
      <c r="I210" s="44">
        <f t="shared" si="37"/>
        <v>2635.416666666667</v>
      </c>
      <c r="J210" s="330">
        <f t="shared" si="38"/>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c r="G211" s="384"/>
      <c r="H211" s="472">
        <f t="shared" si="40"/>
        <v>1878912.75</v>
      </c>
      <c r="I211" s="44">
        <f t="shared" si="37"/>
        <v>-1878912.75</v>
      </c>
      <c r="J211" s="330">
        <f t="shared" si="38"/>
        <v>-1</v>
      </c>
      <c r="K211" s="395">
        <f t="shared" ref="K211:K214" si="41">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 t="shared" si="40"/>
        <v>225790.58333333334</v>
      </c>
      <c r="I212" s="44">
        <f t="shared" si="37"/>
        <v>-225790.58333333334</v>
      </c>
      <c r="J212" s="330">
        <f t="shared" si="38"/>
        <v>-1</v>
      </c>
      <c r="K212" s="395">
        <f t="shared" si="41"/>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 t="shared" si="40"/>
        <v>192500</v>
      </c>
      <c r="I213" s="44">
        <f t="shared" si="37"/>
        <v>-192500</v>
      </c>
      <c r="J213" s="330">
        <f t="shared" si="38"/>
        <v>-1</v>
      </c>
      <c r="K213" s="395">
        <f t="shared" si="41"/>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 t="shared" si="40"/>
        <v>18333.333333333336</v>
      </c>
      <c r="I214" s="44">
        <f t="shared" si="37"/>
        <v>-18333.333333333336</v>
      </c>
      <c r="J214" s="330">
        <f t="shared" si="38"/>
        <v>-1</v>
      </c>
      <c r="K214" s="395">
        <f t="shared" si="41"/>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37"/>
        <v>0</v>
      </c>
      <c r="J215" s="330" t="str">
        <f t="shared" si="38"/>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37"/>
        <v>0</v>
      </c>
      <c r="J216" s="330" t="str">
        <f t="shared" si="38"/>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37"/>
        <v>0</v>
      </c>
      <c r="J217" s="330" t="str">
        <f t="shared" si="38"/>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37"/>
        <v>0</v>
      </c>
      <c r="J218" s="330" t="str">
        <f t="shared" si="38"/>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37"/>
        <v>0</v>
      </c>
      <c r="J219" s="330" t="str">
        <f t="shared" si="38"/>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42">SUM(C221:C230)</f>
        <v>414791205</v>
      </c>
      <c r="D220" s="444">
        <f t="shared" si="42"/>
        <v>27501044</v>
      </c>
      <c r="E220" s="441">
        <f t="shared" si="42"/>
        <v>35915652</v>
      </c>
      <c r="F220" s="443">
        <f t="shared" si="42"/>
        <v>28326718.219999999</v>
      </c>
      <c r="G220" s="441">
        <f t="shared" si="42"/>
        <v>218356556.72999999</v>
      </c>
      <c r="H220" s="443">
        <f t="shared" si="42"/>
        <v>32922681</v>
      </c>
      <c r="I220" s="44">
        <f t="shared" si="37"/>
        <v>185433875.72999999</v>
      </c>
      <c r="J220" s="330">
        <f t="shared" si="38"/>
        <v>5.6324050805582928</v>
      </c>
      <c r="K220" s="442">
        <f t="shared" si="42"/>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v>4844171.7</v>
      </c>
      <c r="G221" s="384">
        <v>9217413.4700000007</v>
      </c>
      <c r="H221" s="472">
        <f t="shared" ref="H221:H224" si="43">E221/12*11</f>
        <v>9195844.2491666675</v>
      </c>
      <c r="I221" s="44">
        <f t="shared" si="37"/>
        <v>21569.220833333209</v>
      </c>
      <c r="J221" s="330">
        <f t="shared" si="38"/>
        <v>2.3455400340526454E-3</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 t="shared" si="43"/>
        <v>83962.083333333343</v>
      </c>
      <c r="I222" s="44">
        <f t="shared" si="37"/>
        <v>7632.916666666657</v>
      </c>
      <c r="J222" s="330">
        <f t="shared" si="38"/>
        <v>9.0909090909090787E-2</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v>18139302.370000001</v>
      </c>
      <c r="G223" s="384">
        <v>151445798.23999998</v>
      </c>
      <c r="H223" s="472">
        <f t="shared" si="43"/>
        <v>15850860.666666666</v>
      </c>
      <c r="I223" s="44">
        <f t="shared" si="37"/>
        <v>135594937.57333332</v>
      </c>
      <c r="J223" s="330">
        <f t="shared" si="38"/>
        <v>8.5544211399498771</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v>5343244.1500000004</v>
      </c>
      <c r="G224" s="384">
        <v>57601750.020000003</v>
      </c>
      <c r="H224" s="472">
        <f t="shared" si="43"/>
        <v>7792014.0008333335</v>
      </c>
      <c r="I224" s="44">
        <f t="shared" si="37"/>
        <v>49809736.019166671</v>
      </c>
      <c r="J224" s="330">
        <f t="shared" si="38"/>
        <v>6.3924084343071845</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37"/>
        <v>0</v>
      </c>
      <c r="J225" s="330" t="str">
        <f t="shared" si="38"/>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37"/>
        <v>0</v>
      </c>
      <c r="J226" s="330" t="str">
        <f t="shared" si="38"/>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37"/>
        <v>0</v>
      </c>
      <c r="J227" s="330" t="str">
        <f t="shared" si="38"/>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37"/>
        <v>0</v>
      </c>
      <c r="J228" s="330" t="str">
        <f t="shared" si="38"/>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37"/>
        <v>0</v>
      </c>
      <c r="J229" s="330" t="str">
        <f t="shared" si="38"/>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37"/>
        <v>0</v>
      </c>
      <c r="J230" s="330" t="str">
        <f t="shared" si="38"/>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44">SUM(C232:C241)</f>
        <v>17268330</v>
      </c>
      <c r="D231" s="444">
        <f t="shared" si="44"/>
        <v>3210000</v>
      </c>
      <c r="E231" s="441">
        <f t="shared" si="44"/>
        <v>234399552.22999999</v>
      </c>
      <c r="F231" s="443">
        <f t="shared" si="44"/>
        <v>0</v>
      </c>
      <c r="G231" s="441">
        <f t="shared" si="44"/>
        <v>63645362.850000009</v>
      </c>
      <c r="H231" s="443">
        <f t="shared" si="44"/>
        <v>214866256.21083334</v>
      </c>
      <c r="I231" s="44">
        <f t="shared" si="37"/>
        <v>-151220893.36083335</v>
      </c>
      <c r="J231" s="330">
        <f t="shared" si="38"/>
        <v>-0.7037907953887873</v>
      </c>
      <c r="K231" s="442">
        <f t="shared" si="44"/>
        <v>234399552.22999999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1406260.26</v>
      </c>
      <c r="F232" s="472"/>
      <c r="G232" s="384">
        <v>1023775.3899999999</v>
      </c>
      <c r="H232" s="472">
        <f t="shared" ref="H232" si="45">E232/12*11</f>
        <v>1289071.905</v>
      </c>
      <c r="I232" s="44">
        <f t="shared" si="37"/>
        <v>-265296.51500000013</v>
      </c>
      <c r="J232" s="330">
        <f t="shared" si="38"/>
        <v>-0.2058042797853081</v>
      </c>
      <c r="K232" s="395">
        <f>E232</f>
        <v>1406260.26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v>0</v>
      </c>
      <c r="F233" s="472"/>
      <c r="G233" s="384"/>
      <c r="H233" s="472"/>
      <c r="I233" s="44">
        <f t="shared" si="37"/>
        <v>0</v>
      </c>
      <c r="J233" s="330" t="str">
        <f t="shared" si="38"/>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c r="G234" s="384">
        <v>61421018.910000011</v>
      </c>
      <c r="H234" s="472">
        <f t="shared" ref="H234:H235" si="46">E234/12*11</f>
        <v>209217558</v>
      </c>
      <c r="I234" s="44">
        <f t="shared" si="37"/>
        <v>-147796539.08999997</v>
      </c>
      <c r="J234" s="330">
        <f t="shared" si="38"/>
        <v>-0.70642512274232727</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c r="G235" s="384">
        <v>1200568.55</v>
      </c>
      <c r="H235" s="472">
        <f t="shared" si="46"/>
        <v>4359626.3058333322</v>
      </c>
      <c r="I235" s="44">
        <f t="shared" si="37"/>
        <v>-3159057.7558333324</v>
      </c>
      <c r="J235" s="330">
        <f t="shared" si="38"/>
        <v>-0.72461663780824581</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37"/>
        <v>0</v>
      </c>
      <c r="J236" s="330" t="str">
        <f t="shared" si="38"/>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37"/>
        <v>0</v>
      </c>
      <c r="J237" s="330" t="str">
        <f t="shared" si="38"/>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37"/>
        <v>0</v>
      </c>
      <c r="J238" s="330" t="str">
        <f t="shared" si="38"/>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37"/>
        <v>0</v>
      </c>
      <c r="J239" s="330" t="str">
        <f t="shared" si="38"/>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37"/>
        <v>0</v>
      </c>
      <c r="J240" s="330" t="str">
        <f t="shared" si="38"/>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37"/>
        <v>0</v>
      </c>
      <c r="J241" s="330" t="str">
        <f t="shared" si="38"/>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47">SUM(C243:C252)</f>
        <v>0</v>
      </c>
      <c r="D242" s="444">
        <f t="shared" si="47"/>
        <v>0</v>
      </c>
      <c r="E242" s="441">
        <f t="shared" si="47"/>
        <v>0</v>
      </c>
      <c r="F242" s="443">
        <f t="shared" si="47"/>
        <v>0</v>
      </c>
      <c r="G242" s="441">
        <f t="shared" si="47"/>
        <v>0</v>
      </c>
      <c r="H242" s="443">
        <f t="shared" si="47"/>
        <v>0</v>
      </c>
      <c r="I242" s="44">
        <f t="shared" si="37"/>
        <v>0</v>
      </c>
      <c r="J242" s="330" t="str">
        <f t="shared" si="38"/>
        <v/>
      </c>
      <c r="K242" s="442">
        <f t="shared" si="47"/>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37"/>
        <v>0</v>
      </c>
      <c r="J243" s="330" t="str">
        <f t="shared" si="38"/>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37"/>
        <v>0</v>
      </c>
      <c r="J244" s="330" t="str">
        <f t="shared" si="38"/>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37"/>
        <v>0</v>
      </c>
      <c r="J245" s="330" t="str">
        <f t="shared" si="38"/>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37"/>
        <v>0</v>
      </c>
      <c r="J246" s="330" t="str">
        <f t="shared" si="38"/>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37"/>
        <v>0</v>
      </c>
      <c r="J247" s="330" t="str">
        <f t="shared" si="38"/>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37"/>
        <v>0</v>
      </c>
      <c r="J248" s="330" t="str">
        <f t="shared" si="38"/>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37"/>
        <v>0</v>
      </c>
      <c r="J249" s="330" t="str">
        <f t="shared" si="38"/>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37"/>
        <v>0</v>
      </c>
      <c r="J250" s="330" t="str">
        <f t="shared" si="38"/>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37"/>
        <v>0</v>
      </c>
      <c r="J251" s="330" t="str">
        <f t="shared" si="38"/>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37"/>
        <v>0</v>
      </c>
      <c r="J252" s="330" t="str">
        <f t="shared" si="38"/>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48">SUM(C254:C263)</f>
        <v>0</v>
      </c>
      <c r="D253" s="444">
        <f t="shared" si="48"/>
        <v>0</v>
      </c>
      <c r="E253" s="441">
        <f t="shared" si="48"/>
        <v>0</v>
      </c>
      <c r="F253" s="443">
        <f t="shared" si="48"/>
        <v>0</v>
      </c>
      <c r="G253" s="441">
        <f t="shared" si="48"/>
        <v>0</v>
      </c>
      <c r="H253" s="443">
        <f t="shared" si="48"/>
        <v>0</v>
      </c>
      <c r="I253" s="44">
        <f t="shared" si="37"/>
        <v>0</v>
      </c>
      <c r="J253" s="330" t="str">
        <f t="shared" si="38"/>
        <v/>
      </c>
      <c r="K253" s="442">
        <f t="shared" si="48"/>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37"/>
        <v>0</v>
      </c>
      <c r="J254" s="330" t="str">
        <f t="shared" si="38"/>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37"/>
        <v>0</v>
      </c>
      <c r="J255" s="330" t="str">
        <f t="shared" si="38"/>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37"/>
        <v>0</v>
      </c>
      <c r="J256" s="330" t="str">
        <f t="shared" si="38"/>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37"/>
        <v>0</v>
      </c>
      <c r="J257" s="330" t="str">
        <f t="shared" si="38"/>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37"/>
        <v>0</v>
      </c>
      <c r="J258" s="330" t="str">
        <f t="shared" si="38"/>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37"/>
        <v>0</v>
      </c>
      <c r="J259" s="330" t="str">
        <f t="shared" si="38"/>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37"/>
        <v>0</v>
      </c>
      <c r="J260" s="330" t="str">
        <f t="shared" si="38"/>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37"/>
        <v>0</v>
      </c>
      <c r="J261" s="330" t="str">
        <f t="shared" si="38"/>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37"/>
        <v>0</v>
      </c>
      <c r="J262" s="330" t="str">
        <f t="shared" si="38"/>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37"/>
        <v>0</v>
      </c>
      <c r="J263" s="330" t="str">
        <f t="shared" si="38"/>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49">SUM(C265:C274)</f>
        <v>0</v>
      </c>
      <c r="D264" s="444">
        <f t="shared" si="49"/>
        <v>0</v>
      </c>
      <c r="E264" s="441">
        <f t="shared" si="49"/>
        <v>0</v>
      </c>
      <c r="F264" s="443">
        <f t="shared" si="49"/>
        <v>0</v>
      </c>
      <c r="G264" s="441">
        <f t="shared" si="49"/>
        <v>0</v>
      </c>
      <c r="H264" s="443">
        <f t="shared" si="49"/>
        <v>0</v>
      </c>
      <c r="I264" s="44">
        <f t="shared" ref="I264:I327" si="50">G264-H264</f>
        <v>0</v>
      </c>
      <c r="J264" s="330" t="str">
        <f t="shared" ref="J264:J327" si="51">IF(I264=0,"",I264/H264)</f>
        <v/>
      </c>
      <c r="K264" s="442">
        <f t="shared" si="49"/>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50"/>
        <v>0</v>
      </c>
      <c r="J265" s="330" t="str">
        <f t="shared" si="51"/>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50"/>
        <v>0</v>
      </c>
      <c r="J266" s="330" t="str">
        <f t="shared" si="51"/>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50"/>
        <v>0</v>
      </c>
      <c r="J267" s="330" t="str">
        <f t="shared" si="51"/>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50"/>
        <v>0</v>
      </c>
      <c r="J268" s="330" t="str">
        <f t="shared" si="51"/>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50"/>
        <v>0</v>
      </c>
      <c r="J269" s="330" t="str">
        <f t="shared" si="51"/>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50"/>
        <v>0</v>
      </c>
      <c r="J270" s="330" t="str">
        <f t="shared" si="51"/>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50"/>
        <v>0</v>
      </c>
      <c r="J271" s="330" t="str">
        <f t="shared" si="51"/>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50"/>
        <v>0</v>
      </c>
      <c r="J272" s="330" t="str">
        <f t="shared" si="51"/>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50"/>
        <v>0</v>
      </c>
      <c r="J273" s="330" t="str">
        <f t="shared" si="51"/>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50"/>
        <v>0</v>
      </c>
      <c r="J274" s="330" t="str">
        <f t="shared" si="51"/>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52">SUM(C276:C285)</f>
        <v>0</v>
      </c>
      <c r="D275" s="444">
        <f t="shared" si="52"/>
        <v>0</v>
      </c>
      <c r="E275" s="441">
        <f t="shared" si="52"/>
        <v>0</v>
      </c>
      <c r="F275" s="443">
        <f t="shared" si="52"/>
        <v>0</v>
      </c>
      <c r="G275" s="441">
        <f t="shared" si="52"/>
        <v>0</v>
      </c>
      <c r="H275" s="443">
        <f t="shared" si="52"/>
        <v>0</v>
      </c>
      <c r="I275" s="44">
        <f t="shared" si="50"/>
        <v>0</v>
      </c>
      <c r="J275" s="330" t="str">
        <f t="shared" si="51"/>
        <v/>
      </c>
      <c r="K275" s="442">
        <f t="shared" si="52"/>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50"/>
        <v>0</v>
      </c>
      <c r="J276" s="330" t="str">
        <f t="shared" si="51"/>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50"/>
        <v>0</v>
      </c>
      <c r="J277" s="330" t="str">
        <f t="shared" si="51"/>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50"/>
        <v>0</v>
      </c>
      <c r="J278" s="330" t="str">
        <f t="shared" si="51"/>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50"/>
        <v>0</v>
      </c>
      <c r="J279" s="330" t="str">
        <f t="shared" si="51"/>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50"/>
        <v>0</v>
      </c>
      <c r="J280" s="330" t="str">
        <f t="shared" si="51"/>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50"/>
        <v>0</v>
      </c>
      <c r="J281" s="330" t="str">
        <f t="shared" si="51"/>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50"/>
        <v>0</v>
      </c>
      <c r="J282" s="330" t="str">
        <f t="shared" si="51"/>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50"/>
        <v>0</v>
      </c>
      <c r="J283" s="330" t="str">
        <f t="shared" si="51"/>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50"/>
        <v>0</v>
      </c>
      <c r="J284" s="330" t="str">
        <f t="shared" si="51"/>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50"/>
        <v>0</v>
      </c>
      <c r="J285" s="330" t="str">
        <f t="shared" si="51"/>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53">SUM(C287:C296)</f>
        <v>0</v>
      </c>
      <c r="D286" s="444">
        <f t="shared" si="53"/>
        <v>0</v>
      </c>
      <c r="E286" s="441">
        <f t="shared" si="53"/>
        <v>0</v>
      </c>
      <c r="F286" s="443">
        <f t="shared" si="53"/>
        <v>0</v>
      </c>
      <c r="G286" s="441">
        <f t="shared" si="53"/>
        <v>0</v>
      </c>
      <c r="H286" s="443">
        <f t="shared" si="53"/>
        <v>0</v>
      </c>
      <c r="I286" s="44">
        <f t="shared" si="50"/>
        <v>0</v>
      </c>
      <c r="J286" s="330" t="str">
        <f t="shared" si="51"/>
        <v/>
      </c>
      <c r="K286" s="442">
        <f t="shared" si="53"/>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50"/>
        <v>0</v>
      </c>
      <c r="J287" s="330" t="str">
        <f t="shared" si="51"/>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50"/>
        <v>0</v>
      </c>
      <c r="J288" s="330" t="str">
        <f t="shared" si="51"/>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50"/>
        <v>0</v>
      </c>
      <c r="J289" s="330" t="str">
        <f t="shared" si="51"/>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50"/>
        <v>0</v>
      </c>
      <c r="J290" s="330" t="str">
        <f t="shared" si="51"/>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50"/>
        <v>0</v>
      </c>
      <c r="J291" s="330" t="str">
        <f t="shared" si="51"/>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50"/>
        <v>0</v>
      </c>
      <c r="J292" s="330" t="str">
        <f t="shared" si="51"/>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50"/>
        <v>0</v>
      </c>
      <c r="J293" s="330" t="str">
        <f t="shared" si="51"/>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50"/>
        <v>0</v>
      </c>
      <c r="J294" s="330" t="str">
        <f t="shared" si="51"/>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50"/>
        <v>0</v>
      </c>
      <c r="J295" s="330" t="str">
        <f t="shared" si="51"/>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50"/>
        <v>0</v>
      </c>
      <c r="J296" s="330" t="str">
        <f t="shared" si="51"/>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54">SUM(C298:C307)</f>
        <v>0</v>
      </c>
      <c r="D297" s="444">
        <f t="shared" si="54"/>
        <v>0</v>
      </c>
      <c r="E297" s="441">
        <f t="shared" si="54"/>
        <v>0</v>
      </c>
      <c r="F297" s="443">
        <f t="shared" si="54"/>
        <v>0</v>
      </c>
      <c r="G297" s="441">
        <f t="shared" si="54"/>
        <v>0</v>
      </c>
      <c r="H297" s="443">
        <f t="shared" si="54"/>
        <v>0</v>
      </c>
      <c r="I297" s="44">
        <f t="shared" si="50"/>
        <v>0</v>
      </c>
      <c r="J297" s="330" t="str">
        <f t="shared" si="51"/>
        <v/>
      </c>
      <c r="K297" s="442">
        <f t="shared" si="54"/>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50"/>
        <v>0</v>
      </c>
      <c r="J298" s="330" t="str">
        <f t="shared" si="51"/>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50"/>
        <v>0</v>
      </c>
      <c r="J299" s="330" t="str">
        <f t="shared" si="51"/>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50"/>
        <v>0</v>
      </c>
      <c r="J300" s="330" t="str">
        <f t="shared" si="51"/>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50"/>
        <v>0</v>
      </c>
      <c r="J301" s="330" t="str">
        <f t="shared" si="51"/>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50"/>
        <v>0</v>
      </c>
      <c r="J302" s="330" t="str">
        <f t="shared" si="51"/>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50"/>
        <v>0</v>
      </c>
      <c r="J303" s="330" t="str">
        <f t="shared" si="51"/>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50"/>
        <v>0</v>
      </c>
      <c r="J304" s="330" t="str">
        <f t="shared" si="51"/>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50"/>
        <v>0</v>
      </c>
      <c r="J305" s="330" t="str">
        <f t="shared" si="51"/>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50"/>
        <v>0</v>
      </c>
      <c r="J306" s="330" t="str">
        <f t="shared" si="51"/>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50"/>
        <v>0</v>
      </c>
      <c r="J307" s="330" t="str">
        <f t="shared" si="51"/>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55">SUM(C309:C318)</f>
        <v>0</v>
      </c>
      <c r="D308" s="444">
        <f t="shared" si="55"/>
        <v>0</v>
      </c>
      <c r="E308" s="441">
        <f t="shared" si="55"/>
        <v>0</v>
      </c>
      <c r="F308" s="443">
        <f t="shared" si="55"/>
        <v>0</v>
      </c>
      <c r="G308" s="441">
        <f t="shared" si="55"/>
        <v>0</v>
      </c>
      <c r="H308" s="443">
        <f t="shared" si="55"/>
        <v>0</v>
      </c>
      <c r="I308" s="44">
        <f t="shared" si="50"/>
        <v>0</v>
      </c>
      <c r="J308" s="330" t="str">
        <f t="shared" si="51"/>
        <v/>
      </c>
      <c r="K308" s="442">
        <f t="shared" si="55"/>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50"/>
        <v>0</v>
      </c>
      <c r="J309" s="330" t="str">
        <f t="shared" si="51"/>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50"/>
        <v>0</v>
      </c>
      <c r="J310" s="330" t="str">
        <f t="shared" si="51"/>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50"/>
        <v>0</v>
      </c>
      <c r="J311" s="330" t="str">
        <f t="shared" si="51"/>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50"/>
        <v>0</v>
      </c>
      <c r="J312" s="330" t="str">
        <f t="shared" si="51"/>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50"/>
        <v>0</v>
      </c>
      <c r="J313" s="330" t="str">
        <f t="shared" si="51"/>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50"/>
        <v>0</v>
      </c>
      <c r="J314" s="330" t="str">
        <f t="shared" si="51"/>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50"/>
        <v>0</v>
      </c>
      <c r="J315" s="330" t="str">
        <f t="shared" si="51"/>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50"/>
        <v>0</v>
      </c>
      <c r="J316" s="330" t="str">
        <f t="shared" si="51"/>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50"/>
        <v>0</v>
      </c>
      <c r="J317" s="330" t="str">
        <f t="shared" si="51"/>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50"/>
        <v>0</v>
      </c>
      <c r="J318" s="330" t="str">
        <f t="shared" si="51"/>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56">SUM(C320:C329)</f>
        <v>0</v>
      </c>
      <c r="D319" s="444">
        <f t="shared" si="56"/>
        <v>0</v>
      </c>
      <c r="E319" s="441">
        <f t="shared" si="56"/>
        <v>0</v>
      </c>
      <c r="F319" s="443">
        <f t="shared" si="56"/>
        <v>0</v>
      </c>
      <c r="G319" s="441">
        <f t="shared" si="56"/>
        <v>0</v>
      </c>
      <c r="H319" s="443">
        <f t="shared" si="56"/>
        <v>0</v>
      </c>
      <c r="I319" s="44">
        <f t="shared" si="50"/>
        <v>0</v>
      </c>
      <c r="J319" s="330" t="str">
        <f t="shared" si="51"/>
        <v/>
      </c>
      <c r="K319" s="442">
        <f t="shared" si="56"/>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50"/>
        <v>0</v>
      </c>
      <c r="J320" s="330" t="str">
        <f t="shared" si="51"/>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50"/>
        <v>0</v>
      </c>
      <c r="J321" s="330" t="str">
        <f t="shared" si="51"/>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50"/>
        <v>0</v>
      </c>
      <c r="J322" s="330" t="str">
        <f t="shared" si="51"/>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50"/>
        <v>0</v>
      </c>
      <c r="J323" s="330" t="str">
        <f t="shared" si="51"/>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50"/>
        <v>0</v>
      </c>
      <c r="J324" s="330" t="str">
        <f t="shared" si="51"/>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50"/>
        <v>0</v>
      </c>
      <c r="J325" s="330" t="str">
        <f t="shared" si="51"/>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50"/>
        <v>0</v>
      </c>
      <c r="J326" s="330" t="str">
        <f t="shared" si="51"/>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50"/>
        <v>0</v>
      </c>
      <c r="J327" s="330" t="str">
        <f t="shared" si="51"/>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57">G328-H328</f>
        <v>0</v>
      </c>
      <c r="J328" s="330" t="str">
        <f t="shared" ref="J328:J343" si="58">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57"/>
        <v>0</v>
      </c>
      <c r="J329" s="330" t="str">
        <f t="shared" si="58"/>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59">SUM(C331:C340)</f>
        <v>0</v>
      </c>
      <c r="D330" s="444">
        <f t="shared" si="59"/>
        <v>0</v>
      </c>
      <c r="E330" s="441">
        <f t="shared" si="59"/>
        <v>0</v>
      </c>
      <c r="F330" s="443">
        <f t="shared" si="59"/>
        <v>0</v>
      </c>
      <c r="G330" s="441">
        <f t="shared" si="59"/>
        <v>0</v>
      </c>
      <c r="H330" s="443">
        <f t="shared" si="59"/>
        <v>0</v>
      </c>
      <c r="I330" s="44">
        <f t="shared" si="57"/>
        <v>0</v>
      </c>
      <c r="J330" s="330" t="str">
        <f t="shared" si="58"/>
        <v/>
      </c>
      <c r="K330" s="442">
        <f t="shared" si="59"/>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57"/>
        <v>0</v>
      </c>
      <c r="J331" s="330" t="str">
        <f t="shared" si="58"/>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57"/>
        <v>0</v>
      </c>
      <c r="J332" s="330" t="str">
        <f t="shared" si="58"/>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57"/>
        <v>0</v>
      </c>
      <c r="J333" s="330" t="str">
        <f t="shared" si="58"/>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57"/>
        <v>0</v>
      </c>
      <c r="J334" s="330" t="str">
        <f t="shared" si="58"/>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57"/>
        <v>0</v>
      </c>
      <c r="J335" s="330" t="str">
        <f t="shared" si="58"/>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57"/>
        <v>0</v>
      </c>
      <c r="J336" s="330" t="str">
        <f t="shared" si="58"/>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57"/>
        <v>0</v>
      </c>
      <c r="J337" s="330" t="str">
        <f t="shared" si="58"/>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57"/>
        <v>0</v>
      </c>
      <c r="J338" s="330" t="str">
        <f t="shared" si="58"/>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57"/>
        <v>0</v>
      </c>
      <c r="J339" s="330" t="str">
        <f t="shared" si="58"/>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57"/>
        <v>0</v>
      </c>
      <c r="J340" s="330" t="str">
        <f t="shared" si="58"/>
        <v/>
      </c>
      <c r="K340" s="395"/>
      <c r="L340" s="452">
        <f t="shared" ref="L340:W340" si="60">SUM(L175:L251)</f>
        <v>0</v>
      </c>
      <c r="M340" s="453">
        <f t="shared" si="60"/>
        <v>0</v>
      </c>
      <c r="N340" s="453">
        <f t="shared" si="60"/>
        <v>0</v>
      </c>
      <c r="O340" s="453">
        <f t="shared" si="60"/>
        <v>0</v>
      </c>
      <c r="P340" s="453">
        <f t="shared" si="60"/>
        <v>0</v>
      </c>
      <c r="Q340" s="453">
        <f t="shared" si="60"/>
        <v>0</v>
      </c>
      <c r="R340" s="453">
        <f t="shared" si="60"/>
        <v>0</v>
      </c>
      <c r="S340" s="453">
        <f t="shared" si="60"/>
        <v>0</v>
      </c>
      <c r="T340" s="453">
        <f t="shared" si="60"/>
        <v>0</v>
      </c>
      <c r="U340" s="453">
        <f t="shared" si="60"/>
        <v>0</v>
      </c>
      <c r="V340" s="453">
        <f t="shared" si="60"/>
        <v>0</v>
      </c>
      <c r="W340" s="453">
        <f t="shared" si="60"/>
        <v>0</v>
      </c>
    </row>
    <row r="341" spans="1:24" ht="12.75" customHeight="1" x14ac:dyDescent="0.25">
      <c r="A341" s="712" t="s">
        <v>808</v>
      </c>
      <c r="B341" s="713"/>
      <c r="C341" s="508">
        <f>C176+C187+C198+C209+C220+C231+C242+C253+C264+C286+C297+C308+C319+C330+C275</f>
        <v>470244485</v>
      </c>
      <c r="D341" s="475">
        <f t="shared" ref="D341:K341" si="61">D176+D187+D198+D209+D220+D231+D242+D253+D264+D286+D297+D308+D319+D330+D275</f>
        <v>65405544</v>
      </c>
      <c r="E341" s="430">
        <f t="shared" si="61"/>
        <v>303146446.69</v>
      </c>
      <c r="F341" s="474">
        <f t="shared" si="61"/>
        <v>23736239.689999998</v>
      </c>
      <c r="G341" s="430">
        <f t="shared" si="61"/>
        <v>280019595.55000001</v>
      </c>
      <c r="H341" s="474">
        <f t="shared" si="61"/>
        <v>277884242.79916668</v>
      </c>
      <c r="I341" s="430">
        <f t="shared" si="57"/>
        <v>2135352.7508333325</v>
      </c>
      <c r="J341" s="430">
        <f t="shared" si="58"/>
        <v>7.6843247005430283E-3</v>
      </c>
      <c r="K341" s="513">
        <f t="shared" si="61"/>
        <v>303146446.69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57"/>
        <v>0</v>
      </c>
      <c r="J342" s="50" t="str">
        <f t="shared" si="58"/>
        <v/>
      </c>
      <c r="K342" s="194"/>
      <c r="L342" s="480">
        <f t="shared" ref="L342:W342" si="62">L171-L340</f>
        <v>0</v>
      </c>
      <c r="M342" s="481">
        <f t="shared" si="62"/>
        <v>0</v>
      </c>
      <c r="N342" s="481">
        <f t="shared" si="62"/>
        <v>0</v>
      </c>
      <c r="O342" s="481">
        <f t="shared" si="62"/>
        <v>0</v>
      </c>
      <c r="P342" s="481">
        <f t="shared" si="62"/>
        <v>0</v>
      </c>
      <c r="Q342" s="481">
        <f t="shared" si="62"/>
        <v>0</v>
      </c>
      <c r="R342" s="481">
        <f t="shared" si="62"/>
        <v>0</v>
      </c>
      <c r="S342" s="481">
        <f t="shared" si="62"/>
        <v>0</v>
      </c>
      <c r="T342" s="481">
        <f t="shared" si="62"/>
        <v>0</v>
      </c>
      <c r="U342" s="481">
        <f t="shared" si="62"/>
        <v>0</v>
      </c>
      <c r="V342" s="481">
        <f t="shared" si="62"/>
        <v>0</v>
      </c>
      <c r="W342" s="481">
        <f t="shared" si="62"/>
        <v>0</v>
      </c>
    </row>
    <row r="343" spans="1:24" s="486" customFormat="1" ht="13.5" customHeight="1" thickTop="1" x14ac:dyDescent="0.25">
      <c r="A343" s="53" t="s">
        <v>770</v>
      </c>
      <c r="B343" s="477"/>
      <c r="C343" s="509">
        <f>C172+C341</f>
        <v>613486541</v>
      </c>
      <c r="D343" s="512">
        <f t="shared" ref="D343:K343" si="63">D172+D341</f>
        <v>555371301.39999998</v>
      </c>
      <c r="E343" s="55">
        <f t="shared" si="63"/>
        <v>746737136.71000004</v>
      </c>
      <c r="F343" s="479">
        <f t="shared" si="63"/>
        <v>25664642.069999997</v>
      </c>
      <c r="G343" s="55">
        <f t="shared" si="63"/>
        <v>288107545.88999999</v>
      </c>
      <c r="H343" s="479">
        <f t="shared" si="63"/>
        <v>684509041.98416674</v>
      </c>
      <c r="I343" s="55">
        <f t="shared" si="57"/>
        <v>-396401496.09416676</v>
      </c>
      <c r="J343" s="55">
        <f t="shared" si="58"/>
        <v>-0.57910337450785032</v>
      </c>
      <c r="K343" s="235">
        <f t="shared" si="63"/>
        <v>746737136.71000004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23" activePane="bottomRight" state="frozen"/>
      <selection pane="topRight"/>
      <selection pane="bottomLeft"/>
      <selection pane="bottomRight" activeCell="K41" sqref="K41"/>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2" t="str">
        <f>muni&amp; " - "&amp;S71E&amp; " - "&amp;date</f>
        <v>KZN225 Msunduzi - Table C6 Consolidated Monthly Budget Statement - Financial Position  - M10 April</v>
      </c>
      <c r="B1" s="1042"/>
      <c r="C1" s="1042"/>
      <c r="D1" s="1042"/>
      <c r="E1" s="1042"/>
      <c r="F1" s="1042"/>
      <c r="G1" s="1042"/>
    </row>
    <row r="2" spans="1:8" x14ac:dyDescent="0.25">
      <c r="A2" s="1027" t="str">
        <f>desc</f>
        <v>Description</v>
      </c>
      <c r="B2" s="1020" t="str">
        <f>head27</f>
        <v>Ref</v>
      </c>
      <c r="C2" s="140" t="str">
        <f>Head1</f>
        <v>2018/19</v>
      </c>
      <c r="D2" s="245" t="str">
        <f>Head2</f>
        <v>Budget Year 2019/20</v>
      </c>
      <c r="E2" s="229"/>
      <c r="F2" s="229"/>
      <c r="G2" s="230"/>
    </row>
    <row r="3" spans="1:8" ht="25.5" x14ac:dyDescent="0.25">
      <c r="A3" s="1028"/>
      <c r="B3" s="1031"/>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24613486.450000007</v>
      </c>
      <c r="G7" s="736">
        <f>E7</f>
        <v>100000000</v>
      </c>
    </row>
    <row r="8" spans="1:8" ht="12.75" customHeight="1" x14ac:dyDescent="0.25">
      <c r="A8" s="39" t="s">
        <v>597</v>
      </c>
      <c r="B8" s="169"/>
      <c r="C8" s="749">
        <v>15674518</v>
      </c>
      <c r="D8" s="754">
        <v>399740557.059053</v>
      </c>
      <c r="E8" s="734">
        <v>399887053.77905297</v>
      </c>
      <c r="F8" s="734">
        <v>370284730.10000002</v>
      </c>
      <c r="G8" s="736">
        <f t="shared" ref="G8:G12" si="0">E8</f>
        <v>399887053.77905297</v>
      </c>
    </row>
    <row r="9" spans="1:8" ht="12.75" customHeight="1" x14ac:dyDescent="0.25">
      <c r="A9" s="39" t="s">
        <v>595</v>
      </c>
      <c r="B9" s="169"/>
      <c r="C9" s="749">
        <v>454837531</v>
      </c>
      <c r="D9" s="754">
        <v>835519383.00000072</v>
      </c>
      <c r="E9" s="734">
        <v>835519382.86000061</v>
      </c>
      <c r="F9" s="734">
        <v>3222044413.3800025</v>
      </c>
      <c r="G9" s="736">
        <f t="shared" si="0"/>
        <v>835519382.86000061</v>
      </c>
    </row>
    <row r="10" spans="1:8" ht="12.75" customHeight="1" x14ac:dyDescent="0.25">
      <c r="A10" s="39" t="s">
        <v>596</v>
      </c>
      <c r="B10" s="169"/>
      <c r="C10" s="749">
        <v>7571464</v>
      </c>
      <c r="D10" s="754">
        <v>66723549.673443146</v>
      </c>
      <c r="E10" s="734">
        <v>66723549.673443146</v>
      </c>
      <c r="F10" s="734">
        <v>3426064.7700000117</v>
      </c>
      <c r="G10" s="736">
        <f t="shared" si="0"/>
        <v>66723549.673443146</v>
      </c>
    </row>
    <row r="11" spans="1:8" ht="12.75" customHeight="1" x14ac:dyDescent="0.25">
      <c r="A11" s="39" t="s">
        <v>795</v>
      </c>
      <c r="B11" s="169"/>
      <c r="C11" s="749"/>
      <c r="D11" s="754"/>
      <c r="E11" s="734">
        <v>0</v>
      </c>
      <c r="F11" s="734"/>
      <c r="G11" s="736"/>
    </row>
    <row r="12" spans="1:8" ht="12.75" customHeight="1" x14ac:dyDescent="0.25">
      <c r="A12" s="39" t="s">
        <v>594</v>
      </c>
      <c r="B12" s="169"/>
      <c r="C12" s="749">
        <v>329159386</v>
      </c>
      <c r="D12" s="754">
        <v>35380271.679769933</v>
      </c>
      <c r="E12" s="734">
        <v>35380271.679769933</v>
      </c>
      <c r="F12" s="734">
        <v>343094914.98000002</v>
      </c>
      <c r="G12" s="736">
        <f t="shared" si="0"/>
        <v>35380271.679769933</v>
      </c>
    </row>
    <row r="13" spans="1:8" ht="12.75" customHeight="1" x14ac:dyDescent="0.25">
      <c r="A13" s="92" t="s">
        <v>639</v>
      </c>
      <c r="B13" s="233"/>
      <c r="C13" s="243">
        <f>SUM(C7:C12)</f>
        <v>1115445477</v>
      </c>
      <c r="D13" s="260">
        <f>SUM(D7:D12)</f>
        <v>1437363761.4122667</v>
      </c>
      <c r="E13" s="73">
        <f>SUM(E7:E12)</f>
        <v>1437510257.9922667</v>
      </c>
      <c r="F13" s="73">
        <f>SUM(F7:F12)</f>
        <v>3963463609.6800027</v>
      </c>
      <c r="G13" s="145">
        <f>SUM(G7:G12)</f>
        <v>1437510257.9922667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v>2233873.4900000002</v>
      </c>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827360194.79000008</v>
      </c>
      <c r="G18" s="736">
        <f t="shared" ref="G18" si="1">E18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7060705531.7600136</v>
      </c>
      <c r="F20" s="734">
        <v>7146356701.9499989</v>
      </c>
      <c r="G20" s="736">
        <f t="shared" ref="G20" si="2">E20</f>
        <v>7060705531.7600136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948425</v>
      </c>
      <c r="G22" s="736"/>
      <c r="H22" s="39"/>
    </row>
    <row r="23" spans="1:8" ht="12.75" customHeight="1" x14ac:dyDescent="0.25">
      <c r="A23" s="39" t="s">
        <v>1347</v>
      </c>
      <c r="B23" s="169"/>
      <c r="C23" s="749">
        <v>41057963</v>
      </c>
      <c r="D23" s="754">
        <v>146779813.5196</v>
      </c>
      <c r="E23" s="734">
        <v>146779813.5196</v>
      </c>
      <c r="F23" s="734">
        <v>29994827.840000004</v>
      </c>
      <c r="G23" s="736">
        <f t="shared" ref="G23" si="3">E23</f>
        <v>146779813.5196</v>
      </c>
      <c r="H23" s="39"/>
    </row>
    <row r="24" spans="1:8" ht="12.75" customHeight="1" x14ac:dyDescent="0.25">
      <c r="A24" s="39" t="s">
        <v>804</v>
      </c>
      <c r="B24" s="169"/>
      <c r="C24" s="749">
        <v>353322432</v>
      </c>
      <c r="D24" s="754"/>
      <c r="E24" s="734"/>
      <c r="F24" s="734">
        <v>79700000</v>
      </c>
      <c r="G24" s="736"/>
      <c r="H24" s="39"/>
    </row>
    <row r="25" spans="1:8" ht="12.75" customHeight="1" x14ac:dyDescent="0.25">
      <c r="A25" s="92" t="s">
        <v>638</v>
      </c>
      <c r="B25" s="233"/>
      <c r="C25" s="243">
        <f>SUM(C16:C20)+SUM(C22:C24)</f>
        <v>8217504095</v>
      </c>
      <c r="D25" s="260">
        <f>SUM(D16:D20)+SUM(D22:D24)</f>
        <v>8039624767.2796135</v>
      </c>
      <c r="E25" s="73">
        <f>SUM(E16:E20)+SUM(E22:E24)</f>
        <v>7945534905.2796135</v>
      </c>
      <c r="F25" s="73">
        <f>SUM(F16:F20)+SUM(F22:F24)</f>
        <v>8086594023.0699987</v>
      </c>
      <c r="G25" s="145">
        <f>SUM(G16:G20)+SUM(G22:G24)</f>
        <v>7945534905.2796135</v>
      </c>
      <c r="H25" s="39"/>
    </row>
    <row r="26" spans="1:8" ht="12.75" customHeight="1" x14ac:dyDescent="0.25">
      <c r="A26" s="92" t="s">
        <v>787</v>
      </c>
      <c r="B26" s="233"/>
      <c r="C26" s="243">
        <f>C13+C25</f>
        <v>9332949572</v>
      </c>
      <c r="D26" s="260">
        <f>D13+D25</f>
        <v>9476988528.6918793</v>
      </c>
      <c r="E26" s="73">
        <f>E13+E25</f>
        <v>9383045163.2718811</v>
      </c>
      <c r="F26" s="73">
        <f>F13+F25</f>
        <v>12050057632.750002</v>
      </c>
      <c r="G26" s="145">
        <f>G13+G25</f>
        <v>9383045163.2718811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20256190.309999999</v>
      </c>
      <c r="G31" s="736">
        <f t="shared" ref="G31:G34" si="4">E31</f>
        <v>79056107.293471098</v>
      </c>
    </row>
    <row r="32" spans="1:8" ht="12.75" customHeight="1" x14ac:dyDescent="0.25">
      <c r="A32" s="39" t="s">
        <v>590</v>
      </c>
      <c r="B32" s="169"/>
      <c r="C32" s="749">
        <v>107229302</v>
      </c>
      <c r="D32" s="754">
        <v>108899457.76398766</v>
      </c>
      <c r="E32" s="734">
        <v>108899457.76398766</v>
      </c>
      <c r="F32" s="734">
        <v>115247678.51000001</v>
      </c>
      <c r="G32" s="736">
        <f t="shared" si="4"/>
        <v>108899457.76398766</v>
      </c>
    </row>
    <row r="33" spans="1:7" ht="12.75" customHeight="1" x14ac:dyDescent="0.25">
      <c r="A33" s="39" t="s">
        <v>796</v>
      </c>
      <c r="B33" s="169"/>
      <c r="C33" s="749">
        <v>1080435698</v>
      </c>
      <c r="D33" s="754">
        <v>999062751.05699301</v>
      </c>
      <c r="E33" s="734">
        <v>999062751.05699301</v>
      </c>
      <c r="F33" s="734">
        <v>809504570.97000003</v>
      </c>
      <c r="G33" s="736">
        <f t="shared" si="4"/>
        <v>999062751.05699301</v>
      </c>
    </row>
    <row r="34" spans="1:7" ht="12.75" customHeight="1" x14ac:dyDescent="0.25">
      <c r="A34" s="39" t="s">
        <v>553</v>
      </c>
      <c r="B34" s="169"/>
      <c r="C34" s="749">
        <v>171415106</v>
      </c>
      <c r="D34" s="754">
        <v>133712201.7</v>
      </c>
      <c r="E34" s="734">
        <v>133712201.7</v>
      </c>
      <c r="F34" s="734">
        <v>423728065.16000003</v>
      </c>
      <c r="G34" s="736">
        <f t="shared" si="4"/>
        <v>133712201.7</v>
      </c>
    </row>
    <row r="35" spans="1:7" ht="12.75" customHeight="1" x14ac:dyDescent="0.25">
      <c r="A35" s="92" t="s">
        <v>466</v>
      </c>
      <c r="B35" s="233"/>
      <c r="C35" s="243">
        <f>SUM(C30:C34)</f>
        <v>1473390857</v>
      </c>
      <c r="D35" s="260">
        <f>SUM(D30:D34)</f>
        <v>1320730517.8144519</v>
      </c>
      <c r="E35" s="73">
        <f>SUM(E30:E34)</f>
        <v>1320730517.8144519</v>
      </c>
      <c r="F35" s="73">
        <f>SUM(F30:F34)</f>
        <v>1368736504.95</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366291536.76999998</v>
      </c>
      <c r="G38" s="736">
        <f t="shared" ref="G38:G39" si="5">E38</f>
        <v>459547129.38665301</v>
      </c>
    </row>
    <row r="39" spans="1:7" ht="12.75" customHeight="1" x14ac:dyDescent="0.25">
      <c r="A39" s="39" t="s">
        <v>553</v>
      </c>
      <c r="B39" s="169"/>
      <c r="C39" s="749">
        <v>624742898</v>
      </c>
      <c r="D39" s="754">
        <v>742916894.43171203</v>
      </c>
      <c r="E39" s="734">
        <v>742916894.43171203</v>
      </c>
      <c r="F39" s="734">
        <v>624742897.63</v>
      </c>
      <c r="G39" s="736">
        <f t="shared" si="5"/>
        <v>742916894.43171203</v>
      </c>
    </row>
    <row r="40" spans="1:7" ht="12.75" customHeight="1" x14ac:dyDescent="0.25">
      <c r="A40" s="92" t="s">
        <v>465</v>
      </c>
      <c r="B40" s="233"/>
      <c r="C40" s="243">
        <f>SUM(C38:C39)</f>
        <v>991034435</v>
      </c>
      <c r="D40" s="260">
        <f>SUM(D38:D39)</f>
        <v>1202464023.8183651</v>
      </c>
      <c r="E40" s="73">
        <f>SUM(E38:E39)</f>
        <v>1202464023.8183651</v>
      </c>
      <c r="F40" s="73">
        <f>SUM(F38:F39)</f>
        <v>991034434.39999998</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2359770939.3499999</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6953793987.059062</v>
      </c>
      <c r="E43" s="76">
        <f>E26-E41</f>
        <v>6859850621.6390638</v>
      </c>
      <c r="F43" s="76">
        <f>F26-F41</f>
        <v>9690286693.4000015</v>
      </c>
      <c r="G43" s="234">
        <f>G26-G41</f>
        <v>6859850621.6390638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6717549721.059062</v>
      </c>
      <c r="E46" s="734">
        <v>6717776217.7790632</v>
      </c>
      <c r="F46" s="734">
        <v>9469998924.8000011</v>
      </c>
      <c r="G46" s="736">
        <f t="shared" ref="G46:G47" si="6">E46</f>
        <v>6717776217.7790632</v>
      </c>
    </row>
    <row r="47" spans="1:7" ht="12.75" customHeight="1" x14ac:dyDescent="0.25">
      <c r="A47" s="39" t="s">
        <v>914</v>
      </c>
      <c r="B47" s="169"/>
      <c r="C47" s="749">
        <v>228913258</v>
      </c>
      <c r="D47" s="754">
        <v>236244266</v>
      </c>
      <c r="E47" s="734">
        <v>142074403.86000061</v>
      </c>
      <c r="F47" s="734">
        <v>220287768.59999999</v>
      </c>
      <c r="G47" s="736">
        <f t="shared" si="6"/>
        <v>142074403.86000061</v>
      </c>
    </row>
    <row r="48" spans="1:7" ht="12.75" customHeight="1" x14ac:dyDescent="0.25">
      <c r="A48" s="53" t="s">
        <v>633</v>
      </c>
      <c r="B48" s="236">
        <v>2</v>
      </c>
      <c r="C48" s="112">
        <f>SUM(C46:C47)</f>
        <v>6868524280</v>
      </c>
      <c r="D48" s="271">
        <f>SUM(D46:D47)</f>
        <v>6953793987.059062</v>
      </c>
      <c r="E48" s="55">
        <f>SUM(E46:E47)</f>
        <v>6859850621.6390638</v>
      </c>
      <c r="F48" s="55">
        <f>SUM(F46:F47)</f>
        <v>9690286693.4000015</v>
      </c>
      <c r="G48" s="235">
        <f>SUM(G46:G47)</f>
        <v>6859850621.6390638</v>
      </c>
    </row>
    <row r="49" spans="1:7" ht="12.75" customHeight="1" x14ac:dyDescent="0.25">
      <c r="A49" s="78" t="str">
        <f>head27a</f>
        <v>References</v>
      </c>
      <c r="B49" s="58"/>
      <c r="C49" s="49"/>
      <c r="D49" s="49"/>
      <c r="E49" s="49"/>
      <c r="F49" s="49"/>
      <c r="G49" s="49"/>
    </row>
    <row r="50" spans="1:7" ht="13.5" customHeight="1" x14ac:dyDescent="0.25">
      <c r="A50" s="1041" t="s">
        <v>151</v>
      </c>
      <c r="B50" s="1041"/>
      <c r="C50" s="1041"/>
      <c r="D50" s="1041"/>
      <c r="E50" s="1041"/>
      <c r="F50" s="1041"/>
      <c r="G50" s="1041"/>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H36" sqref="H36"/>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"&amp;S71F&amp; " - "&amp;date</f>
        <v>KZN225 Msunduzi - Table C7 Consolidated Monthly Budget Statement - Cash Flow  - M10 April</v>
      </c>
      <c r="B1" s="1038"/>
      <c r="C1" s="1038"/>
      <c r="D1" s="1038"/>
      <c r="E1" s="1038"/>
      <c r="F1" s="1038"/>
      <c r="G1" s="1038"/>
      <c r="H1" s="1038"/>
      <c r="I1" s="1038"/>
      <c r="J1" s="1038"/>
      <c r="K1" s="1038"/>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960617230.76800001</v>
      </c>
      <c r="F7" s="734"/>
      <c r="G7" s="734"/>
      <c r="H7" s="734">
        <f t="shared" ref="H7:H12" si="0">E7/12*11</f>
        <v>880565794.87066674</v>
      </c>
      <c r="I7" s="44">
        <f t="shared" ref="I7:I13" si="1">G7-H7</f>
        <v>-880565794.87066674</v>
      </c>
      <c r="J7" s="330">
        <f>IF(I7=0,"",I7/H7)</f>
        <v>-1</v>
      </c>
      <c r="K7" s="736">
        <f t="shared" ref="K7:K12" si="2">E7</f>
        <v>960617230.76800001</v>
      </c>
    </row>
    <row r="8" spans="1:11" ht="12.75" customHeight="1" x14ac:dyDescent="0.25">
      <c r="A8" s="518" t="s">
        <v>975</v>
      </c>
      <c r="B8" s="169"/>
      <c r="C8" s="749"/>
      <c r="D8" s="746">
        <v>2670162384.9896717</v>
      </c>
      <c r="E8" s="734">
        <v>2673903086.82584</v>
      </c>
      <c r="F8" s="734"/>
      <c r="G8" s="734"/>
      <c r="H8" s="734">
        <f t="shared" si="0"/>
        <v>2451077829.590353</v>
      </c>
      <c r="I8" s="44">
        <f t="shared" si="1"/>
        <v>-2451077829.590353</v>
      </c>
      <c r="J8" s="330">
        <f>IF(I8=0,"",I8/H8)</f>
        <v>-1</v>
      </c>
      <c r="K8" s="736">
        <f t="shared" si="2"/>
        <v>2673903086.82584</v>
      </c>
    </row>
    <row r="9" spans="1:11" ht="12.75" customHeight="1" x14ac:dyDescent="0.25">
      <c r="A9" s="518" t="s">
        <v>460</v>
      </c>
      <c r="B9" s="169"/>
      <c r="C9" s="749"/>
      <c r="D9" s="746">
        <v>148876026.28400001</v>
      </c>
      <c r="E9" s="734">
        <v>148876026.28400001</v>
      </c>
      <c r="F9" s="734"/>
      <c r="G9" s="734"/>
      <c r="H9" s="734">
        <f t="shared" si="0"/>
        <v>136469690.76033333</v>
      </c>
      <c r="I9" s="44">
        <f t="shared" si="1"/>
        <v>-136469690.76033333</v>
      </c>
      <c r="J9" s="330">
        <f>IF(I9=0,"",I9/H9)</f>
        <v>-1</v>
      </c>
      <c r="K9" s="736">
        <f t="shared" si="2"/>
        <v>148876026.28400001</v>
      </c>
    </row>
    <row r="10" spans="1:11" ht="12.75" customHeight="1" x14ac:dyDescent="0.25">
      <c r="A10" s="86" t="s">
        <v>703</v>
      </c>
      <c r="B10" s="171"/>
      <c r="C10" s="749"/>
      <c r="D10" s="746">
        <v>672022829</v>
      </c>
      <c r="E10" s="734">
        <v>681050778</v>
      </c>
      <c r="F10" s="734"/>
      <c r="G10" s="734"/>
      <c r="H10" s="734">
        <f t="shared" si="0"/>
        <v>624296546.5</v>
      </c>
      <c r="I10" s="44">
        <f t="shared" si="1"/>
        <v>-624296546.5</v>
      </c>
      <c r="J10" s="330">
        <f>IF(I10=0,"",I10/H10)</f>
        <v>-1</v>
      </c>
      <c r="K10" s="736">
        <f t="shared" si="2"/>
        <v>681050778</v>
      </c>
    </row>
    <row r="11" spans="1:11" ht="12.75" customHeight="1" x14ac:dyDescent="0.25">
      <c r="A11" s="86" t="s">
        <v>704</v>
      </c>
      <c r="B11" s="171"/>
      <c r="C11" s="749"/>
      <c r="D11" s="746">
        <v>439342400</v>
      </c>
      <c r="E11" s="734">
        <v>639959713</v>
      </c>
      <c r="F11" s="734"/>
      <c r="G11" s="734"/>
      <c r="H11" s="734">
        <f t="shared" si="0"/>
        <v>586629736.91666675</v>
      </c>
      <c r="I11" s="44">
        <f t="shared" si="1"/>
        <v>-586629736.91666675</v>
      </c>
      <c r="J11" s="330">
        <f t="shared" ref="J11:J18" si="3">IF(I11=0,"",I11/H11)</f>
        <v>-1</v>
      </c>
      <c r="K11" s="736">
        <f t="shared" si="2"/>
        <v>639959713</v>
      </c>
    </row>
    <row r="12" spans="1:11" ht="12.75" customHeight="1" x14ac:dyDescent="0.25">
      <c r="A12" s="86" t="s">
        <v>897</v>
      </c>
      <c r="B12" s="171"/>
      <c r="C12" s="749"/>
      <c r="D12" s="746">
        <v>169693887.59400004</v>
      </c>
      <c r="E12" s="734">
        <v>169594887.59400004</v>
      </c>
      <c r="F12" s="734"/>
      <c r="G12" s="734"/>
      <c r="H12" s="734">
        <f t="shared" si="0"/>
        <v>155461980.29450005</v>
      </c>
      <c r="I12" s="44">
        <f t="shared" si="1"/>
        <v>-155461980.29450005</v>
      </c>
      <c r="J12" s="330">
        <f t="shared" si="3"/>
        <v>-1</v>
      </c>
      <c r="K12" s="736">
        <f t="shared" si="2"/>
        <v>169594887.59400004</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-4148320148.6411486</v>
      </c>
      <c r="F15" s="734"/>
      <c r="G15" s="734"/>
      <c r="H15" s="734">
        <f t="shared" ref="H15:H17" si="4">E15/12*11</f>
        <v>-3802626802.9210525</v>
      </c>
      <c r="I15" s="44">
        <f>H15-G15</f>
        <v>-3802626802.9210525</v>
      </c>
      <c r="J15" s="330">
        <f t="shared" si="3"/>
        <v>1</v>
      </c>
      <c r="K15" s="736">
        <f>E15</f>
        <v>-4148320148.6411486</v>
      </c>
    </row>
    <row r="16" spans="1:11" ht="12.75" customHeight="1" x14ac:dyDescent="0.25">
      <c r="A16" s="86" t="s">
        <v>459</v>
      </c>
      <c r="B16" s="171"/>
      <c r="C16" s="749"/>
      <c r="D16" s="746">
        <v>-41660099</v>
      </c>
      <c r="E16" s="734">
        <v>-41660099</v>
      </c>
      <c r="F16" s="734"/>
      <c r="G16" s="734"/>
      <c r="H16" s="734">
        <f t="shared" si="4"/>
        <v>-38188424.083333328</v>
      </c>
      <c r="I16" s="44">
        <f>H16-G16</f>
        <v>-38188424.083333328</v>
      </c>
      <c r="J16" s="330">
        <f t="shared" si="3"/>
        <v>1</v>
      </c>
      <c r="K16" s="736">
        <f>E16</f>
        <v>-41660099</v>
      </c>
    </row>
    <row r="17" spans="1:11" ht="12.75" customHeight="1" x14ac:dyDescent="0.25">
      <c r="A17" s="86" t="s">
        <v>69</v>
      </c>
      <c r="B17" s="171"/>
      <c r="C17" s="749"/>
      <c r="D17" s="746">
        <v>-44060467.544000007</v>
      </c>
      <c r="E17" s="734">
        <v>-58899891.544000007</v>
      </c>
      <c r="F17" s="734"/>
      <c r="G17" s="734"/>
      <c r="H17" s="734">
        <f t="shared" si="4"/>
        <v>-53991567.248666674</v>
      </c>
      <c r="I17" s="44">
        <f>H17-G17</f>
        <v>-53991567.248666674</v>
      </c>
      <c r="J17" s="330">
        <f t="shared" si="3"/>
        <v>1</v>
      </c>
      <c r="K17" s="736">
        <f>E17</f>
        <v>-58899891.544000007</v>
      </c>
    </row>
    <row r="18" spans="1:11" ht="12.75" customHeight="1" x14ac:dyDescent="0.25">
      <c r="A18" s="92" t="s">
        <v>901</v>
      </c>
      <c r="B18" s="233"/>
      <c r="C18" s="243">
        <f t="shared" ref="C18:H18" si="5">SUM(C7:C13)+SUM(C15:C17)</f>
        <v>0</v>
      </c>
      <c r="D18" s="74">
        <f t="shared" si="5"/>
        <v>645280409.45052338</v>
      </c>
      <c r="E18" s="73">
        <f t="shared" si="5"/>
        <v>1025121583.2866912</v>
      </c>
      <c r="F18" s="73">
        <f t="shared" si="5"/>
        <v>0</v>
      </c>
      <c r="G18" s="73">
        <f t="shared" si="5"/>
        <v>0</v>
      </c>
      <c r="H18" s="73">
        <f t="shared" si="5"/>
        <v>939694784.6794672</v>
      </c>
      <c r="I18" s="73">
        <f>H18-G18</f>
        <v>939694784.6794672</v>
      </c>
      <c r="J18" s="331">
        <f t="shared" si="3"/>
        <v>1</v>
      </c>
      <c r="K18" s="145">
        <f>SUM(K7:K13)+SUM(K15:K17)</f>
        <v>1025121583.2866912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6">IF(I22=0,"",I22/H22)</f>
        <v/>
      </c>
      <c r="K22" s="736"/>
    </row>
    <row r="23" spans="1:11" ht="12.75" customHeight="1" x14ac:dyDescent="0.25">
      <c r="A23" s="39" t="s">
        <v>446</v>
      </c>
      <c r="B23" s="169"/>
      <c r="C23" s="749"/>
      <c r="D23" s="746"/>
      <c r="E23" s="734"/>
      <c r="F23" s="734"/>
      <c r="G23" s="734"/>
      <c r="H23" s="734"/>
      <c r="I23" s="44">
        <f>G23-H23</f>
        <v>0</v>
      </c>
      <c r="J23" s="330" t="str">
        <f t="shared" si="6"/>
        <v/>
      </c>
      <c r="K23" s="736"/>
    </row>
    <row r="24" spans="1:11" ht="12.75" customHeight="1" x14ac:dyDescent="0.25">
      <c r="A24" s="39" t="s">
        <v>899</v>
      </c>
      <c r="B24" s="175"/>
      <c r="C24" s="749"/>
      <c r="D24" s="746"/>
      <c r="E24" s="734"/>
      <c r="F24" s="734"/>
      <c r="G24" s="734"/>
      <c r="H24" s="734"/>
      <c r="I24" s="44">
        <f>G24-H24</f>
        <v>0</v>
      </c>
      <c r="J24" s="330" t="str">
        <f t="shared" si="6"/>
        <v/>
      </c>
      <c r="K24" s="736"/>
    </row>
    <row r="25" spans="1:11" ht="12.75" customHeight="1" x14ac:dyDescent="0.25">
      <c r="A25" s="39" t="s">
        <v>900</v>
      </c>
      <c r="B25" s="169"/>
      <c r="C25" s="749"/>
      <c r="D25" s="746"/>
      <c r="E25" s="734"/>
      <c r="F25" s="734"/>
      <c r="G25" s="734"/>
      <c r="H25" s="734"/>
      <c r="I25" s="44">
        <f>G25-H25</f>
        <v>0</v>
      </c>
      <c r="J25" s="330" t="str">
        <f t="shared" si="6"/>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-527602753.05000001</v>
      </c>
      <c r="E27" s="734">
        <v>-700730232.32999992</v>
      </c>
      <c r="F27" s="734"/>
      <c r="G27" s="734"/>
      <c r="H27" s="734">
        <f t="shared" ref="H27" si="7">E27/12*11</f>
        <v>-642336046.30250001</v>
      </c>
      <c r="I27" s="44">
        <f>H27-G27</f>
        <v>-642336046.30250001</v>
      </c>
      <c r="J27" s="330">
        <f t="shared" si="6"/>
        <v>1</v>
      </c>
      <c r="K27" s="736">
        <f>E27</f>
        <v>-700730232.32999992</v>
      </c>
    </row>
    <row r="28" spans="1:11" ht="12.75" customHeight="1" x14ac:dyDescent="0.25">
      <c r="A28" s="92" t="s">
        <v>902</v>
      </c>
      <c r="B28" s="233"/>
      <c r="C28" s="546">
        <f t="shared" ref="C28:H28" si="8">SUM(C22:C25)+C27</f>
        <v>0</v>
      </c>
      <c r="D28" s="74">
        <f>SUM(D22:D25)+D27</f>
        <v>-527602753.05000001</v>
      </c>
      <c r="E28" s="73">
        <f t="shared" si="8"/>
        <v>-700730232.32999992</v>
      </c>
      <c r="F28" s="73">
        <f t="shared" si="8"/>
        <v>0</v>
      </c>
      <c r="G28" s="73">
        <f t="shared" si="8"/>
        <v>0</v>
      </c>
      <c r="H28" s="73">
        <f t="shared" si="8"/>
        <v>-642336046.30250001</v>
      </c>
      <c r="I28" s="73">
        <f>H28-G28</f>
        <v>-642336046.30250001</v>
      </c>
      <c r="J28" s="331">
        <f t="shared" si="6"/>
        <v>1</v>
      </c>
      <c r="K28" s="145">
        <f>SUM(K22:K25)+K27</f>
        <v>-700730232.32999992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9">IF(I32=0,"",I32/H32)</f>
        <v/>
      </c>
      <c r="K32" s="736"/>
    </row>
    <row r="33" spans="1:11" ht="12.75" customHeight="1" x14ac:dyDescent="0.25">
      <c r="A33" s="39" t="s">
        <v>971</v>
      </c>
      <c r="B33" s="169"/>
      <c r="C33" s="749"/>
      <c r="D33" s="746"/>
      <c r="E33" s="734"/>
      <c r="F33" s="734"/>
      <c r="G33" s="734"/>
      <c r="H33" s="734"/>
      <c r="I33" s="44">
        <f>G33-H33</f>
        <v>0</v>
      </c>
      <c r="J33" s="330" t="str">
        <f t="shared" si="9"/>
        <v/>
      </c>
      <c r="K33" s="736"/>
    </row>
    <row r="34" spans="1:11" ht="12.75" customHeight="1" x14ac:dyDescent="0.25">
      <c r="A34" s="39" t="s">
        <v>70</v>
      </c>
      <c r="B34" s="169"/>
      <c r="C34" s="749"/>
      <c r="D34" s="746"/>
      <c r="E34" s="734"/>
      <c r="F34" s="734"/>
      <c r="G34" s="734"/>
      <c r="H34" s="734"/>
      <c r="I34" s="44">
        <f>G34-H34</f>
        <v>0</v>
      </c>
      <c r="J34" s="330" t="str">
        <f t="shared" si="9"/>
        <v/>
      </c>
      <c r="K34" s="736"/>
    </row>
    <row r="35" spans="1:11" ht="12.75" customHeight="1" x14ac:dyDescent="0.25">
      <c r="A35" s="87" t="s">
        <v>909</v>
      </c>
      <c r="B35" s="169"/>
      <c r="C35" s="134"/>
      <c r="D35" s="46"/>
      <c r="E35" s="44"/>
      <c r="F35" s="44"/>
      <c r="G35" s="44"/>
      <c r="H35" s="44"/>
      <c r="I35" s="44"/>
      <c r="J35" s="330" t="str">
        <f t="shared" si="9"/>
        <v/>
      </c>
      <c r="K35" s="144"/>
    </row>
    <row r="36" spans="1:11" ht="12.75" customHeight="1" x14ac:dyDescent="0.25">
      <c r="A36" s="39" t="s">
        <v>911</v>
      </c>
      <c r="B36" s="169"/>
      <c r="C36" s="749"/>
      <c r="D36" s="746">
        <v>-79056107</v>
      </c>
      <c r="E36" s="734">
        <v>-79056107</v>
      </c>
      <c r="F36" s="734"/>
      <c r="G36" s="734"/>
      <c r="H36" s="734">
        <f t="shared" ref="H36" si="10">E36/12*11</f>
        <v>-72468098.083333343</v>
      </c>
      <c r="I36" s="44">
        <f>H36-G36</f>
        <v>-72468098.083333343</v>
      </c>
      <c r="J36" s="330">
        <f t="shared" si="9"/>
        <v>1</v>
      </c>
      <c r="K36" s="736">
        <f>E36</f>
        <v>-79056107</v>
      </c>
    </row>
    <row r="37" spans="1:11" ht="12.75" customHeight="1" x14ac:dyDescent="0.25">
      <c r="A37" s="92" t="s">
        <v>903</v>
      </c>
      <c r="B37" s="233"/>
      <c r="C37" s="546">
        <f t="shared" ref="C37:H37" si="11">SUM(C32:C34)+C36</f>
        <v>0</v>
      </c>
      <c r="D37" s="74">
        <f t="shared" si="11"/>
        <v>-79056107</v>
      </c>
      <c r="E37" s="73">
        <f t="shared" si="11"/>
        <v>-79056107</v>
      </c>
      <c r="F37" s="73">
        <f t="shared" si="11"/>
        <v>0</v>
      </c>
      <c r="G37" s="73">
        <f t="shared" si="11"/>
        <v>0</v>
      </c>
      <c r="H37" s="73">
        <f t="shared" si="11"/>
        <v>-72468098.083333343</v>
      </c>
      <c r="I37" s="73">
        <f>H37-G37</f>
        <v>-72468098.083333343</v>
      </c>
      <c r="J37" s="331">
        <f t="shared" si="9"/>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12">C18+C28+C37</f>
        <v>0</v>
      </c>
      <c r="D39" s="51">
        <f t="shared" si="12"/>
        <v>38621549.400523365</v>
      </c>
      <c r="E39" s="50">
        <f t="shared" si="12"/>
        <v>245335243.95669127</v>
      </c>
      <c r="F39" s="50">
        <f t="shared" si="12"/>
        <v>0</v>
      </c>
      <c r="G39" s="50">
        <f t="shared" si="12"/>
        <v>0</v>
      </c>
      <c r="H39" s="50">
        <f t="shared" si="12"/>
        <v>224890640.29363385</v>
      </c>
      <c r="I39" s="327"/>
      <c r="J39" s="327"/>
      <c r="K39" s="194">
        <f>K18+K28+K37</f>
        <v>245335243.95669127</v>
      </c>
    </row>
    <row r="40" spans="1:11" ht="12.75" customHeight="1" x14ac:dyDescent="0.25">
      <c r="A40" s="39" t="s">
        <v>512</v>
      </c>
      <c r="B40" s="169"/>
      <c r="C40" s="749"/>
      <c r="D40" s="746">
        <v>461119007.65853</v>
      </c>
      <c r="E40" s="734">
        <v>290786262.65853</v>
      </c>
      <c r="F40" s="273"/>
      <c r="G40" s="734"/>
      <c r="H40" s="44">
        <f>IF(E40=0, D40, E40)</f>
        <v>290786262.65853</v>
      </c>
      <c r="I40" s="273"/>
      <c r="J40" s="273"/>
      <c r="K40" s="385">
        <f>G40</f>
        <v>0</v>
      </c>
    </row>
    <row r="41" spans="1:11" ht="12.75" customHeight="1" x14ac:dyDescent="0.25">
      <c r="A41" s="129" t="s">
        <v>55</v>
      </c>
      <c r="B41" s="119"/>
      <c r="C41" s="225">
        <f>C39+C40</f>
        <v>0</v>
      </c>
      <c r="D41" s="116">
        <f>D39+D40</f>
        <v>499740557.05905336</v>
      </c>
      <c r="E41" s="115">
        <f>E39+E40</f>
        <v>536121506.61522126</v>
      </c>
      <c r="F41" s="274"/>
      <c r="G41" s="115">
        <f>G39+G40</f>
        <v>0</v>
      </c>
      <c r="H41" s="115">
        <f>H39+H40</f>
        <v>515676902.95216382</v>
      </c>
      <c r="I41" s="274"/>
      <c r="J41" s="274"/>
      <c r="K41" s="190">
        <f>K39+K40</f>
        <v>245335243.95669127</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7"/>
  <sheetViews>
    <sheetView showGridLines="0" zoomScaleNormal="100" workbookViewId="0">
      <pane xSplit="2" ySplit="4" topLeftCell="C5" activePane="bottomRight" state="frozen"/>
      <selection pane="topRight"/>
      <selection pane="bottomLeft"/>
      <selection pane="bottomRight" activeCell="F37" sqref="F37"/>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8" t="str">
        <f>muni&amp; " - "&amp;S71G&amp; " - "&amp;date</f>
        <v>KZN225 Msunduzi - Supporting Table SC1 Material variance explanations  - M10 April</v>
      </c>
      <c r="B1" s="1038"/>
      <c r="C1" s="1038"/>
      <c r="D1" s="1038"/>
      <c r="E1" s="1038"/>
    </row>
    <row r="2" spans="1:5" x14ac:dyDescent="0.25">
      <c r="A2" s="1020" t="str">
        <f>head27</f>
        <v>Ref</v>
      </c>
      <c r="B2" s="1027" t="str">
        <f>desc</f>
        <v>Description</v>
      </c>
      <c r="C2" s="269"/>
      <c r="D2" s="269"/>
      <c r="E2" s="275"/>
    </row>
    <row r="3" spans="1:5" x14ac:dyDescent="0.25">
      <c r="A3" s="1031"/>
      <c r="B3" s="1028"/>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848</v>
      </c>
      <c r="C6" s="984">
        <v>-0.12685788521116706</v>
      </c>
      <c r="D6" s="759" t="s">
        <v>1463</v>
      </c>
      <c r="E6" s="759" t="s">
        <v>1464</v>
      </c>
    </row>
    <row r="7" spans="1:5" ht="11.25" customHeight="1" x14ac:dyDescent="0.25">
      <c r="A7" s="169"/>
      <c r="B7" s="759" t="s">
        <v>845</v>
      </c>
      <c r="C7" s="984">
        <v>0.17898038605991751</v>
      </c>
      <c r="D7" s="759" t="s">
        <v>1480</v>
      </c>
      <c r="E7" s="759" t="s">
        <v>1481</v>
      </c>
    </row>
    <row r="8" spans="1:5" ht="11.25" customHeight="1" x14ac:dyDescent="0.25">
      <c r="A8" s="169"/>
      <c r="B8" s="759" t="s">
        <v>849</v>
      </c>
      <c r="C8" s="984">
        <v>0.61875822957048476</v>
      </c>
      <c r="D8" s="759" t="s">
        <v>1480</v>
      </c>
      <c r="E8" s="759" t="s">
        <v>1481</v>
      </c>
    </row>
    <row r="9" spans="1:5" ht="11.25" customHeight="1" x14ac:dyDescent="0.25">
      <c r="A9" s="169"/>
      <c r="B9" s="759" t="s">
        <v>976</v>
      </c>
      <c r="C9" s="984">
        <v>0.3198616837156889</v>
      </c>
      <c r="D9" s="759" t="s">
        <v>1480</v>
      </c>
      <c r="E9" s="759" t="s">
        <v>1481</v>
      </c>
    </row>
    <row r="10" spans="1:5" ht="11.25" customHeight="1" x14ac:dyDescent="0.25">
      <c r="A10" s="169"/>
      <c r="B10" s="759" t="s">
        <v>587</v>
      </c>
      <c r="C10" s="984">
        <v>2.3462804792087537</v>
      </c>
      <c r="D10" s="759" t="s">
        <v>1480</v>
      </c>
      <c r="E10" s="759" t="s">
        <v>1481</v>
      </c>
    </row>
    <row r="11" spans="1:5" ht="11.25" customHeight="1" x14ac:dyDescent="0.25">
      <c r="A11" s="169"/>
      <c r="B11" s="759" t="s">
        <v>1130</v>
      </c>
      <c r="C11" s="984">
        <v>-0.66784734258066303</v>
      </c>
      <c r="D11" s="759" t="s">
        <v>1465</v>
      </c>
      <c r="E11" s="759" t="s">
        <v>1466</v>
      </c>
    </row>
    <row r="12" spans="1:5" ht="11.25" customHeight="1" x14ac:dyDescent="0.25">
      <c r="A12" s="169"/>
      <c r="B12" s="759" t="s">
        <v>1131</v>
      </c>
      <c r="C12" s="984">
        <v>0.25842726243827885</v>
      </c>
      <c r="D12" s="759" t="s">
        <v>1467</v>
      </c>
      <c r="E12" s="759" t="s">
        <v>1462</v>
      </c>
    </row>
    <row r="13" spans="1:5" ht="11.25" customHeight="1" x14ac:dyDescent="0.25">
      <c r="A13" s="169"/>
      <c r="B13" s="759" t="s">
        <v>850</v>
      </c>
      <c r="C13" s="984">
        <v>-0.34088974375416481</v>
      </c>
      <c r="D13" s="759" t="s">
        <v>1468</v>
      </c>
      <c r="E13" s="759" t="s">
        <v>1464</v>
      </c>
    </row>
    <row r="14" spans="1:5" ht="11.25" customHeight="1" x14ac:dyDescent="0.25">
      <c r="A14" s="169"/>
      <c r="B14" s="759" t="s">
        <v>460</v>
      </c>
      <c r="C14" s="984">
        <v>-0.23646110910393861</v>
      </c>
      <c r="D14" s="985" t="s">
        <v>1469</v>
      </c>
      <c r="E14" s="759" t="s">
        <v>1461</v>
      </c>
    </row>
    <row r="15" spans="1:5" ht="11.25" customHeight="1" x14ac:dyDescent="0.25">
      <c r="A15" s="169"/>
      <c r="B15" s="759"/>
      <c r="C15" s="749"/>
      <c r="D15" s="759"/>
      <c r="E15" s="759"/>
    </row>
    <row r="16" spans="1:5" ht="11.25" customHeight="1" x14ac:dyDescent="0.25">
      <c r="A16" s="169">
        <v>2</v>
      </c>
      <c r="B16" s="386" t="str">
        <f>'C4-FinPerf RE'!A24</f>
        <v>Expenditure By Type</v>
      </c>
      <c r="C16" s="387"/>
      <c r="D16" s="387"/>
      <c r="E16" s="387"/>
    </row>
    <row r="17" spans="1:5" ht="11.25" customHeight="1" x14ac:dyDescent="0.25">
      <c r="A17" s="169"/>
      <c r="B17" s="759" t="s">
        <v>484</v>
      </c>
      <c r="C17" s="984">
        <v>-0.15916443042093367</v>
      </c>
      <c r="D17" s="759" t="s">
        <v>1470</v>
      </c>
      <c r="E17" s="759" t="s">
        <v>1471</v>
      </c>
    </row>
    <row r="18" spans="1:5" ht="11.25" customHeight="1" x14ac:dyDescent="0.25">
      <c r="A18" s="169"/>
      <c r="B18" s="759" t="s">
        <v>618</v>
      </c>
      <c r="C18" s="984">
        <v>-0.64379436796466072</v>
      </c>
      <c r="D18" s="759" t="s">
        <v>1472</v>
      </c>
      <c r="E18" s="759" t="s">
        <v>1473</v>
      </c>
    </row>
    <row r="19" spans="1:5" ht="11.25" customHeight="1" x14ac:dyDescent="0.25">
      <c r="A19" s="169"/>
      <c r="B19" s="759" t="s">
        <v>459</v>
      </c>
      <c r="C19" s="984">
        <v>0.11050859672705064</v>
      </c>
      <c r="D19" s="759" t="s">
        <v>1474</v>
      </c>
      <c r="E19" s="759" t="s">
        <v>1475</v>
      </c>
    </row>
    <row r="20" spans="1:5" ht="11.25" customHeight="1" x14ac:dyDescent="0.25">
      <c r="A20" s="169"/>
      <c r="B20" s="759" t="s">
        <v>855</v>
      </c>
      <c r="C20" s="984">
        <v>0.28983015439357723</v>
      </c>
      <c r="D20" s="759" t="s">
        <v>1476</v>
      </c>
      <c r="E20" s="759" t="s">
        <v>1475</v>
      </c>
    </row>
    <row r="21" spans="1:5" ht="11.25" customHeight="1" x14ac:dyDescent="0.25">
      <c r="A21" s="169"/>
      <c r="B21" s="759" t="s">
        <v>856</v>
      </c>
      <c r="C21" s="984">
        <v>-0.20500236542946396</v>
      </c>
      <c r="D21" s="759" t="s">
        <v>1467</v>
      </c>
      <c r="E21" s="759" t="s">
        <v>1475</v>
      </c>
    </row>
    <row r="22" spans="1:5" ht="11.25" customHeight="1" x14ac:dyDescent="0.25">
      <c r="A22" s="169"/>
      <c r="B22" s="759" t="s">
        <v>1131</v>
      </c>
      <c r="C22" s="984">
        <v>-0.15931012004478159</v>
      </c>
      <c r="D22" s="759" t="s">
        <v>1467</v>
      </c>
      <c r="E22" s="759" t="s">
        <v>1475</v>
      </c>
    </row>
    <row r="23" spans="1:5" ht="11.25" customHeight="1" x14ac:dyDescent="0.25">
      <c r="A23" s="169"/>
      <c r="B23" s="759" t="s">
        <v>440</v>
      </c>
      <c r="C23" s="984">
        <v>0.33038613079085544</v>
      </c>
      <c r="D23" s="759" t="s">
        <v>1482</v>
      </c>
      <c r="E23" s="759" t="s">
        <v>1464</v>
      </c>
    </row>
    <row r="24" spans="1:5" ht="11.25" customHeight="1" x14ac:dyDescent="0.25">
      <c r="A24" s="169"/>
      <c r="B24" s="759" t="s">
        <v>585</v>
      </c>
      <c r="C24" s="984">
        <v>47.25369849755738</v>
      </c>
      <c r="D24" s="759" t="s">
        <v>1467</v>
      </c>
      <c r="E24" s="759" t="s">
        <v>1477</v>
      </c>
    </row>
    <row r="25" spans="1:5" ht="11.25" customHeight="1" x14ac:dyDescent="0.25">
      <c r="A25" s="169">
        <v>3</v>
      </c>
      <c r="B25" s="386" t="str">
        <f>RIGHT('C5-Capex'!A40,19)</f>
        <v>Capital Expenditure</v>
      </c>
      <c r="C25" s="387"/>
      <c r="D25" s="387"/>
      <c r="E25" s="387"/>
    </row>
    <row r="26" spans="1:5" ht="11.25" customHeight="1" x14ac:dyDescent="0.25">
      <c r="A26" s="169"/>
      <c r="B26" s="759" t="s">
        <v>1478</v>
      </c>
      <c r="C26" s="984">
        <v>-0.47204829541306287</v>
      </c>
      <c r="D26" s="759" t="s">
        <v>1479</v>
      </c>
      <c r="E26" s="759" t="s">
        <v>1467</v>
      </c>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4</v>
      </c>
      <c r="B30" s="386" t="s">
        <v>83</v>
      </c>
      <c r="C30" s="387"/>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5</v>
      </c>
      <c r="B35" s="386" t="s">
        <v>84</v>
      </c>
      <c r="C35" s="387"/>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v>6</v>
      </c>
      <c r="B40" s="386" t="s">
        <v>85</v>
      </c>
      <c r="C40" s="388"/>
      <c r="D40" s="387"/>
      <c r="E40" s="387"/>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v>7</v>
      </c>
      <c r="B45" s="386" t="s">
        <v>86</v>
      </c>
      <c r="C45" s="388"/>
      <c r="D45" s="387"/>
      <c r="E45" s="387"/>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69"/>
      <c r="B48" s="759"/>
      <c r="C48" s="749"/>
      <c r="D48" s="759"/>
      <c r="E48" s="759"/>
    </row>
    <row r="49" spans="1:5" ht="11.25" customHeight="1" x14ac:dyDescent="0.25">
      <c r="A49" s="169"/>
      <c r="B49" s="759"/>
      <c r="C49" s="749"/>
      <c r="D49" s="759"/>
      <c r="E49" s="759"/>
    </row>
    <row r="50" spans="1:5" ht="11.25" customHeight="1" x14ac:dyDescent="0.25">
      <c r="A50" s="119"/>
      <c r="B50" s="760"/>
      <c r="C50" s="761"/>
      <c r="D50" s="760"/>
      <c r="E50" s="760"/>
    </row>
    <row r="51" spans="1:5" ht="11.25" customHeight="1" x14ac:dyDescent="0.25">
      <c r="A51" s="78" t="str">
        <f>head27a</f>
        <v>References</v>
      </c>
      <c r="B51" s="67"/>
      <c r="C51" s="67"/>
      <c r="D51" s="67"/>
      <c r="E51" s="67"/>
    </row>
    <row r="52" spans="1:5" ht="11.25" customHeight="1" x14ac:dyDescent="0.25">
      <c r="A52" s="33" t="s">
        <v>865</v>
      </c>
    </row>
    <row r="53" spans="1:5" ht="11.25" customHeight="1" x14ac:dyDescent="0.25">
      <c r="A53" s="33" t="s">
        <v>866</v>
      </c>
    </row>
    <row r="54" spans="1:5" ht="11.25" customHeight="1" x14ac:dyDescent="0.25">
      <c r="A54" s="33" t="s">
        <v>867</v>
      </c>
    </row>
    <row r="55" spans="1:5" ht="11.25" customHeight="1" x14ac:dyDescent="0.25">
      <c r="A55" s="33" t="s">
        <v>868</v>
      </c>
    </row>
    <row r="56" spans="1:5" ht="11.25" customHeight="1" x14ac:dyDescent="0.25">
      <c r="A56" s="33" t="s">
        <v>869</v>
      </c>
    </row>
    <row r="57" spans="1:5" ht="11.25" customHeight="1" x14ac:dyDescent="0.25">
      <c r="A5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8" t="str">
        <f>muni&amp; " - "&amp;S71H&amp; " - "&amp;Head57</f>
        <v>KZN225 Msunduzi - Supporting Table SC2 Monthly Budget Statement - performance indicators   - M10 April</v>
      </c>
      <c r="B1" s="1038"/>
      <c r="C1" s="1038"/>
      <c r="D1" s="1038"/>
      <c r="E1" s="1038"/>
      <c r="F1" s="1038"/>
      <c r="G1" s="1038"/>
      <c r="H1" s="1038"/>
    </row>
    <row r="2" spans="1:11" ht="12.75" x14ac:dyDescent="0.25">
      <c r="A2" s="1043" t="s">
        <v>561</v>
      </c>
      <c r="B2" s="1027" t="s">
        <v>781</v>
      </c>
      <c r="C2" s="1020" t="str">
        <f>head27</f>
        <v>Ref</v>
      </c>
      <c r="D2" s="138" t="str">
        <f>Head1</f>
        <v>2018/19</v>
      </c>
      <c r="E2" s="245" t="str">
        <f>Head2</f>
        <v>Budget Year 2019/20</v>
      </c>
      <c r="F2" s="229"/>
      <c r="G2" s="229"/>
      <c r="H2" s="230"/>
    </row>
    <row r="3" spans="1:11" ht="25.5" x14ac:dyDescent="0.25">
      <c r="A3" s="1044"/>
      <c r="B3" s="1028"/>
      <c r="C3" s="1031"/>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0.10015660678626749</v>
      </c>
      <c r="F7" s="124">
        <f>IF(ISERROR((F42+F44)/F45),0,((F42+F44)/F45))</f>
        <v>0.10201107458414739</v>
      </c>
      <c r="G7" s="124">
        <f>IF(ISERROR((G42+G44)/G45),0,((G42+G44)/G45))</f>
        <v>1.0696560014296421E-2</v>
      </c>
      <c r="H7" s="276">
        <f>IF(ISERROR((H42+H44)/H45),0,((H42+H44)/H45))</f>
        <v>1.7803205036787312E-2</v>
      </c>
    </row>
    <row r="8" spans="1:11" ht="30" customHeight="1" x14ac:dyDescent="0.25">
      <c r="A8" s="126" t="s">
        <v>1069</v>
      </c>
      <c r="B8" s="123" t="s">
        <v>66</v>
      </c>
      <c r="C8" s="174"/>
      <c r="D8" s="120">
        <f>IF(ISERROR(D47/D46),0,(D47/D46))</f>
        <v>7.6697447874410657E-2</v>
      </c>
      <c r="E8" s="282">
        <f>IF(ISERROR(E47/E46),0,(E47/E46))</f>
        <v>1.013924195543605E-2</v>
      </c>
      <c r="F8" s="124">
        <f>IF(ISERROR(F47/F46),0,(F47/F46))</f>
        <v>7.5408650824699119E-3</v>
      </c>
      <c r="G8" s="124">
        <f>IF(ISERROR(G47/G46),0,(G47/G46))</f>
        <v>8.7031668408898543E-3</v>
      </c>
      <c r="H8" s="276">
        <f>IF(ISERROR(H47/H46),0,(H47/H46))</f>
        <v>7.5408650824699119E-3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0.22112619249271656</v>
      </c>
      <c r="F10" s="124">
        <f>IF(ISERROR(F48/F49),0,(F48/F49))</f>
        <v>0.22415444191840342</v>
      </c>
      <c r="G10" s="124">
        <f>IF(ISERROR(G48/G49),0,(G48/G49))</f>
        <v>0.12342795790186727</v>
      </c>
      <c r="H10" s="276">
        <f>IF(ISERROR(H48/H49),0,(H48/H49))</f>
        <v>0.22415444191840342</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3.2345525787987004</v>
      </c>
      <c r="G11" s="124">
        <f>IF(ISERROR(G51/G50),0,(G51/G50))</f>
        <v>1.6627865409772915</v>
      </c>
      <c r="H11" s="276">
        <f>IF(ISERROR(H51/H50),0,(H51/H50))</f>
        <v>3.2345525787987004</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1.0883096453247856</v>
      </c>
      <c r="F13" s="124">
        <f>IF(ISERROR(F52/F53),0,(F52/F53))</f>
        <v>1.0884205661962458</v>
      </c>
      <c r="G13" s="124">
        <f>IF(ISERROR(G52/G53),0,(G52/G53))</f>
        <v>2.8957097259744584</v>
      </c>
      <c r="H13" s="276">
        <f>IF(ISERROR(H52/H53),0,(H52/H53))</f>
        <v>1.0884205661962458</v>
      </c>
    </row>
    <row r="14" spans="1:11" ht="12.75" customHeight="1" x14ac:dyDescent="0.25">
      <c r="A14" s="126" t="s">
        <v>747</v>
      </c>
      <c r="B14" s="123" t="s">
        <v>442</v>
      </c>
      <c r="C14" s="174"/>
      <c r="D14" s="120">
        <f>IF(ISERROR(D54/D53),0,(D54/D53))</f>
        <v>0.2198175008764833</v>
      </c>
      <c r="E14" s="282">
        <f>IF(ISERROR(E54/E53),0,(E54/E53))</f>
        <v>0.37838192600109288</v>
      </c>
      <c r="F14" s="124">
        <f>IF(ISERROR(F54/F53),0,(F54/F53))</f>
        <v>0.37849284697855495</v>
      </c>
      <c r="G14" s="124">
        <f>IF(ISERROR(G54/G53),0,(G54/G53))</f>
        <v>0.28851295711180408</v>
      </c>
      <c r="H14" s="276">
        <f>IF(ISERROR(H54/H53),0,(H54/H53))</f>
        <v>0.37849284697855495</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0.1609819321276785</v>
      </c>
      <c r="F17" s="124">
        <f>IF(ISERROR(F59/F55),0,(F59/F55))</f>
        <v>0.16054714226873781</v>
      </c>
      <c r="G17" s="124">
        <f>IF(ISERROR(G59/G55),0,(G59/G55))</f>
        <v>0.63032541735671477</v>
      </c>
      <c r="H17" s="276">
        <f>IF(ISERROR(H59/H55),0,(H59/H55))</f>
        <v>0.16054714226873781</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0.25976227391290557</v>
      </c>
      <c r="F26" s="124">
        <f>IF(ISERROR(F40/F55),0,(F40/F55))</f>
        <v>0.25897906802725396</v>
      </c>
      <c r="G26" s="124">
        <f>IF(ISERROR(G40/G55),0,(G40/G55))</f>
        <v>0.22889927858328779</v>
      </c>
      <c r="H26" s="276">
        <f>IF(ISERROR(H40/H55),0,(H40/H55))</f>
        <v>0.25897906802725396</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9.5222326706400434E-2</v>
      </c>
      <c r="F28" s="124">
        <f>IF(ISERROR((F42+F44)/F55),0,((F42+F44)/F55))</f>
        <v>9.497335742683756E-2</v>
      </c>
      <c r="G28" s="124">
        <f>IF(ISERROR((G42+G44)/G55),0,((G42+G44)/G55))</f>
        <v>7.8945473620258642E-3</v>
      </c>
      <c r="H28" s="276">
        <f>IF(ISERROR((H42+H44)/H55),0,((H42+H44)/H55))</f>
        <v>1.6574966612152842E-2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366291536.76999998</v>
      </c>
      <c r="H38" s="48">
        <v>0</v>
      </c>
    </row>
    <row r="39" spans="1:9" ht="12.75" customHeight="1" x14ac:dyDescent="0.25">
      <c r="A39" s="42" t="s">
        <v>535</v>
      </c>
      <c r="B39" s="67"/>
      <c r="C39" s="67"/>
      <c r="D39" s="84">
        <f>'C6-FinPos'!C26</f>
        <v>9332949572</v>
      </c>
      <c r="E39" s="84">
        <f>'C6-FinPos'!D26</f>
        <v>9476988528.6918793</v>
      </c>
      <c r="F39" s="84">
        <f>'C6-FinPos'!E26</f>
        <v>9383045163.2718811</v>
      </c>
      <c r="G39" s="97">
        <f>'C6-FinPos'!F26</f>
        <v>12050057632.750002</v>
      </c>
      <c r="H39" s="48">
        <f>'C6-FinPos'!G26</f>
        <v>9383045163.2718811</v>
      </c>
    </row>
    <row r="40" spans="1:9" ht="12.75" customHeight="1" x14ac:dyDescent="0.25">
      <c r="A40" s="42" t="str">
        <f>'C4-FinPerf RE'!A25</f>
        <v>Employee related costs</v>
      </c>
      <c r="B40" s="67"/>
      <c r="C40" s="67"/>
      <c r="D40" s="84">
        <f>'C4-FinPerf RE'!C25</f>
        <v>1268313732</v>
      </c>
      <c r="E40" s="84">
        <f>'C4-FinPerf RE'!D25</f>
        <v>1455869442.71</v>
      </c>
      <c r="F40" s="84">
        <f>'C4-FinPerf RE'!E25</f>
        <v>1455410731.7000008</v>
      </c>
      <c r="G40" s="97">
        <f>'C4-FinPerf RE'!G25</f>
        <v>1172123441.6800003</v>
      </c>
      <c r="H40" s="48">
        <f>'C4-FinPerf RE'!K25</f>
        <v>1455410731.7000008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40425570.939999998</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492025080.2500006</v>
      </c>
      <c r="F44" s="84">
        <f>'C4-FinPerf RE'!E28</f>
        <v>492071235.64999992</v>
      </c>
      <c r="G44" s="97"/>
      <c r="H44" s="48">
        <f>'C4-FinPerf RE'!K26</f>
        <v>51487908.93999999</v>
      </c>
    </row>
    <row r="45" spans="1:9" ht="12.75" customHeight="1" x14ac:dyDescent="0.25">
      <c r="A45" s="42" t="s">
        <v>0</v>
      </c>
      <c r="B45" s="67"/>
      <c r="C45" s="67"/>
      <c r="D45" s="84">
        <f>'C4-FinPerf RE'!C36</f>
        <v>4934358439.000001</v>
      </c>
      <c r="E45" s="84">
        <f>'C4-FinPerf RE'!D36</f>
        <v>5328506988.948575</v>
      </c>
      <c r="F45" s="84">
        <f>'C4-FinPerf RE'!E36</f>
        <v>5232092072.6085777</v>
      </c>
      <c r="G45" s="97">
        <f>'C4-FinPerf RE'!G36</f>
        <v>3779305766.1500006</v>
      </c>
      <c r="H45" s="48">
        <f>'C4-FinPerf RE'!K36</f>
        <v>5232092072.6085777</v>
      </c>
    </row>
    <row r="46" spans="1:9" ht="12.75" customHeight="1" x14ac:dyDescent="0.25">
      <c r="A46" s="42" t="str">
        <f>'C5-Capex'!A40</f>
        <v>Total Capital Expenditure</v>
      </c>
      <c r="B46" s="67"/>
      <c r="C46" s="67"/>
      <c r="D46" s="84">
        <f>'C5-Capex'!C40</f>
        <v>613486541</v>
      </c>
      <c r="E46" s="84">
        <f>'C5-Capex'!D40</f>
        <v>555371301.39999998</v>
      </c>
      <c r="F46" s="84">
        <f>'C5-Capex'!E40</f>
        <v>746737136.71000004</v>
      </c>
      <c r="G46" s="97">
        <f>'C5-Capex'!G40</f>
        <v>288107545.88999999</v>
      </c>
      <c r="H46" s="48">
        <f>'C5-Capex'!K40</f>
        <v>746737136.71000004</v>
      </c>
    </row>
    <row r="47" spans="1:9" ht="12.75" customHeight="1" x14ac:dyDescent="0.25">
      <c r="A47" s="42" t="s">
        <v>540</v>
      </c>
      <c r="B47" s="67"/>
      <c r="C47" s="67"/>
      <c r="D47" s="84">
        <f>'C5-Capex'!C72</f>
        <v>47052852</v>
      </c>
      <c r="E47" s="84">
        <f>'C5-Capex'!D72</f>
        <v>5631044</v>
      </c>
      <c r="F47" s="84">
        <f>'C5-Capex'!E72</f>
        <v>5631044</v>
      </c>
      <c r="G47" s="97">
        <f>'C5-Capex'!G72</f>
        <v>2507448.04</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1196052298.05</v>
      </c>
      <c r="H48" s="48">
        <f>'C6-FinPos'!G30+'C6-FinPos'!G31+'C6-FinPos'!G33+'C6-FinPos'!G38</f>
        <v>1537665987.7371171</v>
      </c>
    </row>
    <row r="49" spans="1:8" ht="12.75" customHeight="1" x14ac:dyDescent="0.25">
      <c r="A49" s="42" t="s">
        <v>539</v>
      </c>
      <c r="B49" s="67"/>
      <c r="C49" s="67"/>
      <c r="D49" s="84">
        <f>'C6-FinPos'!C48</f>
        <v>6868524280</v>
      </c>
      <c r="E49" s="84">
        <f>'C6-FinPos'!D48</f>
        <v>6953793987.059062</v>
      </c>
      <c r="F49" s="84">
        <f>'C6-FinPos'!E48</f>
        <v>6859850621.6390638</v>
      </c>
      <c r="G49" s="97">
        <f>'C6-FinPos'!F48</f>
        <v>9690286693.4000015</v>
      </c>
      <c r="H49" s="48">
        <f>'C6-FinPos'!G48</f>
        <v>6859850621.6390638</v>
      </c>
    </row>
    <row r="50" spans="1:8" ht="12.75" customHeight="1" x14ac:dyDescent="0.25">
      <c r="A50" s="42" t="str">
        <f>'C6-FinPos'!A47</f>
        <v>Reserves</v>
      </c>
      <c r="B50" s="67"/>
      <c r="C50" s="67"/>
      <c r="D50" s="84">
        <f>'C6-FinPos'!C47</f>
        <v>228913258</v>
      </c>
      <c r="E50" s="84">
        <f>'C6-FinPos'!D47</f>
        <v>236244266</v>
      </c>
      <c r="F50" s="84">
        <f>'C6-FinPos'!E47</f>
        <v>142074403.86000061</v>
      </c>
      <c r="G50" s="97">
        <f>'C6-FinPos'!F47</f>
        <v>220287768.59999999</v>
      </c>
      <c r="H50" s="48">
        <f>'C6-FinPos'!G47</f>
        <v>142074403.86000061</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366291536.76999998</v>
      </c>
      <c r="H51" s="48">
        <f>'C6-FinPos'!G38</f>
        <v>459547129.38665301</v>
      </c>
    </row>
    <row r="52" spans="1:8" ht="12.75" customHeight="1" x14ac:dyDescent="0.25">
      <c r="A52" s="42" t="str">
        <f>'C6-FinPos'!A6</f>
        <v>Current assets</v>
      </c>
      <c r="B52" s="67"/>
      <c r="C52" s="67"/>
      <c r="D52" s="84">
        <f>'C6-FinPos'!C13</f>
        <v>1115445477</v>
      </c>
      <c r="E52" s="84">
        <f>'C6-FinPos'!D13</f>
        <v>1437363761.4122667</v>
      </c>
      <c r="F52" s="84">
        <f>'C6-FinPos'!E13</f>
        <v>1437510257.9922667</v>
      </c>
      <c r="G52" s="97">
        <f>'C6-FinPos'!F13</f>
        <v>3963463609.6800027</v>
      </c>
      <c r="H52" s="48">
        <f>'C6-FinPos'!G13</f>
        <v>1437510257.9922667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1368736504.95</v>
      </c>
      <c r="H53" s="48">
        <f>'C6-FinPos'!G35</f>
        <v>1320730517.8144519</v>
      </c>
    </row>
    <row r="54" spans="1:8" ht="12.75" customHeight="1" x14ac:dyDescent="0.25">
      <c r="A54" s="42" t="s">
        <v>541</v>
      </c>
      <c r="B54" s="67"/>
      <c r="C54" s="67"/>
      <c r="D54" s="84">
        <f>'C6-FinPos'!C7+'C6-FinPos'!C8</f>
        <v>323877096</v>
      </c>
      <c r="E54" s="84">
        <f>'C6-FinPos'!D7+'C6-FinPos'!D8</f>
        <v>499740557.059053</v>
      </c>
      <c r="F54" s="84">
        <f>'C6-FinPos'!E7+'C6-FinPos'!E8</f>
        <v>499887053.77905297</v>
      </c>
      <c r="G54" s="97">
        <f>'C6-FinPos'!F7+'C6-FinPos'!F8</f>
        <v>394898216.55000001</v>
      </c>
      <c r="H54" s="48">
        <f>'C6-FinPos'!G7+'C6-FinPos'!G8</f>
        <v>499887053.77905297</v>
      </c>
    </row>
    <row r="55" spans="1:8" ht="12.75" customHeight="1" x14ac:dyDescent="0.25">
      <c r="A55" s="42" t="str">
        <f>'C4-FinPerf RE'!A22</f>
        <v>Total Revenue (excluding capital transfers and contributions)</v>
      </c>
      <c r="B55" s="67"/>
      <c r="C55" s="67"/>
      <c r="D55" s="84">
        <f>'C4-FinPerf RE'!C22</f>
        <v>5027344757</v>
      </c>
      <c r="E55" s="84">
        <f>'C4-FinPerf RE'!D22</f>
        <v>5604622337.1070871</v>
      </c>
      <c r="F55" s="84">
        <f>'C4-FinPerf RE'!E22</f>
        <v>5619800637.8910866</v>
      </c>
      <c r="G55" s="97">
        <f>'C4-FinPerf RE'!G22</f>
        <v>5120695219.9000006</v>
      </c>
      <c r="H55" s="48">
        <f>'C4-FinPerf RE'!K22</f>
        <v>5619800637.8910866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587984547.81999993</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306507259.23999989</v>
      </c>
      <c r="H57" s="48">
        <f>'C4-FinPerf RE'!K39</f>
        <v>674822398</v>
      </c>
    </row>
    <row r="58" spans="1:8" ht="12.75" customHeight="1" x14ac:dyDescent="0.25">
      <c r="A58" s="42" t="s">
        <v>453</v>
      </c>
      <c r="B58" s="67"/>
      <c r="C58" s="67"/>
      <c r="D58" s="84">
        <f>'C7-CFlow'!C12+'C7-CFlow'!C36</f>
        <v>0</v>
      </c>
      <c r="E58" s="84">
        <f>'C7-CFlow'!D12+'C7-CFlow'!D36</f>
        <v>90637780.594000041</v>
      </c>
      <c r="F58" s="84">
        <f>'C7-CFlow'!E12+'C7-CFlow'!E36</f>
        <v>90538780.594000041</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3227704351.6400023</v>
      </c>
      <c r="H59" s="48">
        <f>'C6-FinPos'!G9+'C6-FinPos'!G10+'C6-FinPos'!G11+'C6-FinPos'!G16</f>
        <v>902242932.53344381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3012834049.8300004</v>
      </c>
      <c r="H60" s="48"/>
    </row>
    <row r="61" spans="1:8" ht="12.75" customHeight="1" x14ac:dyDescent="0.25">
      <c r="A61" s="42" t="s">
        <v>455</v>
      </c>
      <c r="B61" s="67" t="s">
        <v>456</v>
      </c>
      <c r="C61" s="67"/>
      <c r="D61" s="84">
        <f>'C6-FinPos'!C7+'C6-FinPos'!C8+'C6-FinPos'!C17-'C6-FinPos'!C30</f>
        <v>323877096</v>
      </c>
      <c r="E61" s="84">
        <f>'C6-FinPos'!D7+'C6-FinPos'!D8+'C6-FinPos'!D17-'C6-FinPos'!D30</f>
        <v>499740557.059053</v>
      </c>
      <c r="F61" s="84">
        <f>'C6-FinPos'!E7+'C6-FinPos'!E8+'C6-FinPos'!E17-'C6-FinPos'!E30</f>
        <v>499887053.77905297</v>
      </c>
      <c r="G61" s="97">
        <f>'C6-FinPos'!F7+'C6-FinPos'!F8+'C6-FinPos'!F17-'C6-FinPos'!F30</f>
        <v>394898216.55000001</v>
      </c>
      <c r="H61" s="48">
        <f>'C6-FinPos'!G7+'C6-FinPos'!G8+'C6-FinPos'!G17-'C6-FinPos'!G30</f>
        <v>499887053.77905297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2233873.4900000002</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G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8" t="str">
        <f>muni&amp; " - "&amp;S71I&amp; " - "&amp;Head57</f>
        <v>KZN225 Msunduzi - Supporting Table SC3 Monthly Budget Statement - aged debtors - M10 April</v>
      </c>
      <c r="B1" s="1038"/>
      <c r="C1" s="1045"/>
      <c r="D1" s="1045"/>
      <c r="E1" s="1045"/>
      <c r="F1" s="1045"/>
      <c r="G1" s="1045"/>
      <c r="H1" s="1045"/>
      <c r="I1" s="1045"/>
      <c r="J1" s="1045"/>
      <c r="K1" s="1045"/>
      <c r="L1" s="1045"/>
      <c r="M1" s="1045"/>
      <c r="N1" s="162"/>
      <c r="O1" s="406"/>
    </row>
    <row r="2" spans="1:16" ht="13.35" customHeight="1" x14ac:dyDescent="0.25">
      <c r="A2" s="355" t="str">
        <f>desc</f>
        <v>Description</v>
      </c>
      <c r="B2" s="895"/>
      <c r="C2" s="1046" t="str">
        <f>Head2</f>
        <v>Budget Year 2019/20</v>
      </c>
      <c r="D2" s="1047"/>
      <c r="E2" s="1047"/>
      <c r="F2" s="1047"/>
      <c r="G2" s="1047"/>
      <c r="H2" s="1047"/>
      <c r="I2" s="1047"/>
      <c r="J2" s="1047"/>
      <c r="K2" s="1047"/>
      <c r="L2" s="1047"/>
      <c r="M2" s="1047"/>
      <c r="N2" s="1048"/>
      <c r="O2" s="912"/>
    </row>
    <row r="3" spans="1:16" ht="52.5" customHeight="1" x14ac:dyDescent="0.25">
      <c r="A3" s="901" t="s">
        <v>674</v>
      </c>
      <c r="B3" s="894" t="s">
        <v>743</v>
      </c>
      <c r="C3" s="897" t="s">
        <v>13</v>
      </c>
      <c r="D3" s="898" t="s">
        <v>14</v>
      </c>
      <c r="E3" s="898" t="s">
        <v>15</v>
      </c>
      <c r="F3" s="898" t="s">
        <v>16</v>
      </c>
      <c r="G3" s="898" t="s">
        <v>17</v>
      </c>
      <c r="H3" s="898" t="s">
        <v>18</v>
      </c>
      <c r="I3" s="898" t="s">
        <v>19</v>
      </c>
      <c r="J3" s="899" t="s">
        <v>20</v>
      </c>
      <c r="K3" s="900" t="s">
        <v>56</v>
      </c>
      <c r="L3" s="900" t="s">
        <v>1113</v>
      </c>
      <c r="M3" s="900" t="s">
        <v>1114</v>
      </c>
      <c r="N3" s="900"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104580616.98999999</v>
      </c>
      <c r="D5" s="734">
        <v>35084043.020000003</v>
      </c>
      <c r="E5" s="734">
        <v>34988643.859999999</v>
      </c>
      <c r="F5" s="734">
        <v>34665575.880000003</v>
      </c>
      <c r="G5" s="734">
        <v>31689133.649999999</v>
      </c>
      <c r="H5" s="734">
        <v>35198213.560000002</v>
      </c>
      <c r="I5" s="734">
        <v>178555233.06</v>
      </c>
      <c r="J5" s="745">
        <v>1141662507.9100001</v>
      </c>
      <c r="K5" s="134">
        <f>SUM(C5:J5)</f>
        <v>1596423967.9300001</v>
      </c>
      <c r="L5" s="134">
        <f>SUM(F5:J5)</f>
        <v>1421770664.0599999</v>
      </c>
      <c r="M5" s="748"/>
      <c r="N5" s="748">
        <v>885813884.44000006</v>
      </c>
      <c r="O5" s="913"/>
    </row>
    <row r="6" spans="1:16" ht="12.75" customHeight="1" x14ac:dyDescent="0.25">
      <c r="A6" s="39" t="s">
        <v>1092</v>
      </c>
      <c r="B6" s="169">
        <v>1300</v>
      </c>
      <c r="C6" s="746">
        <v>232031322.41999999</v>
      </c>
      <c r="D6" s="734">
        <v>18789329.370000001</v>
      </c>
      <c r="E6" s="734">
        <v>9644415.2100000009</v>
      </c>
      <c r="F6" s="734">
        <v>9827937.5500000007</v>
      </c>
      <c r="G6" s="734">
        <v>6077554.21</v>
      </c>
      <c r="H6" s="734">
        <v>7403347.1299999999</v>
      </c>
      <c r="I6" s="734">
        <v>27407033</v>
      </c>
      <c r="J6" s="745">
        <v>101887109.76000001</v>
      </c>
      <c r="K6" s="134">
        <f>SUM(C6:J6)</f>
        <v>413068048.64999998</v>
      </c>
      <c r="L6" s="134">
        <f t="shared" ref="L6:L12" si="0">SUM(F6:J6)</f>
        <v>152602981.65000001</v>
      </c>
      <c r="M6" s="748"/>
      <c r="N6" s="748">
        <v>76130151.359999999</v>
      </c>
      <c r="O6" s="913"/>
    </row>
    <row r="7" spans="1:16" ht="12.75" customHeight="1" x14ac:dyDescent="0.25">
      <c r="A7" s="39" t="s">
        <v>1091</v>
      </c>
      <c r="B7" s="169">
        <v>1400</v>
      </c>
      <c r="C7" s="746">
        <v>136488804.03999999</v>
      </c>
      <c r="D7" s="734">
        <v>44559650.07</v>
      </c>
      <c r="E7" s="734">
        <v>28307551.219999999</v>
      </c>
      <c r="F7" s="734">
        <v>25899670.02</v>
      </c>
      <c r="G7" s="734">
        <v>24450403.170000002</v>
      </c>
      <c r="H7" s="734">
        <v>35871594.950000003</v>
      </c>
      <c r="I7" s="734">
        <v>108545183.09999999</v>
      </c>
      <c r="J7" s="745">
        <v>479670887.85000002</v>
      </c>
      <c r="K7" s="134">
        <f t="shared" ref="K7:K13" si="1">SUM(C7:J7)</f>
        <v>883793744.41999996</v>
      </c>
      <c r="L7" s="134">
        <f t="shared" si="0"/>
        <v>674437739.09000003</v>
      </c>
      <c r="M7" s="748"/>
      <c r="N7" s="748">
        <v>365365346.27999997</v>
      </c>
      <c r="O7" s="913"/>
    </row>
    <row r="8" spans="1:16" ht="12.75" customHeight="1" x14ac:dyDescent="0.25">
      <c r="A8" s="39" t="s">
        <v>1093</v>
      </c>
      <c r="B8" s="169">
        <v>1500</v>
      </c>
      <c r="C8" s="746">
        <v>26419347.559999999</v>
      </c>
      <c r="D8" s="734">
        <v>6366861.3499999996</v>
      </c>
      <c r="E8" s="734">
        <v>6194683.9500000002</v>
      </c>
      <c r="F8" s="734">
        <v>5191704.57</v>
      </c>
      <c r="G8" s="734">
        <v>4757122.7300000004</v>
      </c>
      <c r="H8" s="734">
        <v>5871580.9699999997</v>
      </c>
      <c r="I8" s="734">
        <v>27548419.219999999</v>
      </c>
      <c r="J8" s="745">
        <v>216124640.08000001</v>
      </c>
      <c r="K8" s="134">
        <f t="shared" si="1"/>
        <v>298474360.43000001</v>
      </c>
      <c r="L8" s="134">
        <f t="shared" si="0"/>
        <v>259493467.56999999</v>
      </c>
      <c r="M8" s="748"/>
      <c r="N8" s="748">
        <v>174025646.41999999</v>
      </c>
      <c r="O8" s="913"/>
    </row>
    <row r="9" spans="1:16" ht="12.75" customHeight="1" x14ac:dyDescent="0.25">
      <c r="A9" s="39" t="s">
        <v>1094</v>
      </c>
      <c r="B9" s="169">
        <v>1600</v>
      </c>
      <c r="C9" s="746">
        <v>14334752.869999999</v>
      </c>
      <c r="D9" s="734">
        <v>3695989.4</v>
      </c>
      <c r="E9" s="734">
        <v>4159381.67</v>
      </c>
      <c r="F9" s="734">
        <v>3088723.48</v>
      </c>
      <c r="G9" s="734">
        <v>2690102.55</v>
      </c>
      <c r="H9" s="734">
        <v>3147375.22</v>
      </c>
      <c r="I9" s="734">
        <v>19032751.100000001</v>
      </c>
      <c r="J9" s="745">
        <v>122386340.45999999</v>
      </c>
      <c r="K9" s="134">
        <f t="shared" si="1"/>
        <v>172535416.75</v>
      </c>
      <c r="L9" s="134">
        <f>SUM(F9:J9)</f>
        <v>150345292.81</v>
      </c>
      <c r="M9" s="748"/>
      <c r="N9" s="748">
        <v>93564979.780000001</v>
      </c>
      <c r="O9" s="913"/>
    </row>
    <row r="10" spans="1:16" ht="12.75" customHeight="1" x14ac:dyDescent="0.25">
      <c r="A10" s="39" t="s">
        <v>1095</v>
      </c>
      <c r="B10" s="169">
        <v>1700</v>
      </c>
      <c r="C10" s="746">
        <v>5026897.57</v>
      </c>
      <c r="D10" s="734">
        <v>1036596.56</v>
      </c>
      <c r="E10" s="734">
        <v>80603.58</v>
      </c>
      <c r="F10" s="734">
        <v>2015203.85</v>
      </c>
      <c r="G10" s="734">
        <v>93961.94</v>
      </c>
      <c r="H10" s="734">
        <v>605290.17000000004</v>
      </c>
      <c r="I10" s="734">
        <v>7943965.9500000002</v>
      </c>
      <c r="J10" s="745">
        <v>37053437.219999999</v>
      </c>
      <c r="K10" s="134">
        <f t="shared" si="1"/>
        <v>53855956.840000004</v>
      </c>
      <c r="L10" s="134">
        <f>SUM(F10:J10)</f>
        <v>47711859.129999995</v>
      </c>
      <c r="M10" s="748"/>
      <c r="N10" s="748">
        <v>30677798.09</v>
      </c>
      <c r="O10" s="913"/>
    </row>
    <row r="11" spans="1:16" ht="12.75" customHeight="1" x14ac:dyDescent="0.25">
      <c r="A11" s="39" t="s">
        <v>1096</v>
      </c>
      <c r="B11" s="169">
        <v>1810</v>
      </c>
      <c r="C11" s="746">
        <v>25914346.68</v>
      </c>
      <c r="D11" s="734">
        <v>24520752.23</v>
      </c>
      <c r="E11" s="734">
        <v>24338913.789999999</v>
      </c>
      <c r="F11" s="734">
        <v>23434770.18</v>
      </c>
      <c r="G11" s="734">
        <v>23276670.449999999</v>
      </c>
      <c r="H11" s="734">
        <v>34366211.030000001</v>
      </c>
      <c r="I11" s="734">
        <v>124572419.3</v>
      </c>
      <c r="J11" s="745">
        <v>349709088.12</v>
      </c>
      <c r="K11" s="134">
        <f t="shared" si="1"/>
        <v>630133171.77999997</v>
      </c>
      <c r="L11" s="134">
        <f t="shared" si="0"/>
        <v>555359159.07999992</v>
      </c>
      <c r="M11" s="748"/>
      <c r="N11" s="748">
        <v>127314509.97</v>
      </c>
      <c r="O11" s="913"/>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3"/>
      <c r="P12" s="96"/>
    </row>
    <row r="13" spans="1:16" ht="12.75" customHeight="1" x14ac:dyDescent="0.25">
      <c r="A13" s="39" t="s">
        <v>727</v>
      </c>
      <c r="B13" s="169">
        <v>1900</v>
      </c>
      <c r="C13" s="746"/>
      <c r="D13" s="734">
        <v>28883.61</v>
      </c>
      <c r="E13" s="734">
        <v>102635.78</v>
      </c>
      <c r="F13" s="734">
        <v>72099.360000000001</v>
      </c>
      <c r="G13" s="734">
        <v>37889.9</v>
      </c>
      <c r="H13" s="734">
        <v>34460.269999999997</v>
      </c>
      <c r="I13" s="734">
        <v>421769.89</v>
      </c>
      <c r="J13" s="745">
        <v>302985552.86000001</v>
      </c>
      <c r="K13" s="134">
        <f t="shared" si="1"/>
        <v>303683291.67000002</v>
      </c>
      <c r="L13" s="134">
        <f>SUM(F13:J13)</f>
        <v>303551772.28000003</v>
      </c>
      <c r="M13" s="748"/>
      <c r="N13" s="748">
        <v>302446261.81</v>
      </c>
      <c r="O13" s="913"/>
    </row>
    <row r="14" spans="1:16" ht="12.75" customHeight="1" x14ac:dyDescent="0.25">
      <c r="A14" s="53" t="s">
        <v>1098</v>
      </c>
      <c r="B14" s="284">
        <v>2000</v>
      </c>
      <c r="C14" s="56">
        <f t="shared" ref="C14:N14" si="2">SUM(C5:C13)</f>
        <v>544796088.12999988</v>
      </c>
      <c r="D14" s="55">
        <f t="shared" si="2"/>
        <v>134082105.61000001</v>
      </c>
      <c r="E14" s="55">
        <f t="shared" si="2"/>
        <v>107816829.06</v>
      </c>
      <c r="F14" s="55">
        <f t="shared" si="2"/>
        <v>104195684.89</v>
      </c>
      <c r="G14" s="55">
        <f t="shared" si="2"/>
        <v>93072838.600000009</v>
      </c>
      <c r="H14" s="55">
        <f t="shared" si="2"/>
        <v>122498073.30000001</v>
      </c>
      <c r="I14" s="55">
        <f t="shared" si="2"/>
        <v>494026774.62</v>
      </c>
      <c r="J14" s="83">
        <f t="shared" si="2"/>
        <v>2751479564.2600002</v>
      </c>
      <c r="K14" s="112">
        <f t="shared" si="2"/>
        <v>4351967958.4700003</v>
      </c>
      <c r="L14" s="112">
        <f>SUM(L5:L13)</f>
        <v>3565272935.6700006</v>
      </c>
      <c r="M14" s="54">
        <f t="shared" si="2"/>
        <v>0</v>
      </c>
      <c r="N14" s="54">
        <f t="shared" si="2"/>
        <v>2055338578.1499999</v>
      </c>
      <c r="O14" s="914"/>
    </row>
    <row r="15" spans="1:16" ht="12.75" customHeight="1" x14ac:dyDescent="0.25">
      <c r="A15" s="313" t="str">
        <f>Head1&amp;" - totals only"</f>
        <v>2018/19 - totals only</v>
      </c>
      <c r="B15" s="367"/>
      <c r="C15" s="987">
        <v>620166130</v>
      </c>
      <c r="D15" s="987">
        <v>13068120</v>
      </c>
      <c r="E15" s="987">
        <v>83497768</v>
      </c>
      <c r="F15" s="987">
        <v>70197107</v>
      </c>
      <c r="G15" s="987">
        <v>131018947</v>
      </c>
      <c r="H15" s="987">
        <v>19543355</v>
      </c>
      <c r="I15" s="987">
        <v>414385957</v>
      </c>
      <c r="J15" s="987">
        <v>2208223072</v>
      </c>
      <c r="K15" s="796">
        <f>SUM(C15:J15)</f>
        <v>3560100456</v>
      </c>
      <c r="L15" s="368">
        <f>SUM(F15:J15)</f>
        <v>2843368438</v>
      </c>
      <c r="M15" s="795"/>
      <c r="N15" s="987">
        <v>1650722031</v>
      </c>
      <c r="O15" s="49"/>
    </row>
    <row r="16" spans="1:16" ht="12.75" customHeight="1" x14ac:dyDescent="0.25">
      <c r="A16" s="87" t="s">
        <v>1102</v>
      </c>
      <c r="B16" s="169"/>
      <c r="C16" s="46"/>
      <c r="D16" s="44"/>
      <c r="E16" s="44"/>
      <c r="F16" s="44"/>
      <c r="G16" s="44"/>
      <c r="H16" s="44"/>
      <c r="I16" s="44"/>
      <c r="J16" s="108"/>
      <c r="K16" s="134"/>
      <c r="L16" s="646"/>
      <c r="M16" s="45"/>
      <c r="N16" s="896"/>
    </row>
    <row r="17" spans="1:14" ht="12.75" customHeight="1" x14ac:dyDescent="0.25">
      <c r="A17" s="39" t="s">
        <v>1099</v>
      </c>
      <c r="B17" s="169">
        <v>2200</v>
      </c>
      <c r="C17" s="746">
        <v>230902529.22999999</v>
      </c>
      <c r="D17" s="734">
        <v>27244845.510000002</v>
      </c>
      <c r="E17" s="734">
        <v>20119238.920000002</v>
      </c>
      <c r="F17" s="734">
        <v>18241155.16</v>
      </c>
      <c r="G17" s="734">
        <v>14172093.77</v>
      </c>
      <c r="H17" s="734">
        <v>21129880.079999998</v>
      </c>
      <c r="I17" s="734">
        <v>75392408.760000005</v>
      </c>
      <c r="J17" s="745">
        <v>251946598.78999999</v>
      </c>
      <c r="K17" s="134">
        <f>SUM(C17:J17)</f>
        <v>659148750.21999991</v>
      </c>
      <c r="L17" s="646">
        <f>SUM(F17:J17)</f>
        <v>380882136.56</v>
      </c>
      <c r="M17" s="748"/>
      <c r="N17" s="749">
        <v>174628575.22</v>
      </c>
    </row>
    <row r="18" spans="1:14" ht="12.75" customHeight="1" x14ac:dyDescent="0.25">
      <c r="A18" s="39" t="s">
        <v>1100</v>
      </c>
      <c r="B18" s="169">
        <v>2300</v>
      </c>
      <c r="C18" s="746">
        <v>52246309.850000001</v>
      </c>
      <c r="D18" s="734">
        <v>17562243.370000001</v>
      </c>
      <c r="E18" s="734">
        <v>6585279.5800000001</v>
      </c>
      <c r="F18" s="734">
        <v>6007819.6399999997</v>
      </c>
      <c r="G18" s="734">
        <v>2596178.34</v>
      </c>
      <c r="H18" s="734">
        <v>6001659.4500000002</v>
      </c>
      <c r="I18" s="734">
        <v>19503400.690000001</v>
      </c>
      <c r="J18" s="745">
        <v>95515174.780000001</v>
      </c>
      <c r="K18" s="134">
        <f>SUM(C18:J18)</f>
        <v>206018065.69999999</v>
      </c>
      <c r="L18" s="646">
        <f>SUM(F18:J18)</f>
        <v>129624232.90000001</v>
      </c>
      <c r="M18" s="748"/>
      <c r="N18" s="749">
        <v>61954883.590000004</v>
      </c>
    </row>
    <row r="19" spans="1:14" ht="12.75" customHeight="1" x14ac:dyDescent="0.25">
      <c r="A19" s="39" t="s">
        <v>692</v>
      </c>
      <c r="B19" s="169">
        <v>2400</v>
      </c>
      <c r="C19" s="746">
        <v>243189302.38999999</v>
      </c>
      <c r="D19" s="734">
        <v>82142258.439999998</v>
      </c>
      <c r="E19" s="734">
        <v>73478147.359999999</v>
      </c>
      <c r="F19" s="734">
        <v>73019074.230000004</v>
      </c>
      <c r="G19" s="734">
        <v>69920739.829999998</v>
      </c>
      <c r="H19" s="734">
        <v>86964333.340000004</v>
      </c>
      <c r="I19" s="734">
        <v>368073599.18000001</v>
      </c>
      <c r="J19" s="745">
        <v>2202607558.8099999</v>
      </c>
      <c r="K19" s="134">
        <f>SUM(C19:J19)</f>
        <v>3199395013.5799999</v>
      </c>
      <c r="L19" s="646">
        <f>SUM(F19:J19)</f>
        <v>2800585305.3899999</v>
      </c>
      <c r="M19" s="748"/>
      <c r="N19" s="749">
        <v>1658893618</v>
      </c>
    </row>
    <row r="20" spans="1:14" ht="12.75" customHeight="1" x14ac:dyDescent="0.25">
      <c r="A20" s="39" t="s">
        <v>727</v>
      </c>
      <c r="B20" s="169">
        <v>2500</v>
      </c>
      <c r="C20" s="746">
        <v>18457946.66</v>
      </c>
      <c r="D20" s="734">
        <v>7132758.29</v>
      </c>
      <c r="E20" s="734">
        <v>7634163.2000000002</v>
      </c>
      <c r="F20" s="734">
        <v>6927635.8600000003</v>
      </c>
      <c r="G20" s="734">
        <v>6383826.6600000001</v>
      </c>
      <c r="H20" s="734">
        <v>8402200.4299999997</v>
      </c>
      <c r="I20" s="734">
        <v>31057365.989999998</v>
      </c>
      <c r="J20" s="745">
        <v>201410231.88</v>
      </c>
      <c r="K20" s="134">
        <f>SUM(C20:J20)</f>
        <v>287406128.97000003</v>
      </c>
      <c r="L20" s="646">
        <f>SUM(F20:J20)</f>
        <v>254181260.81999999</v>
      </c>
      <c r="M20" s="748"/>
      <c r="N20" s="750">
        <v>159861501.34</v>
      </c>
    </row>
    <row r="21" spans="1:14" ht="12.75" customHeight="1" x14ac:dyDescent="0.25">
      <c r="A21" s="53" t="s">
        <v>1103</v>
      </c>
      <c r="B21" s="284">
        <v>2600</v>
      </c>
      <c r="C21" s="56">
        <f t="shared" ref="C21:I21" si="3">SUM(C17:C20)</f>
        <v>544796088.13</v>
      </c>
      <c r="D21" s="55">
        <f t="shared" si="3"/>
        <v>134082105.61</v>
      </c>
      <c r="E21" s="55">
        <f t="shared" si="3"/>
        <v>107816829.06</v>
      </c>
      <c r="F21" s="55">
        <f t="shared" si="3"/>
        <v>104195684.89</v>
      </c>
      <c r="G21" s="55">
        <f t="shared" si="3"/>
        <v>93072838.599999994</v>
      </c>
      <c r="H21" s="55">
        <f t="shared" si="3"/>
        <v>122498073.30000001</v>
      </c>
      <c r="I21" s="55">
        <f t="shared" si="3"/>
        <v>494026774.62</v>
      </c>
      <c r="J21" s="83">
        <f>SUM(J17:J20)</f>
        <v>2751479564.2600002</v>
      </c>
      <c r="K21" s="112">
        <f>SUM(K17:K20)</f>
        <v>4351967958.4700003</v>
      </c>
      <c r="L21" s="915">
        <f>SUM(L17:L20)</f>
        <v>3565272935.6700001</v>
      </c>
      <c r="M21" s="54">
        <f>SUM(M17:M20)</f>
        <v>0</v>
      </c>
      <c r="N21" s="244">
        <f>SUM(N17:N20)</f>
        <v>2055338578.1499999</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10" zoomScaleNormal="100" workbookViewId="0">
      <selection activeCell="O23" sqref="O2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10</v>
      </c>
    </row>
    <row r="11" spans="4:25" x14ac:dyDescent="0.2">
      <c r="W11" s="647" t="s">
        <v>877</v>
      </c>
      <c r="X11" s="702" t="str">
        <f>VLOOKUP(X10,W39:X55,2)</f>
        <v>M10 April</v>
      </c>
      <c r="Y11" s="903">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2"/>
    </row>
    <row r="40" spans="22:25" x14ac:dyDescent="0.2">
      <c r="W40" s="647">
        <v>2</v>
      </c>
      <c r="X40" s="647" t="s">
        <v>873</v>
      </c>
      <c r="Y40" s="902"/>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219075</xdr:colOff>
                <xdr:row>7</xdr:row>
                <xdr:rowOff>47625</xdr:rowOff>
              </from>
              <to>
                <xdr:col>11</xdr:col>
                <xdr:colOff>247650</xdr:colOff>
                <xdr:row>8</xdr:row>
                <xdr:rowOff>142875</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219075</xdr:colOff>
                <xdr:row>9</xdr:row>
                <xdr:rowOff>123825</xdr:rowOff>
              </from>
              <to>
                <xdr:col>7</xdr:col>
                <xdr:colOff>552450</xdr:colOff>
                <xdr:row>11</xdr:row>
                <xdr:rowOff>57150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219075</xdr:colOff>
                <xdr:row>12</xdr:row>
                <xdr:rowOff>28575</xdr:rowOff>
              </from>
              <to>
                <xdr:col>11</xdr:col>
                <xdr:colOff>247650</xdr:colOff>
                <xdr:row>13</xdr:row>
                <xdr:rowOff>123825</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123825</xdr:rowOff>
              </from>
              <to>
                <xdr:col>5</xdr:col>
                <xdr:colOff>133350</xdr:colOff>
                <xdr:row>37</xdr:row>
                <xdr:rowOff>123825</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47625</xdr:rowOff>
              </from>
              <to>
                <xdr:col>5</xdr:col>
                <xdr:colOff>133350</xdr:colOff>
                <xdr:row>40</xdr:row>
                <xdr:rowOff>38100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9525</xdr:rowOff>
              </from>
              <to>
                <xdr:col>5</xdr:col>
                <xdr:colOff>133350</xdr:colOff>
                <xdr:row>45</xdr:row>
                <xdr:rowOff>9525</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L8" sqref="L8"/>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8" t="str">
        <f>muni&amp; " - "&amp;S71J&amp; " - "&amp;Head57</f>
        <v>KZN225 Msunduzi - Supporting Table SC4 Monthly Budget Statement - aged creditors  - M10 April</v>
      </c>
      <c r="B1" s="1038"/>
      <c r="C1" s="1038"/>
      <c r="D1" s="1038"/>
      <c r="E1" s="1038"/>
      <c r="F1" s="1038"/>
      <c r="G1" s="1038"/>
      <c r="H1" s="1038"/>
      <c r="I1" s="1038"/>
      <c r="J1" s="1038"/>
      <c r="K1" s="1038"/>
    </row>
    <row r="2" spans="1:12" ht="12.75" customHeight="1" x14ac:dyDescent="0.25">
      <c r="A2" s="1027" t="str">
        <f>desc</f>
        <v>Description</v>
      </c>
      <c r="B2" s="1059" t="s">
        <v>743</v>
      </c>
      <c r="C2" s="137" t="str">
        <f>Head2</f>
        <v>Budget Year 2019/20</v>
      </c>
      <c r="D2" s="137"/>
      <c r="E2" s="137"/>
      <c r="F2" s="137"/>
      <c r="G2" s="137"/>
      <c r="H2" s="137"/>
      <c r="I2" s="137"/>
      <c r="J2" s="137"/>
      <c r="K2" s="138"/>
      <c r="L2" s="1049" t="s">
        <v>78</v>
      </c>
    </row>
    <row r="3" spans="1:12" ht="12.75" customHeight="1" x14ac:dyDescent="0.25">
      <c r="A3" s="1058"/>
      <c r="B3" s="1060"/>
      <c r="C3" s="1061" t="s">
        <v>735</v>
      </c>
      <c r="D3" s="1052" t="s">
        <v>736</v>
      </c>
      <c r="E3" s="1052" t="s">
        <v>737</v>
      </c>
      <c r="F3" s="1052" t="s">
        <v>738</v>
      </c>
      <c r="G3" s="1052" t="s">
        <v>739</v>
      </c>
      <c r="H3" s="1052" t="s">
        <v>740</v>
      </c>
      <c r="I3" s="1052" t="s">
        <v>741</v>
      </c>
      <c r="J3" s="1054" t="s">
        <v>742</v>
      </c>
      <c r="K3" s="1056" t="s">
        <v>513</v>
      </c>
      <c r="L3" s="1050"/>
    </row>
    <row r="4" spans="1:12" ht="12.75" customHeight="1" x14ac:dyDescent="0.25">
      <c r="A4" s="34" t="s">
        <v>674</v>
      </c>
      <c r="B4" s="1057"/>
      <c r="C4" s="1062"/>
      <c r="D4" s="1053"/>
      <c r="E4" s="1053"/>
      <c r="F4" s="1053"/>
      <c r="G4" s="1053"/>
      <c r="H4" s="1053"/>
      <c r="I4" s="1053"/>
      <c r="J4" s="1055"/>
      <c r="K4" s="1057"/>
      <c r="L4" s="1051"/>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164560536.94999999</v>
      </c>
      <c r="D6" s="734"/>
      <c r="E6" s="734"/>
      <c r="F6" s="734"/>
      <c r="G6" s="734"/>
      <c r="H6" s="734"/>
      <c r="I6" s="734"/>
      <c r="J6" s="736"/>
      <c r="K6" s="109">
        <f>SUM(C6:J6)</f>
        <v>164560536.94999999</v>
      </c>
      <c r="L6" s="749">
        <v>209470837</v>
      </c>
    </row>
    <row r="7" spans="1:12" ht="12.75" customHeight="1" x14ac:dyDescent="0.25">
      <c r="A7" s="39" t="s">
        <v>695</v>
      </c>
      <c r="B7" s="169" t="s">
        <v>696</v>
      </c>
      <c r="C7" s="754">
        <v>123702041.89</v>
      </c>
      <c r="D7" s="734"/>
      <c r="E7" s="734"/>
      <c r="F7" s="734"/>
      <c r="G7" s="734"/>
      <c r="H7" s="734"/>
      <c r="I7" s="734"/>
      <c r="J7" s="736"/>
      <c r="K7" s="109">
        <f t="shared" ref="K7:K13" si="0">SUM(C7:J7)</f>
        <v>123702041.89</v>
      </c>
      <c r="L7" s="749">
        <v>77149902</v>
      </c>
    </row>
    <row r="8" spans="1:12" ht="12.75" customHeight="1" x14ac:dyDescent="0.25">
      <c r="A8" s="39" t="s">
        <v>697</v>
      </c>
      <c r="B8" s="169" t="s">
        <v>698</v>
      </c>
      <c r="C8" s="754"/>
      <c r="D8" s="734"/>
      <c r="E8" s="734"/>
      <c r="F8" s="734"/>
      <c r="G8" s="734"/>
      <c r="H8" s="734"/>
      <c r="I8" s="734"/>
      <c r="J8" s="736"/>
      <c r="K8" s="109">
        <f t="shared" si="0"/>
        <v>0</v>
      </c>
      <c r="L8" s="749"/>
    </row>
    <row r="9" spans="1:12" ht="12.75" customHeight="1" x14ac:dyDescent="0.25">
      <c r="A9" s="39" t="s">
        <v>598</v>
      </c>
      <c r="B9" s="169" t="s">
        <v>599</v>
      </c>
      <c r="C9" s="754">
        <v>212743550.15000001</v>
      </c>
      <c r="D9" s="734"/>
      <c r="E9" s="734"/>
      <c r="F9" s="734"/>
      <c r="G9" s="734"/>
      <c r="H9" s="734"/>
      <c r="I9" s="734"/>
      <c r="J9" s="736"/>
      <c r="K9" s="109">
        <f t="shared" si="0"/>
        <v>212743550.15000001</v>
      </c>
      <c r="L9" s="749">
        <v>145670375</v>
      </c>
    </row>
    <row r="10" spans="1:12" ht="12.75" customHeight="1" x14ac:dyDescent="0.25">
      <c r="A10" s="39" t="s">
        <v>600</v>
      </c>
      <c r="B10" s="169" t="s">
        <v>601</v>
      </c>
      <c r="C10" s="754"/>
      <c r="D10" s="734"/>
      <c r="E10" s="734"/>
      <c r="F10" s="734"/>
      <c r="G10" s="734"/>
      <c r="H10" s="734"/>
      <c r="I10" s="734"/>
      <c r="J10" s="736"/>
      <c r="K10" s="109">
        <f t="shared" si="0"/>
        <v>0</v>
      </c>
      <c r="L10" s="749"/>
    </row>
    <row r="11" spans="1:12" ht="12.75" customHeight="1" x14ac:dyDescent="0.25">
      <c r="A11" s="39" t="s">
        <v>602</v>
      </c>
      <c r="B11" s="169" t="s">
        <v>603</v>
      </c>
      <c r="C11" s="754"/>
      <c r="D11" s="734"/>
      <c r="E11" s="734"/>
      <c r="F11" s="734"/>
      <c r="G11" s="734"/>
      <c r="H11" s="734"/>
      <c r="I11" s="734"/>
      <c r="J11" s="736"/>
      <c r="K11" s="109">
        <f t="shared" si="0"/>
        <v>0</v>
      </c>
      <c r="L11" s="749"/>
    </row>
    <row r="12" spans="1:12" ht="12.75" customHeight="1" x14ac:dyDescent="0.25">
      <c r="A12" s="39" t="s">
        <v>604</v>
      </c>
      <c r="B12" s="169" t="s">
        <v>605</v>
      </c>
      <c r="C12" s="754">
        <v>54085203.340000004</v>
      </c>
      <c r="D12" s="734">
        <v>5458502.6100000096</v>
      </c>
      <c r="E12" s="734">
        <v>2572035.92</v>
      </c>
      <c r="F12" s="734">
        <v>14805013.49</v>
      </c>
      <c r="G12" s="734">
        <v>102997.77</v>
      </c>
      <c r="H12" s="734">
        <v>1176126.03</v>
      </c>
      <c r="I12" s="734">
        <v>716902.82</v>
      </c>
      <c r="J12" s="736">
        <v>1233557.01</v>
      </c>
      <c r="K12" s="109">
        <f t="shared" si="0"/>
        <v>80150338.99000001</v>
      </c>
      <c r="L12" s="749">
        <v>201489432</v>
      </c>
    </row>
    <row r="13" spans="1:12" ht="12.75" customHeight="1" x14ac:dyDescent="0.25">
      <c r="A13" s="39" t="s">
        <v>606</v>
      </c>
      <c r="B13" s="169" t="s">
        <v>607</v>
      </c>
      <c r="C13" s="754"/>
      <c r="D13" s="734"/>
      <c r="E13" s="734"/>
      <c r="F13" s="734"/>
      <c r="G13" s="734"/>
      <c r="H13" s="734"/>
      <c r="I13" s="734"/>
      <c r="J13" s="736"/>
      <c r="K13" s="109">
        <f t="shared" si="0"/>
        <v>0</v>
      </c>
      <c r="L13" s="749"/>
    </row>
    <row r="14" spans="1:12" ht="12.75" customHeight="1" x14ac:dyDescent="0.25">
      <c r="A14" s="39" t="s">
        <v>727</v>
      </c>
      <c r="B14" s="169" t="s">
        <v>608</v>
      </c>
      <c r="C14" s="754">
        <v>228302380.55000001</v>
      </c>
      <c r="D14" s="734"/>
      <c r="E14" s="734"/>
      <c r="F14" s="734"/>
      <c r="G14" s="734"/>
      <c r="H14" s="734"/>
      <c r="I14" s="734"/>
      <c r="J14" s="736"/>
      <c r="K14" s="109">
        <f>SUM(C14:J14)</f>
        <v>228302380.55000001</v>
      </c>
      <c r="L14" s="749">
        <v>356936386</v>
      </c>
    </row>
    <row r="15" spans="1:12" ht="12.75" customHeight="1" x14ac:dyDescent="0.25">
      <c r="A15" s="53" t="s">
        <v>932</v>
      </c>
      <c r="B15" s="284">
        <v>1000</v>
      </c>
      <c r="C15" s="271">
        <f>SUM(C6:C14)</f>
        <v>783393712.88000011</v>
      </c>
      <c r="D15" s="55">
        <f t="shared" ref="D15:J15" si="1">SUM(D6:D14)</f>
        <v>5458502.6100000096</v>
      </c>
      <c r="E15" s="55">
        <f t="shared" si="1"/>
        <v>2572035.92</v>
      </c>
      <c r="F15" s="55">
        <f t="shared" si="1"/>
        <v>14805013.49</v>
      </c>
      <c r="G15" s="55">
        <f t="shared" si="1"/>
        <v>102997.77</v>
      </c>
      <c r="H15" s="55">
        <f t="shared" si="1"/>
        <v>1176126.03</v>
      </c>
      <c r="I15" s="55">
        <f t="shared" si="1"/>
        <v>716902.82</v>
      </c>
      <c r="J15" s="235">
        <f t="shared" si="1"/>
        <v>1233557.01</v>
      </c>
      <c r="K15" s="112">
        <f>SUM(K6:K14)</f>
        <v>809458848.52999997</v>
      </c>
      <c r="L15" s="160">
        <f>SUM(L6:L14)</f>
        <v>990716932</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G4" activePane="bottomRight" state="frozen"/>
      <selection pane="topRight"/>
      <selection pane="bottomLeft"/>
      <selection pane="bottomRight" activeCell="R17" sqref="R17"/>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8" t="str">
        <f>muni&amp; " - "&amp;S71K&amp; " - "&amp;Head57</f>
        <v>KZN225 Msunduzi - Supporting Table SC5 Monthly Budget Statement - investment portfolio  - M10 April</v>
      </c>
      <c r="B1" s="1038"/>
      <c r="C1" s="1038"/>
      <c r="D1" s="1038"/>
      <c r="E1" s="1038"/>
      <c r="F1" s="1038"/>
      <c r="G1" s="1038"/>
      <c r="H1" s="1038"/>
      <c r="I1" s="1038"/>
      <c r="J1" s="1038"/>
      <c r="K1" s="67"/>
    </row>
    <row r="2" spans="1:15" ht="54" customHeight="1" x14ac:dyDescent="0.25">
      <c r="A2" s="270" t="s">
        <v>906</v>
      </c>
      <c r="B2" s="1059" t="s">
        <v>577</v>
      </c>
      <c r="C2" s="26" t="s">
        <v>130</v>
      </c>
      <c r="D2" s="1065" t="s">
        <v>614</v>
      </c>
      <c r="E2" s="949" t="s">
        <v>1369</v>
      </c>
      <c r="F2" s="949" t="s">
        <v>1370</v>
      </c>
      <c r="G2" s="949" t="s">
        <v>1371</v>
      </c>
      <c r="H2" s="949" t="s">
        <v>1372</v>
      </c>
      <c r="I2" s="949" t="s">
        <v>1373</v>
      </c>
      <c r="J2" s="1067" t="s">
        <v>615</v>
      </c>
      <c r="K2" s="149" t="s">
        <v>1374</v>
      </c>
      <c r="L2" s="142" t="s">
        <v>1375</v>
      </c>
      <c r="M2" s="26" t="s">
        <v>1376</v>
      </c>
      <c r="N2" s="26" t="s">
        <v>1377</v>
      </c>
      <c r="O2" s="142" t="s">
        <v>1378</v>
      </c>
    </row>
    <row r="3" spans="1:15" ht="12.75" customHeight="1" x14ac:dyDescent="0.25">
      <c r="A3" s="34" t="s">
        <v>674</v>
      </c>
      <c r="B3" s="1057"/>
      <c r="C3" s="413" t="s">
        <v>131</v>
      </c>
      <c r="D3" s="1066"/>
      <c r="E3" s="950"/>
      <c r="F3" s="950"/>
      <c r="G3" s="950"/>
      <c r="H3" s="950"/>
      <c r="I3" s="950"/>
      <c r="J3" s="1055"/>
      <c r="K3" s="1063"/>
      <c r="L3" s="1063"/>
      <c r="M3" s="1063"/>
      <c r="N3" s="1063"/>
      <c r="O3" s="1064"/>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1"/>
      <c r="D5" s="952"/>
      <c r="E5" s="952"/>
      <c r="F5" s="952"/>
      <c r="G5" s="952"/>
      <c r="H5" s="952"/>
      <c r="I5" s="952"/>
      <c r="J5" s="953"/>
      <c r="K5" s="954">
        <v>364094573.70999998</v>
      </c>
      <c r="L5" s="955">
        <v>5824906.3500000006</v>
      </c>
      <c r="M5" s="956">
        <v>-76397454.459999993</v>
      </c>
      <c r="N5" s="956">
        <v>74653064.799999952</v>
      </c>
      <c r="O5" s="957">
        <f t="shared" ref="O5:O11" si="0">SUM(K5:N5)</f>
        <v>368175090.39999998</v>
      </c>
    </row>
    <row r="6" spans="1:15" ht="12.75" customHeight="1" x14ac:dyDescent="0.25">
      <c r="A6" s="777"/>
      <c r="B6" s="169"/>
      <c r="C6" s="951"/>
      <c r="D6" s="952"/>
      <c r="E6" s="952"/>
      <c r="F6" s="952"/>
      <c r="G6" s="952"/>
      <c r="H6" s="952"/>
      <c r="I6" s="952"/>
      <c r="J6" s="953"/>
      <c r="K6" s="954"/>
      <c r="L6" s="955"/>
      <c r="M6" s="956"/>
      <c r="N6" s="956"/>
      <c r="O6" s="957">
        <f t="shared" si="0"/>
        <v>0</v>
      </c>
    </row>
    <row r="7" spans="1:15" ht="12.75" customHeight="1" x14ac:dyDescent="0.25">
      <c r="A7" s="777"/>
      <c r="B7" s="169"/>
      <c r="C7" s="951"/>
      <c r="D7" s="952"/>
      <c r="E7" s="952"/>
      <c r="F7" s="952"/>
      <c r="G7" s="952"/>
      <c r="H7" s="952"/>
      <c r="I7" s="952"/>
      <c r="J7" s="953"/>
      <c r="K7" s="954"/>
      <c r="L7" s="955"/>
      <c r="M7" s="956"/>
      <c r="N7" s="956"/>
      <c r="O7" s="957">
        <f t="shared" si="0"/>
        <v>0</v>
      </c>
    </row>
    <row r="8" spans="1:15" ht="12.75" customHeight="1" x14ac:dyDescent="0.25">
      <c r="A8" s="777"/>
      <c r="B8" s="169"/>
      <c r="C8" s="951"/>
      <c r="D8" s="952"/>
      <c r="E8" s="952"/>
      <c r="F8" s="952"/>
      <c r="G8" s="952"/>
      <c r="H8" s="952"/>
      <c r="I8" s="952"/>
      <c r="J8" s="953"/>
      <c r="K8" s="954"/>
      <c r="L8" s="955"/>
      <c r="M8" s="956"/>
      <c r="N8" s="956"/>
      <c r="O8" s="957">
        <f t="shared" si="0"/>
        <v>0</v>
      </c>
    </row>
    <row r="9" spans="1:15" ht="12.75" customHeight="1" x14ac:dyDescent="0.25">
      <c r="A9" s="777"/>
      <c r="B9" s="169"/>
      <c r="C9" s="951"/>
      <c r="D9" s="952"/>
      <c r="E9" s="952"/>
      <c r="F9" s="952"/>
      <c r="G9" s="952"/>
      <c r="H9" s="952"/>
      <c r="I9" s="952"/>
      <c r="J9" s="953"/>
      <c r="K9" s="954"/>
      <c r="L9" s="955"/>
      <c r="M9" s="956"/>
      <c r="N9" s="956"/>
      <c r="O9" s="957">
        <f t="shared" si="0"/>
        <v>0</v>
      </c>
    </row>
    <row r="10" spans="1:15" ht="12.75" customHeight="1" x14ac:dyDescent="0.25">
      <c r="A10" s="777"/>
      <c r="B10" s="169"/>
      <c r="C10" s="951"/>
      <c r="D10" s="952"/>
      <c r="E10" s="952"/>
      <c r="F10" s="952"/>
      <c r="G10" s="952"/>
      <c r="H10" s="952"/>
      <c r="I10" s="952"/>
      <c r="J10" s="953"/>
      <c r="K10" s="954"/>
      <c r="L10" s="955"/>
      <c r="M10" s="956"/>
      <c r="N10" s="956"/>
      <c r="O10" s="957">
        <f t="shared" si="0"/>
        <v>0</v>
      </c>
    </row>
    <row r="11" spans="1:15" ht="12.75" customHeight="1" x14ac:dyDescent="0.25">
      <c r="A11" s="777"/>
      <c r="B11" s="169"/>
      <c r="C11" s="951"/>
      <c r="D11" s="952"/>
      <c r="E11" s="952"/>
      <c r="F11" s="952"/>
      <c r="G11" s="952"/>
      <c r="H11" s="952"/>
      <c r="I11" s="952"/>
      <c r="J11" s="953"/>
      <c r="K11" s="954"/>
      <c r="L11" s="955"/>
      <c r="M11" s="956"/>
      <c r="N11" s="956"/>
      <c r="O11" s="957">
        <f t="shared" si="0"/>
        <v>0</v>
      </c>
    </row>
    <row r="12" spans="1:15" ht="12.75" customHeight="1" x14ac:dyDescent="0.25">
      <c r="A12" s="548" t="s">
        <v>132</v>
      </c>
      <c r="B12" s="169"/>
      <c r="C12" s="970"/>
      <c r="D12" s="958"/>
      <c r="E12" s="958"/>
      <c r="F12" s="958"/>
      <c r="G12" s="958"/>
      <c r="H12" s="958"/>
      <c r="I12" s="958"/>
      <c r="J12" s="959"/>
      <c r="K12" s="960">
        <f>SUM(K5:K11)</f>
        <v>364094573.70999998</v>
      </c>
      <c r="L12" s="961"/>
      <c r="M12" s="962">
        <f>SUM(M5:M11)</f>
        <v>-76397454.459999993</v>
      </c>
      <c r="N12" s="962">
        <f>SUM(N5:N11)</f>
        <v>74653064.799999952</v>
      </c>
      <c r="O12" s="963">
        <f>SUM(O5:O11)</f>
        <v>368175090.39999998</v>
      </c>
    </row>
    <row r="13" spans="1:15" ht="3.75" customHeight="1" x14ac:dyDescent="0.25">
      <c r="A13" s="549"/>
      <c r="B13" s="169"/>
      <c r="C13" s="605"/>
      <c r="D13" s="964"/>
      <c r="E13" s="964"/>
      <c r="F13" s="964"/>
      <c r="G13" s="964"/>
      <c r="H13" s="964"/>
      <c r="I13" s="964"/>
      <c r="J13" s="965"/>
      <c r="K13" s="966"/>
      <c r="L13" s="967"/>
      <c r="M13" s="968"/>
      <c r="N13" s="968"/>
      <c r="O13" s="969"/>
    </row>
    <row r="14" spans="1:15" ht="12.75" customHeight="1" x14ac:dyDescent="0.25">
      <c r="A14" s="550" t="s">
        <v>133</v>
      </c>
      <c r="B14" s="169"/>
      <c r="C14" s="605"/>
      <c r="D14" s="964"/>
      <c r="E14" s="964"/>
      <c r="F14" s="964"/>
      <c r="G14" s="964"/>
      <c r="H14" s="964"/>
      <c r="I14" s="964"/>
      <c r="J14" s="965"/>
      <c r="K14" s="966"/>
      <c r="L14" s="967"/>
      <c r="M14" s="968"/>
      <c r="N14" s="968"/>
      <c r="O14" s="969"/>
    </row>
    <row r="15" spans="1:15" ht="12.75" customHeight="1" x14ac:dyDescent="0.25">
      <c r="A15" s="778" t="s">
        <v>1460</v>
      </c>
      <c r="B15" s="169"/>
      <c r="C15" s="951"/>
      <c r="D15" s="952"/>
      <c r="E15" s="952"/>
      <c r="F15" s="952"/>
      <c r="G15" s="952"/>
      <c r="H15" s="952"/>
      <c r="I15" s="952"/>
      <c r="J15" s="953"/>
      <c r="K15" s="954">
        <v>3359357.82</v>
      </c>
      <c r="L15" s="955">
        <v>6489.45</v>
      </c>
      <c r="M15" s="956">
        <v>-1348000</v>
      </c>
      <c r="N15" s="956"/>
      <c r="O15" s="957">
        <f t="shared" ref="O15:O21" si="1">SUM(K15:N15)</f>
        <v>2017847.27</v>
      </c>
    </row>
    <row r="16" spans="1:15" ht="12.75" customHeight="1" x14ac:dyDescent="0.25">
      <c r="A16" s="778"/>
      <c r="B16" s="169"/>
      <c r="C16" s="951"/>
      <c r="D16" s="952"/>
      <c r="E16" s="952"/>
      <c r="F16" s="952"/>
      <c r="G16" s="952"/>
      <c r="H16" s="952"/>
      <c r="I16" s="952"/>
      <c r="J16" s="953"/>
      <c r="K16" s="954"/>
      <c r="L16" s="955"/>
      <c r="M16" s="956"/>
      <c r="N16" s="956"/>
      <c r="O16" s="957">
        <f t="shared" si="1"/>
        <v>0</v>
      </c>
    </row>
    <row r="17" spans="1:16" ht="12.75" customHeight="1" x14ac:dyDescent="0.25">
      <c r="A17" s="778"/>
      <c r="B17" s="169"/>
      <c r="C17" s="951"/>
      <c r="D17" s="952"/>
      <c r="E17" s="952"/>
      <c r="F17" s="952"/>
      <c r="G17" s="952"/>
      <c r="H17" s="983"/>
      <c r="I17" s="952"/>
      <c r="J17" s="953"/>
      <c r="K17" s="954"/>
      <c r="L17" s="955"/>
      <c r="M17" s="956"/>
      <c r="N17" s="956"/>
      <c r="O17" s="957">
        <f t="shared" si="1"/>
        <v>0</v>
      </c>
    </row>
    <row r="18" spans="1:16" ht="12.75" customHeight="1" x14ac:dyDescent="0.25">
      <c r="A18" s="778"/>
      <c r="B18" s="169"/>
      <c r="C18" s="951"/>
      <c r="D18" s="952"/>
      <c r="E18" s="952"/>
      <c r="F18" s="952"/>
      <c r="G18" s="952"/>
      <c r="H18" s="952"/>
      <c r="I18" s="952"/>
      <c r="J18" s="953"/>
      <c r="K18" s="954"/>
      <c r="L18" s="955"/>
      <c r="M18" s="956"/>
      <c r="N18" s="956"/>
      <c r="O18" s="957">
        <f t="shared" si="1"/>
        <v>0</v>
      </c>
    </row>
    <row r="19" spans="1:16" ht="12.75" customHeight="1" x14ac:dyDescent="0.25">
      <c r="A19" s="778"/>
      <c r="B19" s="169"/>
      <c r="C19" s="951"/>
      <c r="D19" s="952"/>
      <c r="E19" s="952"/>
      <c r="F19" s="983"/>
      <c r="G19" s="952"/>
      <c r="H19" s="952"/>
      <c r="I19" s="983"/>
      <c r="J19" s="953"/>
      <c r="K19" s="954"/>
      <c r="L19" s="955"/>
      <c r="M19" s="956"/>
      <c r="N19" s="956"/>
      <c r="O19" s="957">
        <f t="shared" si="1"/>
        <v>0</v>
      </c>
    </row>
    <row r="20" spans="1:16" ht="12.75" customHeight="1" x14ac:dyDescent="0.25">
      <c r="A20" s="778"/>
      <c r="B20" s="169"/>
      <c r="C20" s="951"/>
      <c r="D20" s="952"/>
      <c r="E20" s="952"/>
      <c r="F20" s="952"/>
      <c r="G20" s="952"/>
      <c r="H20" s="952"/>
      <c r="I20" s="952"/>
      <c r="J20" s="953"/>
      <c r="K20" s="954"/>
      <c r="L20" s="955"/>
      <c r="M20" s="956"/>
      <c r="N20" s="956"/>
      <c r="O20" s="957">
        <f t="shared" si="1"/>
        <v>0</v>
      </c>
    </row>
    <row r="21" spans="1:16" ht="12.75" customHeight="1" x14ac:dyDescent="0.25">
      <c r="A21" s="778"/>
      <c r="B21" s="169"/>
      <c r="C21" s="951"/>
      <c r="D21" s="952"/>
      <c r="E21" s="952"/>
      <c r="F21" s="952"/>
      <c r="G21" s="952"/>
      <c r="H21" s="952"/>
      <c r="I21" s="952"/>
      <c r="J21" s="953"/>
      <c r="K21" s="954"/>
      <c r="L21" s="955"/>
      <c r="M21" s="956"/>
      <c r="N21" s="956"/>
      <c r="O21" s="957">
        <f t="shared" si="1"/>
        <v>0</v>
      </c>
    </row>
    <row r="22" spans="1:16" ht="12.75" customHeight="1" x14ac:dyDescent="0.25">
      <c r="A22" s="548" t="s">
        <v>134</v>
      </c>
      <c r="B22" s="169"/>
      <c r="C22" s="970"/>
      <c r="D22" s="958"/>
      <c r="E22" s="958"/>
      <c r="F22" s="958"/>
      <c r="G22" s="958"/>
      <c r="H22" s="958"/>
      <c r="I22" s="958"/>
      <c r="J22" s="959"/>
      <c r="K22" s="960">
        <f>SUM(K15:K21)</f>
        <v>3359357.82</v>
      </c>
      <c r="L22" s="961"/>
      <c r="M22" s="962">
        <f>SUM(M15:M21)</f>
        <v>-1348000</v>
      </c>
      <c r="N22" s="962">
        <f>SUM(N15:N21)</f>
        <v>0</v>
      </c>
      <c r="O22" s="963">
        <f>SUM(O15:O21)</f>
        <v>2017847.27</v>
      </c>
    </row>
    <row r="23" spans="1:16" ht="3.75" customHeight="1" x14ac:dyDescent="0.25">
      <c r="A23" s="549"/>
      <c r="B23" s="169"/>
      <c r="C23" s="605"/>
      <c r="D23" s="964"/>
      <c r="E23" s="964"/>
      <c r="F23" s="964"/>
      <c r="G23" s="964"/>
      <c r="H23" s="964"/>
      <c r="I23" s="964"/>
      <c r="J23" s="965"/>
      <c r="K23" s="971"/>
      <c r="L23" s="972"/>
      <c r="M23" s="973"/>
      <c r="N23" s="973"/>
      <c r="O23" s="974"/>
    </row>
    <row r="24" spans="1:16" ht="12.75" customHeight="1" x14ac:dyDescent="0.25">
      <c r="A24" s="551" t="s">
        <v>135</v>
      </c>
      <c r="B24" s="236">
        <v>2</v>
      </c>
      <c r="C24" s="975"/>
      <c r="D24" s="976"/>
      <c r="E24" s="976"/>
      <c r="F24" s="976"/>
      <c r="G24" s="976"/>
      <c r="H24" s="976"/>
      <c r="I24" s="976"/>
      <c r="J24" s="977"/>
      <c r="K24" s="978">
        <f>K12+K22</f>
        <v>367453931.52999997</v>
      </c>
      <c r="L24" s="979"/>
      <c r="M24" s="980">
        <f>M12+M22</f>
        <v>-77745454.459999993</v>
      </c>
      <c r="N24" s="980">
        <f>N12+N22</f>
        <v>74653064.799999952</v>
      </c>
      <c r="O24" s="981">
        <f>O12+O22</f>
        <v>370192937.66999996</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5"/>
  <sheetViews>
    <sheetView showGridLines="0" zoomScaleNormal="100" workbookViewId="0">
      <pane xSplit="2" ySplit="4" topLeftCell="C5" activePane="bottomRight" state="frozen"/>
      <selection pane="topRight"/>
      <selection pane="bottomLeft"/>
      <selection pane="bottomRight" activeCell="F27" sqref="F27:G27"/>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"&amp;S71L&amp; " - "&amp;Head57</f>
        <v>KZN225 Msunduzi - Supporting Table SC6 Monthly Budget Statement - transfers and grant receipts  - M10 April</v>
      </c>
      <c r="B1" s="1038"/>
      <c r="C1" s="1038"/>
      <c r="D1" s="1038"/>
      <c r="E1" s="1038"/>
      <c r="F1" s="1038"/>
      <c r="G1" s="1038"/>
      <c r="H1" s="1038"/>
      <c r="I1" s="1038"/>
      <c r="J1" s="1038"/>
      <c r="K1" s="1038"/>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0</v>
      </c>
      <c r="G8" s="50">
        <f t="shared" si="0"/>
        <v>685547600</v>
      </c>
      <c r="H8" s="50">
        <f t="shared" si="0"/>
        <v>558882061.83333337</v>
      </c>
      <c r="I8" s="50">
        <f t="shared" si="0"/>
        <v>126665538.16666667</v>
      </c>
      <c r="J8" s="343">
        <f t="shared" ref="J8:J32" si="1">IF(I8=0,"",I8/H8)</f>
        <v>0.22664090837189932</v>
      </c>
      <c r="K8" s="194">
        <f>SUM(K9:K17)</f>
        <v>609689522</v>
      </c>
    </row>
    <row r="9" spans="1:11" ht="12.75" customHeight="1" x14ac:dyDescent="0.25">
      <c r="A9" s="779" t="s">
        <v>999</v>
      </c>
      <c r="B9" s="169"/>
      <c r="C9" s="780"/>
      <c r="D9" s="781">
        <v>546052000</v>
      </c>
      <c r="E9" s="735">
        <v>546052000</v>
      </c>
      <c r="F9" s="735"/>
      <c r="G9" s="735">
        <v>380231000</v>
      </c>
      <c r="H9" s="734">
        <f t="shared" ref="H9:H10" si="2">E9/12*11</f>
        <v>500547666.66666669</v>
      </c>
      <c r="I9" s="44">
        <f t="shared" ref="I9:I17" si="3">G9-H9</f>
        <v>-120316666.66666669</v>
      </c>
      <c r="J9" s="124">
        <f t="shared" si="1"/>
        <v>-0.2403700480074159</v>
      </c>
      <c r="K9" s="737">
        <f>E9</f>
        <v>546052000</v>
      </c>
    </row>
    <row r="10" spans="1:11" ht="12.75" customHeight="1" x14ac:dyDescent="0.25">
      <c r="A10" s="779" t="s">
        <v>1001</v>
      </c>
      <c r="B10" s="169"/>
      <c r="C10" s="749"/>
      <c r="D10" s="746">
        <v>1700000</v>
      </c>
      <c r="E10" s="734">
        <v>1700000</v>
      </c>
      <c r="F10" s="734"/>
      <c r="G10" s="734">
        <v>1700000</v>
      </c>
      <c r="H10" s="734">
        <f t="shared" si="2"/>
        <v>1558333.3333333333</v>
      </c>
      <c r="I10" s="44">
        <f>G10-H10</f>
        <v>141666.66666666674</v>
      </c>
      <c r="J10" s="124">
        <f>IF(I10=0,"",I10/H10)</f>
        <v>9.0909090909090967E-2</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c r="G12" s="734">
        <v>4200000</v>
      </c>
      <c r="H12" s="734">
        <f t="shared" ref="H12" si="4">E12/12*11</f>
        <v>3850000</v>
      </c>
      <c r="I12" s="44">
        <f>G12-H12</f>
        <v>350000</v>
      </c>
      <c r="J12" s="124">
        <f>IF(I12=0,"",I12/H12)</f>
        <v>9.0909090909090912E-2</v>
      </c>
      <c r="K12" s="736">
        <f>E12</f>
        <v>4200000</v>
      </c>
    </row>
    <row r="13" spans="1:11" ht="12.75" customHeight="1" x14ac:dyDescent="0.25">
      <c r="A13" s="779" t="s">
        <v>1002</v>
      </c>
      <c r="B13" s="169"/>
      <c r="C13" s="749"/>
      <c r="D13" s="746"/>
      <c r="E13" s="734"/>
      <c r="F13" s="734"/>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c r="G14" s="734">
        <v>226665000</v>
      </c>
      <c r="H14" s="734">
        <f t="shared" ref="H14" si="5">E14/12*11</f>
        <v>40177133.333333328</v>
      </c>
      <c r="I14" s="44">
        <f t="shared" si="3"/>
        <v>186487866.66666669</v>
      </c>
      <c r="J14" s="124">
        <f t="shared" si="1"/>
        <v>4.6416419289911186</v>
      </c>
      <c r="K14" s="736">
        <f>E14</f>
        <v>43829600</v>
      </c>
    </row>
    <row r="15" spans="1:11" ht="12.75" customHeight="1" x14ac:dyDescent="0.25">
      <c r="A15" s="779" t="s">
        <v>1003</v>
      </c>
      <c r="B15" s="169"/>
      <c r="C15" s="749"/>
      <c r="D15" s="746"/>
      <c r="E15" s="734"/>
      <c r="F15" s="734"/>
      <c r="G15" s="734"/>
      <c r="H15" s="734"/>
      <c r="I15" s="44">
        <f t="shared" si="3"/>
        <v>0</v>
      </c>
      <c r="J15" s="124" t="str">
        <f t="shared" si="1"/>
        <v/>
      </c>
      <c r="K15" s="736"/>
    </row>
    <row r="16" spans="1:11" ht="12.75" customHeight="1" x14ac:dyDescent="0.25">
      <c r="A16" s="779" t="s">
        <v>1442</v>
      </c>
      <c r="B16" s="169"/>
      <c r="C16" s="749"/>
      <c r="D16" s="746">
        <v>18000000</v>
      </c>
      <c r="E16" s="734">
        <v>13907922</v>
      </c>
      <c r="F16" s="734"/>
      <c r="G16" s="734">
        <v>19751600</v>
      </c>
      <c r="H16" s="734">
        <f t="shared" ref="H16" si="6">E16/12*11</f>
        <v>12748928.5</v>
      </c>
      <c r="I16" s="44">
        <f t="shared" si="3"/>
        <v>7002671.5</v>
      </c>
      <c r="J16" s="124">
        <f t="shared" si="1"/>
        <v>0.54927529792013496</v>
      </c>
      <c r="K16" s="736">
        <f>E16</f>
        <v>13907922</v>
      </c>
    </row>
    <row r="17" spans="1:11" ht="12.75" customHeight="1" x14ac:dyDescent="0.25">
      <c r="A17" s="779" t="s">
        <v>1443</v>
      </c>
      <c r="B17" s="169"/>
      <c r="C17" s="749"/>
      <c r="D17" s="746"/>
      <c r="E17" s="734"/>
      <c r="F17" s="734"/>
      <c r="G17" s="734"/>
      <c r="H17" s="734"/>
      <c r="I17" s="44">
        <f t="shared" si="3"/>
        <v>0</v>
      </c>
      <c r="J17" s="124" t="str">
        <f t="shared" si="1"/>
        <v/>
      </c>
      <c r="K17" s="736"/>
    </row>
    <row r="18" spans="1:11" ht="12.75" customHeight="1" x14ac:dyDescent="0.25">
      <c r="A18" s="106" t="s">
        <v>630</v>
      </c>
      <c r="B18" s="169"/>
      <c r="C18" s="516">
        <f t="shared" ref="C18" si="7">SUM(C20:C27)</f>
        <v>0</v>
      </c>
      <c r="D18" s="475">
        <f>SUM(D19:D27)</f>
        <v>58345846.450000115</v>
      </c>
      <c r="E18" s="430">
        <f>SUM(E19:E27)</f>
        <v>84284884</v>
      </c>
      <c r="F18" s="430">
        <f t="shared" ref="F18:K18" si="8">SUM(F19:F27)</f>
        <v>1192000</v>
      </c>
      <c r="G18" s="430">
        <f t="shared" si="8"/>
        <v>97420811.449999988</v>
      </c>
      <c r="H18" s="430">
        <f t="shared" si="8"/>
        <v>77261143.666666657</v>
      </c>
      <c r="I18" s="430">
        <f t="shared" si="8"/>
        <v>27178655.03333332</v>
      </c>
      <c r="J18" s="554" t="e">
        <f t="shared" si="8"/>
        <v>#DIV/0!</v>
      </c>
      <c r="K18" s="513">
        <f t="shared" si="8"/>
        <v>84284884</v>
      </c>
    </row>
    <row r="19" spans="1:11" ht="12.75" customHeight="1" x14ac:dyDescent="0.25">
      <c r="A19" s="779" t="s">
        <v>630</v>
      </c>
      <c r="B19" s="169"/>
      <c r="C19" s="780"/>
      <c r="D19" s="781"/>
      <c r="E19" s="735">
        <v>6760234</v>
      </c>
      <c r="F19" s="735"/>
      <c r="G19" s="735"/>
      <c r="H19" s="735">
        <f t="shared" ref="H19" si="9">E19/12*11</f>
        <v>6196881.166666667</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c r="G22" s="734">
        <v>75713811.449999988</v>
      </c>
      <c r="H22" s="734">
        <f t="shared" ref="H22:H23" si="10">E22/12*11</f>
        <v>60538361.583333336</v>
      </c>
      <c r="I22" s="44">
        <f t="shared" ref="I22:I31" si="11">G22-H22</f>
        <v>15175449.866666652</v>
      </c>
      <c r="J22" s="124">
        <f t="shared" si="1"/>
        <v>0.25067493519422512</v>
      </c>
      <c r="K22" s="736">
        <f>E22</f>
        <v>66041849</v>
      </c>
    </row>
    <row r="23" spans="1:11" ht="12.75" customHeight="1" x14ac:dyDescent="0.25">
      <c r="A23" s="779" t="s">
        <v>1446</v>
      </c>
      <c r="B23" s="169">
        <v>4</v>
      </c>
      <c r="C23" s="749"/>
      <c r="D23" s="746">
        <v>10061000</v>
      </c>
      <c r="E23" s="734">
        <v>10061000</v>
      </c>
      <c r="F23" s="734"/>
      <c r="G23" s="734">
        <v>20052000</v>
      </c>
      <c r="H23" s="734">
        <f t="shared" si="10"/>
        <v>9222583.3333333321</v>
      </c>
      <c r="I23" s="44">
        <f t="shared" si="11"/>
        <v>10829416.666666668</v>
      </c>
      <c r="J23" s="124">
        <f t="shared" si="1"/>
        <v>1.1742281175737097</v>
      </c>
      <c r="K23" s="736">
        <f>E23</f>
        <v>10061000</v>
      </c>
    </row>
    <row r="24" spans="1:11" ht="12.75" customHeight="1" x14ac:dyDescent="0.25">
      <c r="A24" s="779" t="s">
        <v>1447</v>
      </c>
      <c r="B24" s="169"/>
      <c r="C24" s="749"/>
      <c r="D24" s="746"/>
      <c r="E24" s="734"/>
      <c r="F24" s="734"/>
      <c r="G24" s="734"/>
      <c r="H24" s="734"/>
      <c r="I24" s="44">
        <f t="shared" si="11"/>
        <v>0</v>
      </c>
      <c r="J24" s="124" t="str">
        <f>IF(I24=0,"",I24/H24)</f>
        <v/>
      </c>
      <c r="K24" s="736"/>
    </row>
    <row r="25" spans="1:11" ht="12.75" customHeight="1" x14ac:dyDescent="0.25">
      <c r="A25" s="779" t="s">
        <v>1448</v>
      </c>
      <c r="B25" s="169"/>
      <c r="C25" s="749"/>
      <c r="D25" s="746">
        <v>463000</v>
      </c>
      <c r="E25" s="734">
        <v>524958</v>
      </c>
      <c r="F25" s="734"/>
      <c r="G25" s="734">
        <v>463000</v>
      </c>
      <c r="H25" s="734">
        <f t="shared" ref="H25:H27" si="12">E25/12*11</f>
        <v>481211.5</v>
      </c>
      <c r="I25" s="44">
        <f t="shared" si="11"/>
        <v>-18211.5</v>
      </c>
      <c r="J25" s="124">
        <f>IF(I25=0,"",I25/H25)</f>
        <v>-3.7845105530520361E-2</v>
      </c>
      <c r="K25" s="736">
        <f>E25</f>
        <v>524958</v>
      </c>
    </row>
    <row r="26" spans="1:11" ht="12.75" customHeight="1" x14ac:dyDescent="0.25">
      <c r="A26" s="779" t="s">
        <v>1449</v>
      </c>
      <c r="B26" s="169"/>
      <c r="C26" s="749"/>
      <c r="D26" s="746">
        <v>21453229</v>
      </c>
      <c r="E26" s="734">
        <v>896843</v>
      </c>
      <c r="F26" s="734"/>
      <c r="G26" s="734"/>
      <c r="H26" s="734">
        <f t="shared" si="12"/>
        <v>822106.08333333337</v>
      </c>
      <c r="I26" s="44"/>
      <c r="J26" s="124"/>
      <c r="K26" s="736">
        <f>E26</f>
        <v>896843</v>
      </c>
    </row>
    <row r="27" spans="1:11" ht="12.75" customHeight="1" x14ac:dyDescent="0.25">
      <c r="A27" s="779" t="s">
        <v>1483</v>
      </c>
      <c r="B27" s="169"/>
      <c r="C27" s="749"/>
      <c r="D27" s="746"/>
      <c r="E27" s="734"/>
      <c r="F27" s="734">
        <v>1192000</v>
      </c>
      <c r="G27" s="734">
        <v>1192000</v>
      </c>
      <c r="H27" s="734">
        <f t="shared" si="12"/>
        <v>0</v>
      </c>
      <c r="I27" s="44">
        <f t="shared" si="11"/>
        <v>1192000</v>
      </c>
      <c r="J27" s="124" t="e">
        <f t="shared" si="1"/>
        <v>#DIV/0!</v>
      </c>
      <c r="K27" s="736"/>
    </row>
    <row r="28" spans="1:11" ht="12.75" customHeight="1" x14ac:dyDescent="0.25">
      <c r="A28" s="106" t="s">
        <v>526</v>
      </c>
      <c r="B28" s="169"/>
      <c r="C28" s="516">
        <f t="shared" ref="C28:H28" si="13">SUM(C29:C29)</f>
        <v>0</v>
      </c>
      <c r="D28" s="475">
        <f t="shared" si="13"/>
        <v>0</v>
      </c>
      <c r="E28" s="430">
        <f t="shared" si="13"/>
        <v>0</v>
      </c>
      <c r="F28" s="430">
        <f t="shared" si="13"/>
        <v>0</v>
      </c>
      <c r="G28" s="430">
        <f t="shared" si="13"/>
        <v>0</v>
      </c>
      <c r="H28" s="430">
        <f t="shared" si="13"/>
        <v>0</v>
      </c>
      <c r="I28" s="514">
        <f t="shared" si="11"/>
        <v>0</v>
      </c>
      <c r="J28" s="553" t="str">
        <f t="shared" si="1"/>
        <v/>
      </c>
      <c r="K28" s="513">
        <f>SUM(K29:K29)</f>
        <v>0</v>
      </c>
    </row>
    <row r="29" spans="1:11" ht="12.75" customHeight="1" x14ac:dyDescent="0.25">
      <c r="A29" s="782"/>
      <c r="B29" s="169"/>
      <c r="C29" s="784"/>
      <c r="D29" s="785"/>
      <c r="E29" s="738"/>
      <c r="F29" s="738"/>
      <c r="G29" s="738"/>
      <c r="H29" s="738"/>
      <c r="I29" s="514">
        <f t="shared" si="11"/>
        <v>0</v>
      </c>
      <c r="J29" s="553" t="str">
        <f t="shared" si="1"/>
        <v/>
      </c>
      <c r="K29" s="739"/>
    </row>
    <row r="30" spans="1:11" ht="12.75" customHeight="1" x14ac:dyDescent="0.25">
      <c r="A30" s="106" t="s">
        <v>827</v>
      </c>
      <c r="B30" s="169"/>
      <c r="C30" s="516">
        <f t="shared" ref="C30:H30" si="14">SUM(C31:C31)</f>
        <v>0</v>
      </c>
      <c r="D30" s="475">
        <f t="shared" si="14"/>
        <v>0</v>
      </c>
      <c r="E30" s="430">
        <f t="shared" si="14"/>
        <v>0</v>
      </c>
      <c r="F30" s="430">
        <f t="shared" si="14"/>
        <v>0</v>
      </c>
      <c r="G30" s="430">
        <f t="shared" si="14"/>
        <v>0</v>
      </c>
      <c r="H30" s="430">
        <f t="shared" si="14"/>
        <v>0</v>
      </c>
      <c r="I30" s="514">
        <f t="shared" si="11"/>
        <v>0</v>
      </c>
      <c r="J30" s="553" t="str">
        <f t="shared" si="1"/>
        <v/>
      </c>
      <c r="K30" s="513">
        <f>SUM(K31:K31)</f>
        <v>0</v>
      </c>
    </row>
    <row r="31" spans="1:11" ht="12.75" customHeight="1" x14ac:dyDescent="0.25">
      <c r="A31" s="782"/>
      <c r="B31" s="169"/>
      <c r="C31" s="784"/>
      <c r="D31" s="785"/>
      <c r="E31" s="738"/>
      <c r="F31" s="738"/>
      <c r="G31" s="738"/>
      <c r="H31" s="738"/>
      <c r="I31" s="514">
        <f t="shared" si="11"/>
        <v>0</v>
      </c>
      <c r="J31" s="553" t="str">
        <f t="shared" si="1"/>
        <v/>
      </c>
      <c r="K31" s="739"/>
    </row>
    <row r="32" spans="1:11" ht="12.75" customHeight="1" x14ac:dyDescent="0.25">
      <c r="A32" s="559" t="s">
        <v>62</v>
      </c>
      <c r="B32" s="233">
        <v>5</v>
      </c>
      <c r="C32" s="243">
        <f t="shared" ref="C32:I32" si="15">C8+C18+C28+C30</f>
        <v>0</v>
      </c>
      <c r="D32" s="74">
        <f t="shared" si="15"/>
        <v>672127446.45000017</v>
      </c>
      <c r="E32" s="73">
        <f t="shared" si="15"/>
        <v>693974406</v>
      </c>
      <c r="F32" s="73">
        <f t="shared" si="15"/>
        <v>1192000</v>
      </c>
      <c r="G32" s="73">
        <f t="shared" si="15"/>
        <v>782968411.45000005</v>
      </c>
      <c r="H32" s="73">
        <f t="shared" si="15"/>
        <v>636143205.5</v>
      </c>
      <c r="I32" s="73">
        <f t="shared" si="15"/>
        <v>153844193.19999999</v>
      </c>
      <c r="J32" s="304">
        <f t="shared" si="1"/>
        <v>0.24183893165860432</v>
      </c>
      <c r="K32" s="145">
        <f>K8+K18+K28+K30</f>
        <v>693974406</v>
      </c>
    </row>
    <row r="33" spans="1:11" ht="5.0999999999999996" customHeight="1" x14ac:dyDescent="0.25">
      <c r="A33" s="42"/>
      <c r="B33" s="169"/>
      <c r="C33" s="134"/>
      <c r="D33" s="46"/>
      <c r="E33" s="44"/>
      <c r="F33" s="44"/>
      <c r="G33" s="44"/>
      <c r="H33" s="44"/>
      <c r="I33" s="44"/>
      <c r="J33" s="124"/>
      <c r="K33" s="144"/>
    </row>
    <row r="34" spans="1:11" ht="12.75" customHeight="1" x14ac:dyDescent="0.25">
      <c r="A34" s="550" t="s">
        <v>63</v>
      </c>
      <c r="B34" s="169"/>
      <c r="C34" s="134"/>
      <c r="D34" s="46"/>
      <c r="E34" s="44"/>
      <c r="F34" s="44"/>
      <c r="G34" s="44"/>
      <c r="H34" s="44"/>
      <c r="I34" s="44"/>
      <c r="J34" s="124"/>
      <c r="K34" s="144"/>
    </row>
    <row r="35" spans="1:11" ht="18" customHeight="1" x14ac:dyDescent="0.25">
      <c r="A35" s="106" t="str">
        <f>A8</f>
        <v>National Government:</v>
      </c>
      <c r="B35" s="169"/>
      <c r="C35" s="134">
        <f t="shared" ref="C35:I35" si="16">SUM(C36:C43)</f>
        <v>0</v>
      </c>
      <c r="D35" s="46">
        <f t="shared" si="16"/>
        <v>429351400</v>
      </c>
      <c r="E35" s="44">
        <f t="shared" si="16"/>
        <v>393443478</v>
      </c>
      <c r="F35" s="44">
        <f t="shared" si="16"/>
        <v>0</v>
      </c>
      <c r="G35" s="44">
        <f t="shared" si="16"/>
        <v>195764400</v>
      </c>
      <c r="H35" s="44">
        <f t="shared" si="16"/>
        <v>360656521.49999994</v>
      </c>
      <c r="I35" s="44">
        <f t="shared" si="16"/>
        <v>-164892121.49999997</v>
      </c>
      <c r="J35" s="343">
        <f t="shared" ref="J35:J58" si="17">IF(I35=0,"",I35/H35)</f>
        <v>-0.45719988873125089</v>
      </c>
      <c r="K35" s="144">
        <f>SUM(K36:K43)</f>
        <v>393443478</v>
      </c>
    </row>
    <row r="36" spans="1:11" ht="12.75" customHeight="1" x14ac:dyDescent="0.25">
      <c r="A36" s="779" t="s">
        <v>1450</v>
      </c>
      <c r="B36" s="169"/>
      <c r="C36" s="780"/>
      <c r="D36" s="781">
        <v>179516000</v>
      </c>
      <c r="E36" s="735">
        <v>183608078</v>
      </c>
      <c r="F36" s="735"/>
      <c r="G36" s="735">
        <v>177764400</v>
      </c>
      <c r="H36" s="735">
        <f t="shared" ref="H36:H38" si="18">E36/12*11</f>
        <v>168307404.83333331</v>
      </c>
      <c r="I36" s="514">
        <f t="shared" ref="I36:I43" si="19">G36-H36</f>
        <v>9456995.1666666865</v>
      </c>
      <c r="J36" s="553">
        <f t="shared" si="17"/>
        <v>5.6188824110451299E-2</v>
      </c>
      <c r="K36" s="737">
        <f>E36</f>
        <v>183608078</v>
      </c>
    </row>
    <row r="37" spans="1:11" ht="12.75" customHeight="1" x14ac:dyDescent="0.25">
      <c r="A37" s="779" t="s">
        <v>1451</v>
      </c>
      <c r="B37" s="169"/>
      <c r="C37" s="749"/>
      <c r="D37" s="746">
        <v>150835400</v>
      </c>
      <c r="E37" s="734">
        <v>150835400</v>
      </c>
      <c r="F37" s="734"/>
      <c r="G37" s="734"/>
      <c r="H37" s="734">
        <f t="shared" si="18"/>
        <v>138265783.33333331</v>
      </c>
      <c r="I37" s="44">
        <f t="shared" si="19"/>
        <v>-138265783.33333331</v>
      </c>
      <c r="J37" s="124">
        <f t="shared" si="17"/>
        <v>-1</v>
      </c>
      <c r="K37" s="736">
        <f>E37</f>
        <v>150835400</v>
      </c>
    </row>
    <row r="38" spans="1:11" ht="12.75" customHeight="1" x14ac:dyDescent="0.25">
      <c r="A38" s="779" t="s">
        <v>1014</v>
      </c>
      <c r="B38" s="169"/>
      <c r="C38" s="749"/>
      <c r="D38" s="746">
        <v>50000000</v>
      </c>
      <c r="E38" s="734">
        <v>10000000</v>
      </c>
      <c r="F38" s="734"/>
      <c r="G38" s="734">
        <v>10000000</v>
      </c>
      <c r="H38" s="734">
        <f t="shared" si="18"/>
        <v>9166666.6666666679</v>
      </c>
      <c r="I38" s="44">
        <f t="shared" si="19"/>
        <v>833333.33333333209</v>
      </c>
      <c r="J38" s="124">
        <f t="shared" si="17"/>
        <v>9.0909090909090759E-2</v>
      </c>
      <c r="K38" s="736">
        <f>E38</f>
        <v>10000000</v>
      </c>
    </row>
    <row r="39" spans="1:11" ht="12.75" customHeight="1" x14ac:dyDescent="0.25">
      <c r="A39" s="779" t="s">
        <v>1452</v>
      </c>
      <c r="B39" s="169"/>
      <c r="C39" s="749"/>
      <c r="D39" s="746"/>
      <c r="E39" s="734"/>
      <c r="F39" s="734"/>
      <c r="G39" s="734"/>
      <c r="H39" s="734"/>
      <c r="I39" s="44">
        <f t="shared" si="19"/>
        <v>0</v>
      </c>
      <c r="J39" s="124" t="str">
        <f t="shared" si="17"/>
        <v/>
      </c>
      <c r="K39" s="736"/>
    </row>
    <row r="40" spans="1:11" ht="12.75" customHeight="1" x14ac:dyDescent="0.25">
      <c r="A40" s="779" t="s">
        <v>1453</v>
      </c>
      <c r="B40" s="169"/>
      <c r="C40" s="749"/>
      <c r="D40" s="746"/>
      <c r="E40" s="734"/>
      <c r="F40" s="734"/>
      <c r="G40" s="734"/>
      <c r="H40" s="734"/>
      <c r="I40" s="44">
        <f t="shared" si="19"/>
        <v>0</v>
      </c>
      <c r="J40" s="124" t="str">
        <f t="shared" si="17"/>
        <v/>
      </c>
      <c r="K40" s="736"/>
    </row>
    <row r="41" spans="1:11" ht="12.75" customHeight="1" x14ac:dyDescent="0.25">
      <c r="A41" s="779" t="s">
        <v>573</v>
      </c>
      <c r="B41" s="169"/>
      <c r="C41" s="749"/>
      <c r="D41" s="746"/>
      <c r="E41" s="734"/>
      <c r="F41" s="734"/>
      <c r="G41" s="734"/>
      <c r="H41" s="734"/>
      <c r="I41" s="44">
        <f t="shared" si="19"/>
        <v>0</v>
      </c>
      <c r="J41" s="124" t="str">
        <f t="shared" si="17"/>
        <v/>
      </c>
      <c r="K41" s="736"/>
    </row>
    <row r="42" spans="1:11" ht="12.75" customHeight="1" x14ac:dyDescent="0.25">
      <c r="A42" s="779" t="s">
        <v>1454</v>
      </c>
      <c r="B42" s="169"/>
      <c r="C42" s="749"/>
      <c r="D42" s="746">
        <v>41000000</v>
      </c>
      <c r="E42" s="734">
        <v>41000000</v>
      </c>
      <c r="F42" s="734"/>
      <c r="G42" s="734"/>
      <c r="H42" s="734">
        <f t="shared" ref="H42:H43" si="20">E42/12*11</f>
        <v>37583333.333333328</v>
      </c>
      <c r="I42" s="44">
        <f t="shared" si="19"/>
        <v>-37583333.333333328</v>
      </c>
      <c r="J42" s="124">
        <f t="shared" si="17"/>
        <v>-1</v>
      </c>
      <c r="K42" s="736">
        <f>E42</f>
        <v>41000000</v>
      </c>
    </row>
    <row r="43" spans="1:11" ht="12.75" customHeight="1" x14ac:dyDescent="0.25">
      <c r="A43" s="779" t="s">
        <v>1455</v>
      </c>
      <c r="B43" s="169"/>
      <c r="C43" s="749"/>
      <c r="D43" s="746">
        <v>8000000</v>
      </c>
      <c r="E43" s="734">
        <v>8000000</v>
      </c>
      <c r="F43" s="734"/>
      <c r="G43" s="734">
        <v>8000000</v>
      </c>
      <c r="H43" s="734">
        <f t="shared" si="20"/>
        <v>7333333.333333333</v>
      </c>
      <c r="I43" s="44">
        <f t="shared" si="19"/>
        <v>666666.66666666698</v>
      </c>
      <c r="J43" s="124">
        <f t="shared" si="17"/>
        <v>9.0909090909090953E-2</v>
      </c>
      <c r="K43" s="736">
        <f>E43</f>
        <v>8000000</v>
      </c>
    </row>
    <row r="44" spans="1:11" ht="12.75" customHeight="1" x14ac:dyDescent="0.25">
      <c r="A44" s="342" t="str">
        <f>A18</f>
        <v>Provincial Government:</v>
      </c>
      <c r="B44" s="169"/>
      <c r="C44" s="516">
        <f t="shared" ref="C44:H44" si="21">SUM(C45:C51)</f>
        <v>0</v>
      </c>
      <c r="D44" s="475">
        <f t="shared" si="21"/>
        <v>9991000</v>
      </c>
      <c r="E44" s="430">
        <f t="shared" si="21"/>
        <v>273968716</v>
      </c>
      <c r="F44" s="430">
        <f t="shared" si="21"/>
        <v>0</v>
      </c>
      <c r="G44" s="430">
        <f t="shared" si="21"/>
        <v>25500000</v>
      </c>
      <c r="H44" s="430">
        <f t="shared" si="21"/>
        <v>251137989.66666666</v>
      </c>
      <c r="I44" s="514">
        <f t="shared" ref="I44:I55" si="22">G44-H44</f>
        <v>-225637989.66666666</v>
      </c>
      <c r="J44" s="553">
        <f>IF(I44=0,"",I44/H44)</f>
        <v>-0.89846219588742449</v>
      </c>
      <c r="K44" s="513">
        <f>SUM(K45:K51)</f>
        <v>273968716</v>
      </c>
    </row>
    <row r="45" spans="1:11" ht="12.75" customHeight="1" x14ac:dyDescent="0.25">
      <c r="A45" s="782" t="s">
        <v>1456</v>
      </c>
      <c r="B45" s="169"/>
      <c r="C45" s="784"/>
      <c r="D45" s="785"/>
      <c r="E45" s="738"/>
      <c r="F45" s="738"/>
      <c r="G45" s="738"/>
      <c r="H45" s="738"/>
      <c r="I45" s="514">
        <f t="shared" si="22"/>
        <v>0</v>
      </c>
      <c r="J45" s="553" t="str">
        <f t="shared" ref="J45:J51" si="23">IF(I45=0,"",I45/H45)</f>
        <v/>
      </c>
      <c r="K45" s="739"/>
    </row>
    <row r="46" spans="1:11" ht="12.75" customHeight="1" x14ac:dyDescent="0.25">
      <c r="A46" s="786" t="s">
        <v>780</v>
      </c>
      <c r="B46" s="169"/>
      <c r="C46" s="787"/>
      <c r="D46" s="788"/>
      <c r="E46" s="789"/>
      <c r="F46" s="789"/>
      <c r="G46" s="789"/>
      <c r="H46" s="789"/>
      <c r="I46" s="44">
        <f t="shared" si="22"/>
        <v>0</v>
      </c>
      <c r="J46" s="124" t="str">
        <f t="shared" si="23"/>
        <v/>
      </c>
      <c r="K46" s="790"/>
    </row>
    <row r="47" spans="1:11" ht="12.75" customHeight="1" x14ac:dyDescent="0.25">
      <c r="A47" s="786" t="s">
        <v>1457</v>
      </c>
      <c r="B47" s="169"/>
      <c r="C47" s="787"/>
      <c r="D47" s="788"/>
      <c r="E47" s="789"/>
      <c r="F47" s="789"/>
      <c r="G47" s="789"/>
      <c r="H47" s="789"/>
      <c r="I47" s="44">
        <f t="shared" si="22"/>
        <v>0</v>
      </c>
      <c r="J47" s="124" t="str">
        <f t="shared" si="23"/>
        <v/>
      </c>
      <c r="K47" s="790"/>
    </row>
    <row r="48" spans="1:11" ht="12.75" customHeight="1" x14ac:dyDescent="0.25">
      <c r="A48" s="786" t="s">
        <v>1448</v>
      </c>
      <c r="B48" s="169"/>
      <c r="C48" s="787"/>
      <c r="D48" s="788">
        <v>9991000</v>
      </c>
      <c r="E48" s="789">
        <v>16302519</v>
      </c>
      <c r="F48" s="789"/>
      <c r="G48" s="789"/>
      <c r="H48" s="789">
        <f t="shared" ref="H48:H51" si="24">E48/12*11</f>
        <v>14943975.75</v>
      </c>
      <c r="I48" s="44">
        <f t="shared" si="22"/>
        <v>-14943975.75</v>
      </c>
      <c r="J48" s="124">
        <f t="shared" si="23"/>
        <v>-1</v>
      </c>
      <c r="K48" s="790">
        <f>E48</f>
        <v>16302519</v>
      </c>
    </row>
    <row r="49" spans="1:11" ht="12.75" customHeight="1" x14ac:dyDescent="0.25">
      <c r="A49" s="786" t="s">
        <v>1449</v>
      </c>
      <c r="B49" s="169"/>
      <c r="C49" s="787"/>
      <c r="D49" s="788"/>
      <c r="E49" s="789">
        <v>10428861</v>
      </c>
      <c r="F49" s="789"/>
      <c r="G49" s="789"/>
      <c r="H49" s="789">
        <f t="shared" si="24"/>
        <v>9559789.25</v>
      </c>
      <c r="I49" s="44">
        <f t="shared" si="22"/>
        <v>-9559789.25</v>
      </c>
      <c r="J49" s="124">
        <f t="shared" si="23"/>
        <v>-1</v>
      </c>
      <c r="K49" s="790">
        <f t="shared" ref="K49:K51" si="25">E49</f>
        <v>10428861</v>
      </c>
    </row>
    <row r="50" spans="1:11" ht="12.75" customHeight="1" x14ac:dyDescent="0.25">
      <c r="A50" s="786" t="s">
        <v>1458</v>
      </c>
      <c r="B50" s="169"/>
      <c r="C50" s="787"/>
      <c r="D50" s="788"/>
      <c r="E50" s="789">
        <v>228237336</v>
      </c>
      <c r="F50" s="789"/>
      <c r="G50" s="789">
        <v>25500000</v>
      </c>
      <c r="H50" s="789">
        <f t="shared" si="24"/>
        <v>209217558</v>
      </c>
      <c r="I50" s="44"/>
      <c r="J50" s="124"/>
      <c r="K50" s="790">
        <f t="shared" si="25"/>
        <v>228237336</v>
      </c>
    </row>
    <row r="51" spans="1:11" ht="12.75" customHeight="1" x14ac:dyDescent="0.25">
      <c r="A51" s="982" t="s">
        <v>630</v>
      </c>
      <c r="B51" s="169"/>
      <c r="C51" s="749"/>
      <c r="D51" s="746"/>
      <c r="E51" s="734">
        <v>19000000</v>
      </c>
      <c r="F51" s="734"/>
      <c r="G51" s="734"/>
      <c r="H51" s="734">
        <f t="shared" si="24"/>
        <v>17416666.666666664</v>
      </c>
      <c r="I51" s="44">
        <f t="shared" si="22"/>
        <v>-17416666.666666664</v>
      </c>
      <c r="J51" s="124">
        <f t="shared" si="23"/>
        <v>-1</v>
      </c>
      <c r="K51" s="736">
        <f t="shared" si="25"/>
        <v>19000000</v>
      </c>
    </row>
    <row r="52" spans="1:11" ht="12.75" customHeight="1" x14ac:dyDescent="0.25">
      <c r="A52" s="106" t="str">
        <f>A28</f>
        <v>District Municipality:</v>
      </c>
      <c r="B52" s="169"/>
      <c r="C52" s="516">
        <f t="shared" ref="C52:H52" si="26">SUM(C53:C53)</f>
        <v>0</v>
      </c>
      <c r="D52" s="475">
        <f t="shared" si="26"/>
        <v>0</v>
      </c>
      <c r="E52" s="430">
        <f t="shared" si="26"/>
        <v>0</v>
      </c>
      <c r="F52" s="430">
        <f t="shared" si="26"/>
        <v>0</v>
      </c>
      <c r="G52" s="430">
        <f t="shared" si="26"/>
        <v>0</v>
      </c>
      <c r="H52" s="430">
        <f t="shared" si="26"/>
        <v>0</v>
      </c>
      <c r="I52" s="514">
        <f t="shared" si="22"/>
        <v>0</v>
      </c>
      <c r="J52" s="553" t="str">
        <f t="shared" si="17"/>
        <v/>
      </c>
      <c r="K52" s="513">
        <f>SUM(K53:K53)</f>
        <v>0</v>
      </c>
    </row>
    <row r="53" spans="1:11" ht="12.75" customHeight="1" x14ac:dyDescent="0.25">
      <c r="A53" s="783"/>
      <c r="B53" s="169"/>
      <c r="C53" s="749"/>
      <c r="D53" s="746"/>
      <c r="E53" s="734"/>
      <c r="F53" s="734"/>
      <c r="G53" s="734"/>
      <c r="H53" s="734"/>
      <c r="I53" s="44">
        <f t="shared" si="22"/>
        <v>0</v>
      </c>
      <c r="J53" s="124" t="str">
        <f t="shared" si="17"/>
        <v/>
      </c>
      <c r="K53" s="736"/>
    </row>
    <row r="54" spans="1:11" ht="12.75" customHeight="1" x14ac:dyDescent="0.25">
      <c r="A54" s="106" t="str">
        <f>A30</f>
        <v>Other grant providers:</v>
      </c>
      <c r="B54" s="169"/>
      <c r="C54" s="516">
        <f t="shared" ref="C54:H54" si="27">SUM(C55:C55)</f>
        <v>0</v>
      </c>
      <c r="D54" s="475">
        <f t="shared" si="27"/>
        <v>0</v>
      </c>
      <c r="E54" s="430">
        <f t="shared" si="27"/>
        <v>0</v>
      </c>
      <c r="F54" s="430">
        <f t="shared" si="27"/>
        <v>0</v>
      </c>
      <c r="G54" s="430">
        <f t="shared" si="27"/>
        <v>0</v>
      </c>
      <c r="H54" s="430">
        <f t="shared" si="27"/>
        <v>0</v>
      </c>
      <c r="I54" s="514">
        <f t="shared" si="22"/>
        <v>0</v>
      </c>
      <c r="J54" s="553" t="str">
        <f t="shared" si="17"/>
        <v/>
      </c>
      <c r="K54" s="513">
        <f>SUM(K55:K55)</f>
        <v>0</v>
      </c>
    </row>
    <row r="55" spans="1:11" ht="12.75" customHeight="1" x14ac:dyDescent="0.25">
      <c r="A55" s="782"/>
      <c r="B55" s="169"/>
      <c r="C55" s="784"/>
      <c r="D55" s="785"/>
      <c r="E55" s="738"/>
      <c r="F55" s="738"/>
      <c r="G55" s="738"/>
      <c r="H55" s="738"/>
      <c r="I55" s="514">
        <f t="shared" si="22"/>
        <v>0</v>
      </c>
      <c r="J55" s="553" t="str">
        <f t="shared" si="17"/>
        <v/>
      </c>
      <c r="K55" s="739"/>
    </row>
    <row r="56" spans="1:11" ht="12.75" customHeight="1" x14ac:dyDescent="0.25">
      <c r="A56" s="558" t="s">
        <v>64</v>
      </c>
      <c r="B56" s="309">
        <v>5</v>
      </c>
      <c r="C56" s="516">
        <f t="shared" ref="C56:I56" si="28">C35+C44+C52+C54</f>
        <v>0</v>
      </c>
      <c r="D56" s="475">
        <f t="shared" si="28"/>
        <v>439342400</v>
      </c>
      <c r="E56" s="430">
        <f t="shared" si="28"/>
        <v>667412194</v>
      </c>
      <c r="F56" s="430">
        <f t="shared" si="28"/>
        <v>0</v>
      </c>
      <c r="G56" s="430">
        <f t="shared" si="28"/>
        <v>221264400</v>
      </c>
      <c r="H56" s="430">
        <f t="shared" si="28"/>
        <v>611794511.16666663</v>
      </c>
      <c r="I56" s="430">
        <f t="shared" si="28"/>
        <v>-390530111.16666663</v>
      </c>
      <c r="J56" s="554">
        <f t="shared" si="17"/>
        <v>-0.63833542805400789</v>
      </c>
      <c r="K56" s="513">
        <f>K35+K44+K52+K54</f>
        <v>667412194</v>
      </c>
    </row>
    <row r="57" spans="1:11" ht="5.0999999999999996" customHeight="1" x14ac:dyDescent="0.25">
      <c r="A57" s="555"/>
      <c r="B57" s="248"/>
      <c r="C57" s="249"/>
      <c r="D57" s="556"/>
      <c r="E57" s="99"/>
      <c r="F57" s="99"/>
      <c r="G57" s="99"/>
      <c r="H57" s="99"/>
      <c r="I57" s="99"/>
      <c r="J57" s="324"/>
      <c r="K57" s="195"/>
    </row>
    <row r="58" spans="1:11" ht="12.75" customHeight="1" x14ac:dyDescent="0.25">
      <c r="A58" s="557" t="s">
        <v>65</v>
      </c>
      <c r="B58" s="236">
        <v>5</v>
      </c>
      <c r="C58" s="160">
        <f t="shared" ref="C58:I58" si="29">C32+C56</f>
        <v>0</v>
      </c>
      <c r="D58" s="305">
        <f t="shared" si="29"/>
        <v>1111469846.4500003</v>
      </c>
      <c r="E58" s="306">
        <f t="shared" si="29"/>
        <v>1361386600</v>
      </c>
      <c r="F58" s="306">
        <f t="shared" si="29"/>
        <v>1192000</v>
      </c>
      <c r="G58" s="306">
        <f t="shared" si="29"/>
        <v>1004232811.45</v>
      </c>
      <c r="H58" s="306">
        <f t="shared" si="29"/>
        <v>1247937716.6666665</v>
      </c>
      <c r="I58" s="306">
        <f t="shared" si="29"/>
        <v>-236685917.96666664</v>
      </c>
      <c r="J58" s="307">
        <f t="shared" si="17"/>
        <v>-0.18966164320994491</v>
      </c>
      <c r="K58" s="308">
        <f>K32+K56</f>
        <v>1361386600</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t="s">
        <v>984</v>
      </c>
      <c r="B60" s="58"/>
      <c r="C60" s="62"/>
      <c r="D60" s="62"/>
      <c r="E60" s="62"/>
      <c r="F60" s="62"/>
      <c r="G60" s="62"/>
      <c r="H60" s="62"/>
      <c r="I60" s="62"/>
      <c r="J60" s="62"/>
      <c r="K60" s="62"/>
    </row>
    <row r="61" spans="1:11" ht="12.75" customHeight="1" x14ac:dyDescent="0.25">
      <c r="A61" s="80" t="s">
        <v>936</v>
      </c>
      <c r="B61" s="58"/>
      <c r="C61" s="62"/>
      <c r="D61" s="62"/>
      <c r="E61" s="62"/>
      <c r="F61" s="62"/>
      <c r="G61" s="62"/>
      <c r="H61" s="62"/>
      <c r="I61" s="62"/>
      <c r="J61" s="62"/>
      <c r="K61" s="62"/>
    </row>
    <row r="62" spans="1:11" ht="12.75" customHeight="1" x14ac:dyDescent="0.25">
      <c r="A62" s="80" t="s">
        <v>826</v>
      </c>
      <c r="B62" s="58"/>
      <c r="C62" s="62"/>
      <c r="D62" s="62"/>
      <c r="E62" s="62"/>
      <c r="F62" s="62"/>
      <c r="G62" s="62"/>
      <c r="H62" s="62"/>
      <c r="I62" s="62"/>
      <c r="J62" s="62"/>
      <c r="K62" s="62"/>
    </row>
    <row r="63" spans="1:11" ht="12.75" customHeight="1" x14ac:dyDescent="0.25">
      <c r="A63" s="60" t="s">
        <v>525</v>
      </c>
      <c r="B63" s="58"/>
      <c r="C63" s="62"/>
      <c r="D63" s="62"/>
      <c r="E63" s="62"/>
      <c r="F63" s="62"/>
      <c r="G63" s="62"/>
      <c r="H63" s="62"/>
      <c r="I63" s="62"/>
      <c r="J63" s="62"/>
      <c r="K63" s="62"/>
    </row>
    <row r="64" spans="1:11" ht="12.75" customHeight="1" x14ac:dyDescent="0.25">
      <c r="A64" s="22" t="s">
        <v>609</v>
      </c>
      <c r="B64" s="64"/>
      <c r="C64" s="84"/>
      <c r="D64" s="93"/>
      <c r="E64" s="84"/>
      <c r="F64" s="84"/>
      <c r="G64" s="84"/>
      <c r="H64" s="84"/>
      <c r="I64" s="84"/>
      <c r="J64" s="84"/>
      <c r="K64" s="84"/>
    </row>
    <row r="65" spans="1:1" ht="11.25" customHeight="1" x14ac:dyDescent="0.25">
      <c r="A65" s="183"/>
    </row>
    <row r="66" spans="1:1" ht="11.25" customHeight="1" x14ac:dyDescent="0.25"/>
    <row r="67" spans="1:1" ht="11.25" customHeight="1" x14ac:dyDescent="0.25"/>
    <row r="68" spans="1:1" ht="11.25" customHeight="1" x14ac:dyDescent="0.25"/>
    <row r="69" spans="1:1" ht="11.25" customHeight="1" x14ac:dyDescent="0.25"/>
    <row r="70" spans="1:1" ht="11.25" customHeight="1" x14ac:dyDescent="0.25"/>
    <row r="71" spans="1:1" ht="11.25" customHeight="1" x14ac:dyDescent="0.25"/>
    <row r="72" spans="1:1" ht="11.25" customHeight="1" x14ac:dyDescent="0.25"/>
    <row r="73" spans="1:1" ht="11.25" customHeight="1" x14ac:dyDescent="0.25"/>
    <row r="74" spans="1:1" ht="11.25" customHeight="1" x14ac:dyDescent="0.25"/>
    <row r="75" spans="1:1" ht="11.25" customHeight="1" x14ac:dyDescent="0.25"/>
    <row r="76" spans="1:1" ht="11.25" customHeight="1" x14ac:dyDescent="0.25"/>
    <row r="77" spans="1:1" ht="11.25" customHeight="1" x14ac:dyDescent="0.25"/>
    <row r="78" spans="1:1" ht="11.25" customHeight="1" x14ac:dyDescent="0.25"/>
    <row r="79" spans="1:1" ht="11.25" customHeight="1" x14ac:dyDescent="0.25"/>
    <row r="80" spans="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sheetData>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7">
      <formula1>ProvOpexGrantNames</formula1>
    </dataValidation>
    <dataValidation type="list" allowBlank="1" showInputMessage="1" showErrorMessage="1" sqref="A36:A43">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9"/>
  <sheetViews>
    <sheetView showGridLines="0" showZeros="0" zoomScaleNormal="100" workbookViewId="0">
      <pane xSplit="1" ySplit="4" topLeftCell="B32" activePane="bottomRight" state="frozen"/>
      <selection pane="topRight"/>
      <selection pane="bottomLeft"/>
      <selection pane="bottomRight" activeCell="G61" sqref="G61"/>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"&amp;S71M&amp; " - "&amp;Head57</f>
        <v>KZN225 Msunduzi - Supporting Table SC7(1) Monthly Budget Statement - transfers and grant expenditure  - M10 April</v>
      </c>
      <c r="B1" s="1038"/>
      <c r="C1" s="1038"/>
      <c r="D1" s="1038"/>
      <c r="E1" s="1038"/>
      <c r="F1" s="1038"/>
      <c r="G1" s="1038"/>
      <c r="H1" s="1038"/>
      <c r="I1" s="1038"/>
      <c r="J1" s="1038"/>
      <c r="K1" s="1038"/>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14308898.707999995</v>
      </c>
      <c r="G8" s="50">
        <f t="shared" si="0"/>
        <v>94439053.751999974</v>
      </c>
      <c r="H8" s="50">
        <f t="shared" si="0"/>
        <v>558882061.83333337</v>
      </c>
      <c r="I8" s="50">
        <f t="shared" si="0"/>
        <v>-464443008.08133334</v>
      </c>
      <c r="J8" s="343">
        <f t="shared" ref="J8:J32" si="1">IF(I8=0,"",I8/H8)</f>
        <v>-0.8310214977338759</v>
      </c>
      <c r="K8" s="194">
        <f>SUM(K9:K17)</f>
        <v>609689522</v>
      </c>
    </row>
    <row r="9" spans="1:11" x14ac:dyDescent="0.25">
      <c r="A9" s="396" t="str">
        <f>'SC6'!A9</f>
        <v>Local Government Equitable Share</v>
      </c>
      <c r="B9" s="169"/>
      <c r="C9" s="780"/>
      <c r="D9" s="781">
        <v>546052000</v>
      </c>
      <c r="E9" s="735">
        <v>546052000</v>
      </c>
      <c r="F9" s="735"/>
      <c r="G9" s="735"/>
      <c r="H9" s="734">
        <f t="shared" ref="H9:H10" si="2">E9/12*11</f>
        <v>500547666.66666669</v>
      </c>
      <c r="I9" s="514">
        <f>G9-H9</f>
        <v>-500547666.66666669</v>
      </c>
      <c r="J9" s="553">
        <f t="shared" si="1"/>
        <v>-1</v>
      </c>
      <c r="K9" s="737">
        <f>E9</f>
        <v>546052000</v>
      </c>
    </row>
    <row r="10" spans="1:11" ht="12.75" customHeight="1" x14ac:dyDescent="0.25">
      <c r="A10" s="396" t="str">
        <f>'SC6'!A10</f>
        <v xml:space="preserve">Finance Management </v>
      </c>
      <c r="B10" s="169"/>
      <c r="C10" s="749"/>
      <c r="D10" s="746">
        <v>1700000</v>
      </c>
      <c r="E10" s="734">
        <v>1700000</v>
      </c>
      <c r="F10" s="734">
        <v>205509.08000000007</v>
      </c>
      <c r="G10" s="734">
        <v>1194884.74</v>
      </c>
      <c r="H10" s="734">
        <f t="shared" si="2"/>
        <v>1558333.3333333333</v>
      </c>
      <c r="I10" s="514">
        <f t="shared" ref="I10:I17" si="3">G10-H10</f>
        <v>-363448.59333333327</v>
      </c>
      <c r="J10" s="553">
        <f t="shared" ref="J10:J17" si="4">IF(I10=0,"",I10/H10)</f>
        <v>-0.23322904385026735</v>
      </c>
      <c r="K10" s="736">
        <f>E10</f>
        <v>1700000</v>
      </c>
    </row>
    <row r="11" spans="1:11" ht="12.75" customHeight="1" x14ac:dyDescent="0.25">
      <c r="A11" s="396" t="str">
        <f>'SC6'!A11</f>
        <v>Municipal Systems Improvement</v>
      </c>
      <c r="B11" s="169"/>
      <c r="C11" s="749"/>
      <c r="D11" s="746"/>
      <c r="E11" s="734"/>
      <c r="F11" s="734"/>
      <c r="G11" s="734"/>
      <c r="H11" s="734"/>
      <c r="I11" s="514">
        <f t="shared" si="3"/>
        <v>0</v>
      </c>
      <c r="J11" s="553" t="str">
        <f t="shared" si="4"/>
        <v/>
      </c>
      <c r="K11" s="736"/>
    </row>
    <row r="12" spans="1:11" ht="12.75" customHeight="1" x14ac:dyDescent="0.25">
      <c r="A12" s="396" t="str">
        <f>'SC6'!A12</f>
        <v>EPWP Incentive</v>
      </c>
      <c r="B12" s="169"/>
      <c r="C12" s="749"/>
      <c r="D12" s="746">
        <v>4200000</v>
      </c>
      <c r="E12" s="734">
        <v>4200000</v>
      </c>
      <c r="F12" s="734"/>
      <c r="G12" s="734"/>
      <c r="H12" s="734">
        <f t="shared" ref="H12" si="5">E12/12*11</f>
        <v>3850000</v>
      </c>
      <c r="I12" s="514">
        <f t="shared" si="3"/>
        <v>-3850000</v>
      </c>
      <c r="J12" s="553">
        <f t="shared" si="4"/>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3"/>
        <v>0</v>
      </c>
      <c r="J13" s="553" t="str">
        <f t="shared" si="4"/>
        <v/>
      </c>
      <c r="K13" s="736"/>
    </row>
    <row r="14" spans="1:11" ht="12.75" customHeight="1" x14ac:dyDescent="0.25">
      <c r="A14" s="396" t="str">
        <f>'SC6'!A14</f>
        <v>Public Transport Infrastracture</v>
      </c>
      <c r="B14" s="169"/>
      <c r="C14" s="749"/>
      <c r="D14" s="746">
        <v>43829600</v>
      </c>
      <c r="E14" s="734">
        <v>43829600</v>
      </c>
      <c r="F14" s="734">
        <v>13174579.519999996</v>
      </c>
      <c r="G14" s="734">
        <v>81410431.049999982</v>
      </c>
      <c r="H14" s="734">
        <f t="shared" ref="H14" si="6">E14/12*11</f>
        <v>40177133.333333328</v>
      </c>
      <c r="I14" s="514">
        <f t="shared" si="3"/>
        <v>41233297.716666654</v>
      </c>
      <c r="J14" s="553">
        <f t="shared" si="4"/>
        <v>1.0262876988900815</v>
      </c>
      <c r="K14" s="736">
        <f>E14</f>
        <v>43829600</v>
      </c>
    </row>
    <row r="15" spans="1:11" ht="12.75" customHeight="1" x14ac:dyDescent="0.25">
      <c r="A15" s="396" t="str">
        <f>'SC6'!A15</f>
        <v>Energy Efficiency  and Demand Management</v>
      </c>
      <c r="B15" s="169"/>
      <c r="C15" s="749"/>
      <c r="D15" s="746"/>
      <c r="E15" s="734"/>
      <c r="F15" s="734"/>
      <c r="G15" s="734"/>
      <c r="H15" s="734"/>
      <c r="I15" s="514">
        <f t="shared" si="3"/>
        <v>0</v>
      </c>
      <c r="J15" s="553" t="str">
        <f t="shared" si="4"/>
        <v/>
      </c>
      <c r="K15" s="736"/>
    </row>
    <row r="16" spans="1:11" ht="12.75" customHeight="1" x14ac:dyDescent="0.25">
      <c r="A16" s="396" t="str">
        <f>'SC6'!A16</f>
        <v>Operating costs-MIG</v>
      </c>
      <c r="B16" s="169"/>
      <c r="C16" s="749"/>
      <c r="D16" s="746">
        <v>18000000</v>
      </c>
      <c r="E16" s="734">
        <v>13907922</v>
      </c>
      <c r="F16" s="734">
        <v>928810.10799999977</v>
      </c>
      <c r="G16" s="734">
        <v>11833737.962000001</v>
      </c>
      <c r="H16" s="734">
        <f t="shared" ref="H16" si="7">E16/12*11</f>
        <v>12748928.5</v>
      </c>
      <c r="I16" s="514">
        <f t="shared" si="3"/>
        <v>-915190.53799999878</v>
      </c>
      <c r="J16" s="553">
        <f t="shared" si="4"/>
        <v>-7.178568285169995E-2</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3"/>
        <v>0</v>
      </c>
      <c r="J17" s="553" t="str">
        <f t="shared" si="4"/>
        <v/>
      </c>
      <c r="K17" s="736"/>
    </row>
    <row r="18" spans="1:11" ht="12.75" customHeight="1" x14ac:dyDescent="0.25">
      <c r="A18" s="397" t="str">
        <f>'SC6'!A18</f>
        <v>Provincial Government:</v>
      </c>
      <c r="B18" s="169"/>
      <c r="C18" s="516">
        <f t="shared" ref="C18:I18" si="8">SUM(C20:C27)</f>
        <v>0</v>
      </c>
      <c r="D18" s="475">
        <f t="shared" si="8"/>
        <v>58345846.450000115</v>
      </c>
      <c r="E18" s="430">
        <f t="shared" si="8"/>
        <v>77524650</v>
      </c>
      <c r="F18" s="430">
        <f>SUM(F20:F27)</f>
        <v>2874864.4299999992</v>
      </c>
      <c r="G18" s="430">
        <f>SUM(G20:G27)</f>
        <v>71569763.5</v>
      </c>
      <c r="H18" s="430">
        <f t="shared" si="8"/>
        <v>71064262.5</v>
      </c>
      <c r="I18" s="430">
        <f t="shared" si="8"/>
        <v>1347785.7233333401</v>
      </c>
      <c r="J18" s="554">
        <f t="shared" si="1"/>
        <v>1.8965731521288075E-2</v>
      </c>
      <c r="K18" s="513">
        <f>SUM(K20:K27)</f>
        <v>77524650</v>
      </c>
    </row>
    <row r="19" spans="1:11" ht="12.75" customHeight="1" x14ac:dyDescent="0.25">
      <c r="A19" s="397" t="s">
        <v>630</v>
      </c>
      <c r="B19" s="169"/>
      <c r="C19" s="780"/>
      <c r="D19" s="781"/>
      <c r="E19" s="735">
        <v>6760234</v>
      </c>
      <c r="F19" s="735"/>
      <c r="G19" s="735"/>
      <c r="H19" s="735">
        <f t="shared" ref="H19" si="9">E19/12*11</f>
        <v>6196881.166666667</v>
      </c>
      <c r="I19" s="514"/>
      <c r="J19" s="553"/>
      <c r="K19" s="737">
        <f>E19</f>
        <v>6760234</v>
      </c>
    </row>
    <row r="20" spans="1:11" ht="12.75" customHeight="1" x14ac:dyDescent="0.25">
      <c r="A20" s="396" t="str">
        <f>'SC6'!A20</f>
        <v>Expanded Public Works Grant</v>
      </c>
      <c r="B20" s="169"/>
      <c r="C20" s="780"/>
      <c r="D20" s="781"/>
      <c r="E20" s="735"/>
      <c r="F20" s="735">
        <v>958500</v>
      </c>
      <c r="G20" s="735">
        <v>3697500</v>
      </c>
      <c r="H20" s="735"/>
      <c r="I20" s="514">
        <f t="shared" ref="I20:I31" si="10">G20-H20</f>
        <v>3697500</v>
      </c>
      <c r="J20" s="553" t="e">
        <f t="shared" si="1"/>
        <v>#DIV/0!</v>
      </c>
      <c r="K20" s="737"/>
    </row>
    <row r="21" spans="1:11" ht="12.75" customHeight="1" x14ac:dyDescent="0.25">
      <c r="A21" s="396" t="str">
        <f>'SC6'!A21</f>
        <v>Sport and Recreation</v>
      </c>
      <c r="B21" s="169"/>
      <c r="C21" s="749"/>
      <c r="D21" s="746"/>
      <c r="E21" s="734"/>
      <c r="F21" s="734"/>
      <c r="G21" s="734"/>
      <c r="H21" s="734"/>
      <c r="I21" s="44">
        <f t="shared" si="10"/>
        <v>0</v>
      </c>
      <c r="J21" s="124" t="str">
        <f t="shared" si="1"/>
        <v/>
      </c>
      <c r="K21" s="736"/>
    </row>
    <row r="22" spans="1:11" ht="12.75" customHeight="1" x14ac:dyDescent="0.25">
      <c r="A22" s="396" t="str">
        <f>'SC6'!A22</f>
        <v>Human Settlements</v>
      </c>
      <c r="B22" s="169"/>
      <c r="C22" s="749"/>
      <c r="D22" s="746">
        <v>26368617.450000115</v>
      </c>
      <c r="E22" s="734">
        <v>66041849</v>
      </c>
      <c r="F22" s="734">
        <v>78892.039999999106</v>
      </c>
      <c r="G22" s="734">
        <v>63042235.320000008</v>
      </c>
      <c r="H22" s="734">
        <f t="shared" ref="H22:H23" si="11">E22/12*11</f>
        <v>60538361.583333336</v>
      </c>
      <c r="I22" s="44">
        <f t="shared" si="10"/>
        <v>2503873.7366666719</v>
      </c>
      <c r="J22" s="124">
        <f t="shared" si="1"/>
        <v>4.1360117307106099E-2</v>
      </c>
      <c r="K22" s="736">
        <f t="shared" ref="K22:K27" si="12">E22</f>
        <v>66041849</v>
      </c>
    </row>
    <row r="23" spans="1:11" ht="12.75" customHeight="1" x14ac:dyDescent="0.25">
      <c r="A23" s="396" t="str">
        <f>'SC6'!A23</f>
        <v>Arts and Culture- Community Library Services</v>
      </c>
      <c r="B23" s="169"/>
      <c r="C23" s="749"/>
      <c r="D23" s="746">
        <v>10061000</v>
      </c>
      <c r="E23" s="734">
        <v>10061000</v>
      </c>
      <c r="F23" s="734">
        <v>1837472.3900000001</v>
      </c>
      <c r="G23" s="734">
        <v>4299438.1900000004</v>
      </c>
      <c r="H23" s="734">
        <f t="shared" si="11"/>
        <v>9222583.3333333321</v>
      </c>
      <c r="I23" s="44">
        <f t="shared" si="10"/>
        <v>-4923145.1433333317</v>
      </c>
      <c r="J23" s="124">
        <f t="shared" si="1"/>
        <v>-0.53381411318231509</v>
      </c>
      <c r="K23" s="736">
        <f t="shared" si="12"/>
        <v>10061000</v>
      </c>
    </row>
    <row r="24" spans="1:11" ht="12.75" customHeight="1" x14ac:dyDescent="0.25">
      <c r="A24" s="396" t="str">
        <f>'SC6'!A24</f>
        <v>Arts and Culture- Provincialisation</v>
      </c>
      <c r="B24" s="169"/>
      <c r="C24" s="749"/>
      <c r="D24" s="746"/>
      <c r="E24" s="734"/>
      <c r="F24" s="734"/>
      <c r="G24" s="734"/>
      <c r="H24" s="734"/>
      <c r="I24" s="44">
        <f t="shared" si="10"/>
        <v>0</v>
      </c>
      <c r="J24" s="124" t="str">
        <f t="shared" si="1"/>
        <v/>
      </c>
      <c r="K24" s="736"/>
    </row>
    <row r="25" spans="1:11" ht="12.75" customHeight="1" x14ac:dyDescent="0.25">
      <c r="A25" s="396" t="str">
        <f>'SC6'!A25</f>
        <v>Arts and Culture-Museum Subsidies</v>
      </c>
      <c r="B25" s="169"/>
      <c r="C25" s="749"/>
      <c r="D25" s="746">
        <v>463000</v>
      </c>
      <c r="E25" s="734">
        <v>524958</v>
      </c>
      <c r="F25" s="734"/>
      <c r="G25" s="734">
        <v>550768.63</v>
      </c>
      <c r="H25" s="734">
        <f t="shared" ref="H25:H27" si="13">E25/12*11</f>
        <v>481211.5</v>
      </c>
      <c r="I25" s="44">
        <f t="shared" si="10"/>
        <v>69557.13</v>
      </c>
      <c r="J25" s="124">
        <f t="shared" si="1"/>
        <v>0.14454585977267792</v>
      </c>
      <c r="K25" s="736">
        <f t="shared" si="12"/>
        <v>524958</v>
      </c>
    </row>
    <row r="26" spans="1:11" ht="12.75" customHeight="1" x14ac:dyDescent="0.25">
      <c r="A26" s="396" t="s">
        <v>1449</v>
      </c>
      <c r="B26" s="169"/>
      <c r="C26" s="749"/>
      <c r="D26" s="746">
        <v>21453229</v>
      </c>
      <c r="E26" s="734">
        <v>896843</v>
      </c>
      <c r="F26" s="734"/>
      <c r="G26" s="734">
        <v>-20178.64</v>
      </c>
      <c r="H26" s="734">
        <f t="shared" si="13"/>
        <v>822106.08333333337</v>
      </c>
      <c r="I26" s="44"/>
      <c r="J26" s="124"/>
      <c r="K26" s="736">
        <f t="shared" si="12"/>
        <v>896843</v>
      </c>
    </row>
    <row r="27" spans="1:11" ht="12.75" customHeight="1" x14ac:dyDescent="0.25">
      <c r="A27" s="396" t="str">
        <f>'SC6'!A27</f>
        <v>MUNICIPAL DISASTER RELIEF GRANT</v>
      </c>
      <c r="B27" s="169"/>
      <c r="C27" s="749"/>
      <c r="D27" s="746"/>
      <c r="E27" s="734"/>
      <c r="F27" s="734"/>
      <c r="G27" s="734"/>
      <c r="H27" s="734">
        <f t="shared" si="13"/>
        <v>0</v>
      </c>
      <c r="I27" s="44">
        <f t="shared" si="10"/>
        <v>0</v>
      </c>
      <c r="J27" s="124" t="str">
        <f t="shared" si="1"/>
        <v/>
      </c>
      <c r="K27" s="736"/>
    </row>
    <row r="28" spans="1:11" ht="12.75" customHeight="1" x14ac:dyDescent="0.25">
      <c r="A28" s="397" t="str">
        <f>'SC6'!A28</f>
        <v>District Municipality:</v>
      </c>
      <c r="B28" s="169"/>
      <c r="C28" s="516">
        <f t="shared" ref="C28:H28" si="14">SUM(C29:C29)</f>
        <v>0</v>
      </c>
      <c r="D28" s="475">
        <f t="shared" si="14"/>
        <v>0</v>
      </c>
      <c r="E28" s="430">
        <f t="shared" si="14"/>
        <v>0</v>
      </c>
      <c r="F28" s="430">
        <f t="shared" si="14"/>
        <v>0</v>
      </c>
      <c r="G28" s="430">
        <f t="shared" si="14"/>
        <v>0</v>
      </c>
      <c r="H28" s="430">
        <f t="shared" si="14"/>
        <v>0</v>
      </c>
      <c r="I28" s="514">
        <f t="shared" si="10"/>
        <v>0</v>
      </c>
      <c r="J28" s="553" t="str">
        <f t="shared" si="1"/>
        <v/>
      </c>
      <c r="K28" s="513">
        <f>SUM(K29:K29)</f>
        <v>0</v>
      </c>
    </row>
    <row r="29" spans="1:11" ht="12.75" customHeight="1" x14ac:dyDescent="0.25">
      <c r="A29" s="397"/>
      <c r="B29" s="169"/>
      <c r="C29" s="784"/>
      <c r="D29" s="785"/>
      <c r="E29" s="738"/>
      <c r="F29" s="738"/>
      <c r="G29" s="738"/>
      <c r="H29" s="738"/>
      <c r="I29" s="514">
        <f t="shared" si="10"/>
        <v>0</v>
      </c>
      <c r="J29" s="553" t="str">
        <f t="shared" si="1"/>
        <v/>
      </c>
      <c r="K29" s="739"/>
    </row>
    <row r="30" spans="1:11" ht="12.75" customHeight="1" x14ac:dyDescent="0.25">
      <c r="A30" s="397" t="str">
        <f>'SC6'!A30</f>
        <v>Other grant providers:</v>
      </c>
      <c r="B30" s="169"/>
      <c r="C30" s="516">
        <f t="shared" ref="C30:H30" si="15">SUM(C31:C31)</f>
        <v>0</v>
      </c>
      <c r="D30" s="475">
        <f t="shared" si="15"/>
        <v>0</v>
      </c>
      <c r="E30" s="430">
        <f t="shared" si="15"/>
        <v>0</v>
      </c>
      <c r="F30" s="430">
        <f t="shared" si="15"/>
        <v>0</v>
      </c>
      <c r="G30" s="430">
        <f t="shared" si="15"/>
        <v>0</v>
      </c>
      <c r="H30" s="430">
        <f t="shared" si="15"/>
        <v>0</v>
      </c>
      <c r="I30" s="514">
        <f t="shared" si="10"/>
        <v>0</v>
      </c>
      <c r="J30" s="553" t="str">
        <f t="shared" si="1"/>
        <v/>
      </c>
      <c r="K30" s="513">
        <f>SUM(K31:K31)</f>
        <v>0</v>
      </c>
    </row>
    <row r="31" spans="1:11" ht="12.75" customHeight="1" x14ac:dyDescent="0.25">
      <c r="A31" s="397"/>
      <c r="B31" s="169"/>
      <c r="C31" s="784"/>
      <c r="D31" s="785"/>
      <c r="E31" s="738"/>
      <c r="F31" s="738"/>
      <c r="G31" s="738"/>
      <c r="H31" s="738"/>
      <c r="I31" s="514">
        <f t="shared" si="10"/>
        <v>0</v>
      </c>
      <c r="J31" s="553" t="str">
        <f t="shared" si="1"/>
        <v/>
      </c>
      <c r="K31" s="739"/>
    </row>
    <row r="32" spans="1:11" ht="12.75" customHeight="1" x14ac:dyDescent="0.25">
      <c r="A32" s="559" t="s">
        <v>58</v>
      </c>
      <c r="B32" s="233"/>
      <c r="C32" s="243">
        <f t="shared" ref="C32:I32" si="16">C8+C18+C28+C30</f>
        <v>0</v>
      </c>
      <c r="D32" s="74">
        <f t="shared" si="16"/>
        <v>672127446.45000017</v>
      </c>
      <c r="E32" s="73">
        <f t="shared" si="16"/>
        <v>687214172</v>
      </c>
      <c r="F32" s="73">
        <f t="shared" si="16"/>
        <v>17183763.137999993</v>
      </c>
      <c r="G32" s="73">
        <f t="shared" si="16"/>
        <v>166008817.25199997</v>
      </c>
      <c r="H32" s="73">
        <f t="shared" si="16"/>
        <v>629946324.33333337</v>
      </c>
      <c r="I32" s="73">
        <f t="shared" si="16"/>
        <v>-463095222.35799998</v>
      </c>
      <c r="J32" s="304">
        <f t="shared" si="1"/>
        <v>-0.73513441458379736</v>
      </c>
      <c r="K32" s="145">
        <f>K8+K18+K28+K30</f>
        <v>687214172</v>
      </c>
    </row>
    <row r="33" spans="1:11" ht="5.0999999999999996" customHeight="1" x14ac:dyDescent="0.25">
      <c r="A33" s="42"/>
      <c r="B33" s="169"/>
      <c r="C33" s="134"/>
      <c r="D33" s="46"/>
      <c r="E33" s="44"/>
      <c r="F33" s="44"/>
      <c r="G33" s="44"/>
      <c r="H33" s="44"/>
      <c r="I33" s="44"/>
      <c r="J33" s="124"/>
      <c r="K33" s="144"/>
    </row>
    <row r="34" spans="1:11" ht="12.75" customHeight="1" x14ac:dyDescent="0.25">
      <c r="A34" s="550" t="s">
        <v>59</v>
      </c>
      <c r="B34" s="169"/>
      <c r="C34" s="134"/>
      <c r="D34" s="46"/>
      <c r="E34" s="44"/>
      <c r="F34" s="44"/>
      <c r="G34" s="44"/>
      <c r="H34" s="44"/>
      <c r="I34" s="44"/>
      <c r="J34" s="124"/>
      <c r="K34" s="144"/>
    </row>
    <row r="35" spans="1:11" ht="13.5" customHeight="1" x14ac:dyDescent="0.25">
      <c r="A35" s="342" t="str">
        <f>'SC6'!A35</f>
        <v>National Government:</v>
      </c>
      <c r="B35" s="169"/>
      <c r="C35" s="134">
        <f t="shared" ref="C35:I35" si="17">SUM(C36:C43)</f>
        <v>0</v>
      </c>
      <c r="D35" s="46">
        <f t="shared" si="17"/>
        <v>429351400</v>
      </c>
      <c r="E35" s="44">
        <f t="shared" si="17"/>
        <v>393443478</v>
      </c>
      <c r="F35" s="44">
        <f t="shared" si="17"/>
        <v>14413906.362</v>
      </c>
      <c r="G35" s="44">
        <f t="shared" si="17"/>
        <v>141744727.148</v>
      </c>
      <c r="H35" s="44">
        <f t="shared" si="17"/>
        <v>360656521.49999994</v>
      </c>
      <c r="I35" s="44">
        <f t="shared" si="17"/>
        <v>-218911794.35199997</v>
      </c>
      <c r="J35" s="343">
        <f t="shared" ref="J35:J55" si="18">IF(I35=0,"",I35/H35)</f>
        <v>-0.60698138339916308</v>
      </c>
      <c r="K35" s="144">
        <f>SUM(K36:K43)</f>
        <v>393443478</v>
      </c>
    </row>
    <row r="36" spans="1:11" ht="12.75" customHeight="1" x14ac:dyDescent="0.25">
      <c r="A36" s="396" t="str">
        <f>'SC6'!A36</f>
        <v xml:space="preserve"> Municipal Infrastructure Grant (MIG)</v>
      </c>
      <c r="B36" s="169"/>
      <c r="C36" s="780"/>
      <c r="D36" s="781">
        <v>179516000</v>
      </c>
      <c r="E36" s="735">
        <v>183608078</v>
      </c>
      <c r="F36" s="735">
        <v>8359290.9719999982</v>
      </c>
      <c r="G36" s="735">
        <v>106503641.65800001</v>
      </c>
      <c r="H36" s="735">
        <f t="shared" ref="H36:H38" si="19">E36/12*11</f>
        <v>168307404.83333331</v>
      </c>
      <c r="I36" s="514">
        <f t="shared" ref="I36:I43" si="20">G36-H36</f>
        <v>-61803763.175333306</v>
      </c>
      <c r="J36" s="553">
        <f t="shared" si="18"/>
        <v>-0.36720762961400649</v>
      </c>
      <c r="K36" s="737">
        <f t="shared" ref="K36:K38" si="21">E36</f>
        <v>183608078</v>
      </c>
    </row>
    <row r="37" spans="1:11" ht="12.75" customHeight="1" x14ac:dyDescent="0.25">
      <c r="A37" s="396" t="str">
        <f>'SC6'!A37</f>
        <v xml:space="preserve"> Public Transport and Systems</v>
      </c>
      <c r="B37" s="169"/>
      <c r="C37" s="749"/>
      <c r="D37" s="746">
        <v>150835400</v>
      </c>
      <c r="E37" s="734">
        <v>150835400</v>
      </c>
      <c r="F37" s="734"/>
      <c r="G37" s="734"/>
      <c r="H37" s="734">
        <f t="shared" si="19"/>
        <v>138265783.33333331</v>
      </c>
      <c r="I37" s="44">
        <f t="shared" si="20"/>
        <v>-138265783.33333331</v>
      </c>
      <c r="J37" s="124">
        <f t="shared" si="18"/>
        <v>-1</v>
      </c>
      <c r="K37" s="736">
        <f t="shared" si="21"/>
        <v>150835400</v>
      </c>
    </row>
    <row r="38" spans="1:11" ht="12.75" customHeight="1" x14ac:dyDescent="0.25">
      <c r="A38" s="396" t="str">
        <f>'SC6'!A38</f>
        <v>Neighbourhood Development Partnership</v>
      </c>
      <c r="B38" s="169"/>
      <c r="C38" s="749"/>
      <c r="D38" s="746">
        <v>50000000</v>
      </c>
      <c r="E38" s="734">
        <v>10000000</v>
      </c>
      <c r="F38" s="734"/>
      <c r="G38" s="734">
        <v>960078.99</v>
      </c>
      <c r="H38" s="734">
        <f t="shared" si="19"/>
        <v>9166666.6666666679</v>
      </c>
      <c r="I38" s="44">
        <f t="shared" si="20"/>
        <v>-8206587.6766666677</v>
      </c>
      <c r="J38" s="124">
        <f t="shared" si="18"/>
        <v>-0.89526411018181817</v>
      </c>
      <c r="K38" s="736">
        <f t="shared" si="21"/>
        <v>10000000</v>
      </c>
    </row>
    <row r="39" spans="1:11" ht="12.75" customHeight="1" x14ac:dyDescent="0.25">
      <c r="A39" s="396" t="str">
        <f>'SC6'!A39</f>
        <v>Dept of Mineral/Electricty</v>
      </c>
      <c r="B39" s="169"/>
      <c r="C39" s="749"/>
      <c r="D39" s="746"/>
      <c r="E39" s="734">
        <v>0</v>
      </c>
      <c r="F39" s="734"/>
      <c r="G39" s="734"/>
      <c r="H39" s="734"/>
      <c r="I39" s="44">
        <f t="shared" si="20"/>
        <v>0</v>
      </c>
      <c r="J39" s="124" t="str">
        <f t="shared" si="18"/>
        <v/>
      </c>
      <c r="K39" s="736"/>
    </row>
    <row r="40" spans="1:11" ht="12.75" customHeight="1" x14ac:dyDescent="0.25">
      <c r="A40" s="396" t="str">
        <f>'SC6'!A40</f>
        <v>Intergrated National Electrification Porgramme</v>
      </c>
      <c r="B40" s="169"/>
      <c r="C40" s="749"/>
      <c r="D40" s="746"/>
      <c r="E40" s="734">
        <v>0</v>
      </c>
      <c r="F40" s="734"/>
      <c r="G40" s="734"/>
      <c r="H40" s="734"/>
      <c r="I40" s="44">
        <f t="shared" si="20"/>
        <v>0</v>
      </c>
      <c r="J40" s="124" t="str">
        <f t="shared" si="18"/>
        <v/>
      </c>
      <c r="K40" s="736"/>
    </row>
    <row r="41" spans="1:11" ht="12.75" customHeight="1" x14ac:dyDescent="0.25">
      <c r="A41" s="396" t="str">
        <f>'SC6'!A41</f>
        <v>Municipal Systems Improvement</v>
      </c>
      <c r="B41" s="169"/>
      <c r="C41" s="749"/>
      <c r="D41" s="746"/>
      <c r="E41" s="734">
        <v>0</v>
      </c>
      <c r="F41" s="734"/>
      <c r="G41" s="734"/>
      <c r="H41" s="734"/>
      <c r="I41" s="44">
        <f t="shared" si="20"/>
        <v>0</v>
      </c>
      <c r="J41" s="124" t="str">
        <f t="shared" si="18"/>
        <v/>
      </c>
      <c r="K41" s="736"/>
    </row>
    <row r="42" spans="1:11" ht="12.75" customHeight="1" x14ac:dyDescent="0.25">
      <c r="A42" s="396" t="str">
        <f>'SC6'!A42</f>
        <v>Municipal Water Infrastructure Grant</v>
      </c>
      <c r="B42" s="169"/>
      <c r="C42" s="749"/>
      <c r="D42" s="746">
        <v>41000000</v>
      </c>
      <c r="E42" s="734">
        <v>41000000</v>
      </c>
      <c r="F42" s="734">
        <v>2478645.3900000006</v>
      </c>
      <c r="G42" s="734">
        <v>30705036.5</v>
      </c>
      <c r="H42" s="734">
        <f t="shared" ref="H42:H43" si="22">E42/12*11</f>
        <v>37583333.333333328</v>
      </c>
      <c r="I42" s="44">
        <f t="shared" si="20"/>
        <v>-6878296.8333333284</v>
      </c>
      <c r="J42" s="124">
        <f t="shared" si="18"/>
        <v>-0.18301454988913515</v>
      </c>
      <c r="K42" s="736">
        <f t="shared" ref="K42:K43" si="23">E42</f>
        <v>41000000</v>
      </c>
    </row>
    <row r="43" spans="1:11" ht="12.75" customHeight="1" x14ac:dyDescent="0.25">
      <c r="A43" s="396" t="str">
        <f>'SC6'!A43</f>
        <v>Energy Efficiency and Demand Manaagement</v>
      </c>
      <c r="B43" s="169"/>
      <c r="C43" s="749"/>
      <c r="D43" s="746">
        <v>8000000</v>
      </c>
      <c r="E43" s="734">
        <v>8000000</v>
      </c>
      <c r="F43" s="734">
        <v>3575970</v>
      </c>
      <c r="G43" s="734">
        <v>3575970</v>
      </c>
      <c r="H43" s="734">
        <f t="shared" si="22"/>
        <v>7333333.333333333</v>
      </c>
      <c r="I43" s="44">
        <f t="shared" si="20"/>
        <v>-3757363.333333333</v>
      </c>
      <c r="J43" s="124">
        <f t="shared" si="18"/>
        <v>-0.51236772727272728</v>
      </c>
      <c r="K43" s="736">
        <f t="shared" si="23"/>
        <v>8000000</v>
      </c>
    </row>
    <row r="44" spans="1:11" ht="12.75" customHeight="1" x14ac:dyDescent="0.25">
      <c r="A44" s="397" t="str">
        <f>'SC6'!A44</f>
        <v>Provincial Government:</v>
      </c>
      <c r="B44" s="169"/>
      <c r="C44" s="516">
        <f t="shared" ref="C44:H44" si="24">SUM(C45:C51)</f>
        <v>0</v>
      </c>
      <c r="D44" s="475">
        <f t="shared" si="24"/>
        <v>9991000</v>
      </c>
      <c r="E44" s="430">
        <f t="shared" si="24"/>
        <v>273968716</v>
      </c>
      <c r="F44" s="430">
        <f t="shared" si="24"/>
        <v>1607734.4100000001</v>
      </c>
      <c r="G44" s="430">
        <f t="shared" si="24"/>
        <v>12150614.380000001</v>
      </c>
      <c r="H44" s="430">
        <f t="shared" si="24"/>
        <v>251137989.66666666</v>
      </c>
      <c r="I44" s="514">
        <f t="shared" ref="I44:I55" si="25">G44-H44</f>
        <v>-238987375.28666666</v>
      </c>
      <c r="J44" s="553">
        <f t="shared" si="18"/>
        <v>-0.95161777636220068</v>
      </c>
      <c r="K44" s="513">
        <f>SUM(K45:K51)</f>
        <v>273968716</v>
      </c>
    </row>
    <row r="45" spans="1:11" ht="12.75" customHeight="1" x14ac:dyDescent="0.25">
      <c r="A45" s="397" t="str">
        <f>'SC6'!A45</f>
        <v>Airport Development Project</v>
      </c>
      <c r="B45" s="169"/>
      <c r="C45" s="784"/>
      <c r="D45" s="785"/>
      <c r="E45" s="738"/>
      <c r="F45" s="738"/>
      <c r="G45" s="738"/>
      <c r="H45" s="738"/>
      <c r="I45" s="514">
        <f t="shared" si="25"/>
        <v>0</v>
      </c>
      <c r="J45" s="553" t="str">
        <f t="shared" si="18"/>
        <v/>
      </c>
      <c r="K45" s="739"/>
    </row>
    <row r="46" spans="1:11" ht="12.75" customHeight="1" x14ac:dyDescent="0.25">
      <c r="A46" s="397" t="str">
        <f>'SC6'!A46</f>
        <v>Sport and Recreation</v>
      </c>
      <c r="B46" s="169"/>
      <c r="C46" s="787"/>
      <c r="D46" s="788"/>
      <c r="E46" s="789"/>
      <c r="F46" s="789"/>
      <c r="G46" s="789"/>
      <c r="H46" s="789"/>
      <c r="I46" s="44">
        <f t="shared" si="25"/>
        <v>0</v>
      </c>
      <c r="J46" s="124" t="str">
        <f t="shared" si="18"/>
        <v/>
      </c>
      <c r="K46" s="790"/>
    </row>
    <row r="47" spans="1:11" ht="12.75" customHeight="1" x14ac:dyDescent="0.25">
      <c r="A47" s="397" t="str">
        <f>'SC6'!A47</f>
        <v>KZNPA</v>
      </c>
      <c r="B47" s="169"/>
      <c r="C47" s="787"/>
      <c r="D47" s="788"/>
      <c r="E47" s="789"/>
      <c r="F47" s="789"/>
      <c r="G47" s="789"/>
      <c r="H47" s="789"/>
      <c r="I47" s="44">
        <f t="shared" si="25"/>
        <v>0</v>
      </c>
      <c r="J47" s="124" t="str">
        <f t="shared" si="18"/>
        <v/>
      </c>
      <c r="K47" s="790"/>
    </row>
    <row r="48" spans="1:11" ht="12.75" customHeight="1" x14ac:dyDescent="0.25">
      <c r="A48" s="397" t="str">
        <f>'SC6'!A48</f>
        <v>Arts and Culture-Museum Subsidies</v>
      </c>
      <c r="B48" s="169"/>
      <c r="C48" s="787"/>
      <c r="D48" s="788">
        <v>9991000</v>
      </c>
      <c r="E48" s="789">
        <v>16302519</v>
      </c>
      <c r="F48" s="789"/>
      <c r="G48" s="789"/>
      <c r="H48" s="789">
        <f t="shared" ref="H48:H51" si="26">E48/12*11</f>
        <v>14943975.75</v>
      </c>
      <c r="I48" s="44">
        <f t="shared" si="25"/>
        <v>-14943975.75</v>
      </c>
      <c r="J48" s="124">
        <f t="shared" si="18"/>
        <v>-1</v>
      </c>
      <c r="K48" s="790">
        <f t="shared" ref="K48:K51" si="27">E48</f>
        <v>16302519</v>
      </c>
    </row>
    <row r="49" spans="1:11" ht="12.75" customHeight="1" x14ac:dyDescent="0.25">
      <c r="A49" s="397" t="str">
        <f>'SC6'!A49</f>
        <v>COGTA</v>
      </c>
      <c r="B49" s="169"/>
      <c r="C49" s="787"/>
      <c r="D49" s="788"/>
      <c r="E49" s="789">
        <v>10428861</v>
      </c>
      <c r="F49" s="789"/>
      <c r="G49" s="789"/>
      <c r="H49" s="789">
        <f t="shared" si="26"/>
        <v>9559789.25</v>
      </c>
      <c r="I49" s="44">
        <f t="shared" si="25"/>
        <v>-9559789.25</v>
      </c>
      <c r="J49" s="124">
        <f t="shared" si="18"/>
        <v>-1</v>
      </c>
      <c r="K49" s="790">
        <f t="shared" si="27"/>
        <v>10428861</v>
      </c>
    </row>
    <row r="50" spans="1:11" ht="12.75" customHeight="1" x14ac:dyDescent="0.25">
      <c r="A50" s="397" t="s">
        <v>1458</v>
      </c>
      <c r="B50" s="169"/>
      <c r="C50" s="787"/>
      <c r="D50" s="788"/>
      <c r="E50" s="789">
        <v>228237336</v>
      </c>
      <c r="F50" s="789"/>
      <c r="G50" s="789">
        <v>1213323.75</v>
      </c>
      <c r="H50" s="789">
        <f t="shared" si="26"/>
        <v>209217558</v>
      </c>
      <c r="I50" s="44"/>
      <c r="J50" s="124"/>
      <c r="K50" s="790">
        <f t="shared" si="27"/>
        <v>228237336</v>
      </c>
    </row>
    <row r="51" spans="1:11" ht="12.75" customHeight="1" x14ac:dyDescent="0.25">
      <c r="A51" s="397" t="s">
        <v>630</v>
      </c>
      <c r="B51" s="169"/>
      <c r="C51" s="749"/>
      <c r="D51" s="746"/>
      <c r="E51" s="734">
        <v>19000000</v>
      </c>
      <c r="F51" s="734">
        <v>1607734.4100000001</v>
      </c>
      <c r="G51" s="734">
        <v>10937290.630000001</v>
      </c>
      <c r="H51" s="734">
        <f t="shared" si="26"/>
        <v>17416666.666666664</v>
      </c>
      <c r="I51" s="44">
        <f t="shared" si="25"/>
        <v>-6479376.0366666634</v>
      </c>
      <c r="J51" s="124">
        <f t="shared" si="18"/>
        <v>-0.37202159062200946</v>
      </c>
      <c r="K51" s="736">
        <f t="shared" si="27"/>
        <v>19000000</v>
      </c>
    </row>
    <row r="52" spans="1:11" ht="12.75" customHeight="1" x14ac:dyDescent="0.25">
      <c r="A52" s="397" t="str">
        <f>'SC6'!A52</f>
        <v>District Municipality:</v>
      </c>
      <c r="B52" s="169"/>
      <c r="C52" s="516">
        <f t="shared" ref="C52:H52" si="28">SUM(C53:C53)</f>
        <v>0</v>
      </c>
      <c r="D52" s="475">
        <f t="shared" si="28"/>
        <v>0</v>
      </c>
      <c r="E52" s="430">
        <f t="shared" si="28"/>
        <v>0</v>
      </c>
      <c r="F52" s="430">
        <f t="shared" si="28"/>
        <v>0</v>
      </c>
      <c r="G52" s="430">
        <f t="shared" si="28"/>
        <v>0</v>
      </c>
      <c r="H52" s="430">
        <f t="shared" si="28"/>
        <v>0</v>
      </c>
      <c r="I52" s="514">
        <f t="shared" si="25"/>
        <v>0</v>
      </c>
      <c r="J52" s="553" t="str">
        <f t="shared" si="18"/>
        <v/>
      </c>
      <c r="K52" s="513">
        <f>SUM(K53:K53)</f>
        <v>0</v>
      </c>
    </row>
    <row r="53" spans="1:11" ht="12.75" customHeight="1" x14ac:dyDescent="0.25">
      <c r="A53" s="398">
        <f>'SC6'!A53</f>
        <v>0</v>
      </c>
      <c r="B53" s="169"/>
      <c r="C53" s="749"/>
      <c r="D53" s="746"/>
      <c r="E53" s="734"/>
      <c r="F53" s="734"/>
      <c r="G53" s="734"/>
      <c r="H53" s="734"/>
      <c r="I53" s="44">
        <f t="shared" si="25"/>
        <v>0</v>
      </c>
      <c r="J53" s="124" t="str">
        <f t="shared" si="18"/>
        <v/>
      </c>
      <c r="K53" s="736"/>
    </row>
    <row r="54" spans="1:11" ht="12.75" customHeight="1" x14ac:dyDescent="0.25">
      <c r="A54" s="397" t="str">
        <f>'SC6'!A54</f>
        <v>Other grant providers:</v>
      </c>
      <c r="B54" s="169"/>
      <c r="C54" s="516">
        <f t="shared" ref="C54:H54" si="29">SUM(C55:C55)</f>
        <v>0</v>
      </c>
      <c r="D54" s="475">
        <f t="shared" si="29"/>
        <v>0</v>
      </c>
      <c r="E54" s="430">
        <f t="shared" si="29"/>
        <v>0</v>
      </c>
      <c r="F54" s="430">
        <f t="shared" si="29"/>
        <v>0</v>
      </c>
      <c r="G54" s="430">
        <f t="shared" si="29"/>
        <v>0</v>
      </c>
      <c r="H54" s="430">
        <f t="shared" si="29"/>
        <v>0</v>
      </c>
      <c r="I54" s="514">
        <f t="shared" si="25"/>
        <v>0</v>
      </c>
      <c r="J54" s="553" t="str">
        <f t="shared" si="18"/>
        <v/>
      </c>
      <c r="K54" s="513">
        <f>SUM(K55:K55)</f>
        <v>0</v>
      </c>
    </row>
    <row r="55" spans="1:11" ht="12.75" customHeight="1" x14ac:dyDescent="0.25">
      <c r="A55" s="397"/>
      <c r="B55" s="169"/>
      <c r="C55" s="784"/>
      <c r="D55" s="785"/>
      <c r="E55" s="738"/>
      <c r="F55" s="738"/>
      <c r="G55" s="738"/>
      <c r="H55" s="738"/>
      <c r="I55" s="514">
        <f t="shared" si="25"/>
        <v>0</v>
      </c>
      <c r="J55" s="553" t="str">
        <f t="shared" si="18"/>
        <v/>
      </c>
      <c r="K55" s="739"/>
    </row>
    <row r="56" spans="1:11" ht="12.75" customHeight="1" x14ac:dyDescent="0.25">
      <c r="A56" s="558" t="s">
        <v>60</v>
      </c>
      <c r="B56" s="233"/>
      <c r="C56" s="243">
        <f t="shared" ref="C56:I56" si="30">C35+C44+C52+C54</f>
        <v>0</v>
      </c>
      <c r="D56" s="74">
        <f t="shared" si="30"/>
        <v>439342400</v>
      </c>
      <c r="E56" s="73">
        <f t="shared" si="30"/>
        <v>667412194</v>
      </c>
      <c r="F56" s="73">
        <f t="shared" si="30"/>
        <v>16021640.772</v>
      </c>
      <c r="G56" s="73">
        <f t="shared" si="30"/>
        <v>153895341.528</v>
      </c>
      <c r="H56" s="73">
        <f t="shared" si="30"/>
        <v>611794511.16666663</v>
      </c>
      <c r="I56" s="73">
        <f t="shared" si="30"/>
        <v>-457899169.63866663</v>
      </c>
      <c r="J56" s="304">
        <f>IF(I56=0,"",I56/H56)</f>
        <v>-0.74845256255318804</v>
      </c>
      <c r="K56" s="145">
        <f>K35+K44+K52+K54</f>
        <v>667412194</v>
      </c>
    </row>
    <row r="57" spans="1:11" ht="5.0999999999999996" customHeight="1" x14ac:dyDescent="0.25">
      <c r="A57" s="549"/>
      <c r="B57" s="169"/>
      <c r="C57" s="134"/>
      <c r="D57" s="46"/>
      <c r="E57" s="44"/>
      <c r="F57" s="44"/>
      <c r="G57" s="44"/>
      <c r="H57" s="44"/>
      <c r="I57" s="44"/>
      <c r="J57" s="124"/>
      <c r="K57" s="144"/>
    </row>
    <row r="58" spans="1:11" ht="12.75" customHeight="1" x14ac:dyDescent="0.25">
      <c r="A58" s="688" t="s">
        <v>136</v>
      </c>
      <c r="B58" s="284"/>
      <c r="C58" s="112">
        <f t="shared" ref="C58:I58" si="31">C32+C56</f>
        <v>0</v>
      </c>
      <c r="D58" s="56">
        <f t="shared" si="31"/>
        <v>1111469846.4500003</v>
      </c>
      <c r="E58" s="55">
        <f t="shared" si="31"/>
        <v>1354626366</v>
      </c>
      <c r="F58" s="55">
        <f t="shared" si="31"/>
        <v>33205403.909999993</v>
      </c>
      <c r="G58" s="55">
        <f t="shared" si="31"/>
        <v>319904158.77999997</v>
      </c>
      <c r="H58" s="55">
        <f t="shared" si="31"/>
        <v>1241740835.5</v>
      </c>
      <c r="I58" s="55">
        <f t="shared" si="31"/>
        <v>-920994391.99666667</v>
      </c>
      <c r="J58" s="290">
        <f>IF(I58=0,"",I58/H58)</f>
        <v>-0.74169614598026701</v>
      </c>
      <c r="K58" s="235">
        <f>K32+K56</f>
        <v>1354626366</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c r="B60" s="58"/>
      <c r="C60" s="67"/>
      <c r="D60" s="67"/>
      <c r="E60" s="67"/>
      <c r="F60" s="67"/>
      <c r="G60" s="67"/>
      <c r="H60" s="67"/>
      <c r="I60" s="67"/>
      <c r="J60" s="67"/>
      <c r="K60" s="67"/>
    </row>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8" t="str">
        <f>muni&amp; " - "&amp;S71T&amp; " - "&amp;Head57</f>
        <v>KZN225 Msunduzi - Supporting Table SC7(2) Monthly Budget Statement - Expenditure against approved rollovers - M10 April</v>
      </c>
      <c r="B1" s="1038"/>
      <c r="C1" s="1038"/>
      <c r="D1" s="1038"/>
      <c r="E1" s="1038"/>
      <c r="F1" s="1038"/>
      <c r="G1" s="1038"/>
    </row>
    <row r="2" spans="1:7" ht="21.75" customHeight="1" x14ac:dyDescent="0.25">
      <c r="A2" s="1027" t="str">
        <f>desc</f>
        <v>Description</v>
      </c>
      <c r="B2" s="1020" t="str">
        <f>head27</f>
        <v>Ref</v>
      </c>
      <c r="C2" s="1022" t="str">
        <f>Head2</f>
        <v>Budget Year 2019/20</v>
      </c>
      <c r="D2" s="1023"/>
      <c r="E2" s="1023"/>
      <c r="F2" s="1023"/>
      <c r="G2" s="1024"/>
    </row>
    <row r="3" spans="1:7" ht="39.75" customHeight="1" x14ac:dyDescent="0.25">
      <c r="A3" s="1028"/>
      <c r="B3" s="1031"/>
      <c r="C3" s="199" t="str">
        <f>"Approved Rollover " &amp;Head1</f>
        <v>Approved Rollover 2018/19</v>
      </c>
      <c r="D3" s="141" t="str">
        <f>Head38</f>
        <v>Monthly actual</v>
      </c>
      <c r="E3" s="141" t="str">
        <f>Head39</f>
        <v>YearTD actual</v>
      </c>
      <c r="F3" s="141" t="str">
        <f>Head41</f>
        <v>YTD variance</v>
      </c>
      <c r="G3" s="905" t="str">
        <f>Head41</f>
        <v>YTD variance</v>
      </c>
    </row>
    <row r="4" spans="1:7" x14ac:dyDescent="0.25">
      <c r="A4" s="291" t="s">
        <v>674</v>
      </c>
      <c r="B4" s="248"/>
      <c r="C4" s="293"/>
      <c r="D4" s="295"/>
      <c r="E4" s="904"/>
      <c r="F4" s="295"/>
      <c r="G4" s="906"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7" t="str">
        <f>IF(F8=0,"",F8/C8)</f>
        <v/>
      </c>
    </row>
    <row r="9" spans="1:7" x14ac:dyDescent="0.25">
      <c r="A9" s="396" t="str">
        <f>'SC6'!A9</f>
        <v>Local Government Equitable Share</v>
      </c>
      <c r="B9" s="169"/>
      <c r="C9" s="781"/>
      <c r="D9" s="735"/>
      <c r="E9" s="735"/>
      <c r="F9" s="514">
        <f>E9-C9</f>
        <v>0</v>
      </c>
      <c r="G9" s="908"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09" t="str">
        <f t="shared" si="0"/>
        <v/>
      </c>
    </row>
    <row r="17" spans="1:7" ht="12.75" customHeight="1" x14ac:dyDescent="0.25">
      <c r="A17" s="396" t="str">
        <f>'SC6'!A20</f>
        <v>Expanded Public Works Grant</v>
      </c>
      <c r="B17" s="169"/>
      <c r="C17" s="781"/>
      <c r="D17" s="735"/>
      <c r="E17" s="735"/>
      <c r="F17" s="514">
        <f>C17-E17</f>
        <v>0</v>
      </c>
      <c r="G17" s="908"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'SC6'!A27</f>
        <v>MUNICIPAL DISASTER RELIEF GRANT</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'SC6'!A28</f>
        <v>District Municipality:</v>
      </c>
      <c r="B22" s="169"/>
      <c r="C22" s="475">
        <f>SUM(C23:C24)</f>
        <v>0</v>
      </c>
      <c r="D22" s="430">
        <f>SUM(D23:D24)</f>
        <v>0</v>
      </c>
      <c r="E22" s="430">
        <f>SUM(E23:E24)</f>
        <v>0</v>
      </c>
      <c r="F22" s="514">
        <f>SUM(F23:F24)</f>
        <v>0</v>
      </c>
      <c r="G22" s="908" t="str">
        <f t="shared" si="0"/>
        <v/>
      </c>
    </row>
    <row r="23" spans="1:7" ht="12.75" customHeight="1" x14ac:dyDescent="0.25">
      <c r="A23" s="397"/>
      <c r="B23" s="169"/>
      <c r="C23" s="785"/>
      <c r="D23" s="738"/>
      <c r="E23" s="738"/>
      <c r="F23" s="514">
        <f>C23-E23</f>
        <v>0</v>
      </c>
      <c r="G23" s="908" t="str">
        <f t="shared" si="0"/>
        <v/>
      </c>
    </row>
    <row r="24" spans="1:7" ht="12.75" customHeight="1" x14ac:dyDescent="0.25">
      <c r="A24" s="398">
        <f>'SC6'!A29</f>
        <v>0</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8" t="str">
        <f t="shared" si="0"/>
        <v/>
      </c>
    </row>
    <row r="26" spans="1:7" ht="12.75" customHeight="1" x14ac:dyDescent="0.25">
      <c r="A26" s="397"/>
      <c r="B26" s="169"/>
      <c r="C26" s="785"/>
      <c r="D26" s="738"/>
      <c r="E26" s="738"/>
      <c r="F26" s="514">
        <f>C26-E26</f>
        <v>0</v>
      </c>
      <c r="G26" s="908" t="str">
        <f t="shared" si="0"/>
        <v/>
      </c>
    </row>
    <row r="27" spans="1:7" ht="12.75" customHeight="1" x14ac:dyDescent="0.25">
      <c r="A27" s="398">
        <f>'SC6'!A31</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0"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'SC6'!A35</f>
        <v>National Government:</v>
      </c>
      <c r="B31" s="169"/>
      <c r="C31" s="46">
        <f>SUM(C32:C37)</f>
        <v>0</v>
      </c>
      <c r="D31" s="44">
        <f>SUM(D32:D37)</f>
        <v>0</v>
      </c>
      <c r="E31" s="44">
        <f>SUM(E32:E37)</f>
        <v>0</v>
      </c>
      <c r="F31" s="44">
        <f>SUM(F32:F37)</f>
        <v>0</v>
      </c>
      <c r="G31" s="907" t="str">
        <f t="shared" si="0"/>
        <v/>
      </c>
    </row>
    <row r="32" spans="1:7" ht="12.75" customHeight="1" x14ac:dyDescent="0.25">
      <c r="A32" s="396" t="str">
        <f>'SC6'!A36</f>
        <v xml:space="preserve"> Municipal Infrastructure Grant (MIG)</v>
      </c>
      <c r="B32" s="169"/>
      <c r="C32" s="781"/>
      <c r="D32" s="735"/>
      <c r="E32" s="735"/>
      <c r="F32" s="514">
        <f t="shared" ref="F32:F37" si="2">C32-E32</f>
        <v>0</v>
      </c>
      <c r="G32" s="908" t="str">
        <f t="shared" si="0"/>
        <v/>
      </c>
    </row>
    <row r="33" spans="1:7" ht="12.75" customHeight="1" x14ac:dyDescent="0.25">
      <c r="A33" s="396" t="str">
        <f>'SC6'!A41</f>
        <v>Municipal Systems Improvement</v>
      </c>
      <c r="B33" s="169"/>
      <c r="C33" s="746"/>
      <c r="D33" s="734"/>
      <c r="E33" s="734"/>
      <c r="F33" s="44">
        <f t="shared" si="2"/>
        <v>0</v>
      </c>
      <c r="G33" s="276" t="str">
        <f t="shared" si="0"/>
        <v/>
      </c>
    </row>
    <row r="34" spans="1:7" ht="12.75" customHeight="1" x14ac:dyDescent="0.25">
      <c r="A34" s="396" t="str">
        <f>'SC6'!A42</f>
        <v>Municipal Water Infrastructure Grant</v>
      </c>
      <c r="B34" s="169"/>
      <c r="C34" s="746"/>
      <c r="D34" s="734"/>
      <c r="E34" s="734"/>
      <c r="F34" s="44">
        <f t="shared" si="2"/>
        <v>0</v>
      </c>
      <c r="G34" s="276" t="str">
        <f t="shared" si="0"/>
        <v/>
      </c>
    </row>
    <row r="35" spans="1:7" ht="12.75" customHeight="1" x14ac:dyDescent="0.25">
      <c r="A35" s="396" t="str">
        <f>'SC6'!A43</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'SC6'!A44</f>
        <v>Provincial Government:</v>
      </c>
      <c r="B38" s="169"/>
      <c r="C38" s="475">
        <f>SUM(C39:C40)</f>
        <v>0</v>
      </c>
      <c r="D38" s="430">
        <f>SUM(D39:D40)</f>
        <v>0</v>
      </c>
      <c r="E38" s="430">
        <f>SUM(E39:E40)</f>
        <v>0</v>
      </c>
      <c r="F38" s="514">
        <f>SUM(F39:F40)</f>
        <v>0</v>
      </c>
      <c r="G38" s="908" t="str">
        <f t="shared" si="0"/>
        <v/>
      </c>
    </row>
    <row r="39" spans="1:7" ht="12.75" customHeight="1" x14ac:dyDescent="0.25">
      <c r="A39" s="397"/>
      <c r="B39" s="169"/>
      <c r="C39" s="785"/>
      <c r="D39" s="738"/>
      <c r="E39" s="738"/>
      <c r="F39" s="514">
        <f>C39-E39</f>
        <v>0</v>
      </c>
      <c r="G39" s="908" t="str">
        <f t="shared" si="0"/>
        <v/>
      </c>
    </row>
    <row r="40" spans="1:7" ht="12.75" customHeight="1" x14ac:dyDescent="0.25">
      <c r="A40" s="396" t="str">
        <f>'SC6'!A51</f>
        <v>Provincial Government:</v>
      </c>
      <c r="B40" s="169"/>
      <c r="C40" s="746"/>
      <c r="D40" s="734"/>
      <c r="E40" s="734"/>
      <c r="F40" s="44">
        <f>C40-E40</f>
        <v>0</v>
      </c>
      <c r="G40" s="276" t="str">
        <f t="shared" si="0"/>
        <v/>
      </c>
    </row>
    <row r="41" spans="1:7" ht="12.75" customHeight="1" x14ac:dyDescent="0.25">
      <c r="A41" s="397" t="str">
        <f>'SC6'!A52</f>
        <v>District Municipality:</v>
      </c>
      <c r="B41" s="169"/>
      <c r="C41" s="475">
        <f>SUM(C42:C43)</f>
        <v>0</v>
      </c>
      <c r="D41" s="430">
        <f>SUM(D42:D43)</f>
        <v>0</v>
      </c>
      <c r="E41" s="430">
        <f>SUM(E42:E43)</f>
        <v>0</v>
      </c>
      <c r="F41" s="514">
        <f>SUM(F42:F43)</f>
        <v>0</v>
      </c>
      <c r="G41" s="908" t="str">
        <f t="shared" si="0"/>
        <v/>
      </c>
    </row>
    <row r="42" spans="1:7" ht="12.75" customHeight="1" x14ac:dyDescent="0.25">
      <c r="A42" s="397"/>
      <c r="B42" s="169"/>
      <c r="C42" s="785"/>
      <c r="D42" s="738"/>
      <c r="E42" s="738"/>
      <c r="F42" s="514">
        <f>C42-E42</f>
        <v>0</v>
      </c>
      <c r="G42" s="908" t="str">
        <f t="shared" si="0"/>
        <v/>
      </c>
    </row>
    <row r="43" spans="1:7" ht="12.75" customHeight="1" x14ac:dyDescent="0.25">
      <c r="A43" s="398">
        <f>'SC6'!A53</f>
        <v>0</v>
      </c>
      <c r="B43" s="169"/>
      <c r="C43" s="746"/>
      <c r="D43" s="734"/>
      <c r="E43" s="734"/>
      <c r="F43" s="44">
        <f>C43-E43</f>
        <v>0</v>
      </c>
      <c r="G43" s="276" t="str">
        <f t="shared" si="0"/>
        <v/>
      </c>
    </row>
    <row r="44" spans="1:7" ht="12.75" customHeight="1" x14ac:dyDescent="0.25">
      <c r="A44" s="397" t="str">
        <f>'SC6'!A54</f>
        <v>Other grant providers:</v>
      </c>
      <c r="B44" s="169"/>
      <c r="C44" s="475">
        <f>SUM(C45:C46)</f>
        <v>0</v>
      </c>
      <c r="D44" s="430">
        <f>SUM(D45:D46)</f>
        <v>0</v>
      </c>
      <c r="E44" s="430">
        <f>SUM(E45:E46)</f>
        <v>0</v>
      </c>
      <c r="F44" s="514">
        <f>SUM(F45:F46)</f>
        <v>0</v>
      </c>
      <c r="G44" s="908" t="str">
        <f t="shared" si="0"/>
        <v/>
      </c>
    </row>
    <row r="45" spans="1:7" ht="12.75" customHeight="1" x14ac:dyDescent="0.25">
      <c r="A45" s="397"/>
      <c r="B45" s="169"/>
      <c r="C45" s="785"/>
      <c r="D45" s="738"/>
      <c r="E45" s="738"/>
      <c r="F45" s="514">
        <f>C45-E45</f>
        <v>0</v>
      </c>
      <c r="G45" s="908"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0"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1"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77" activePane="bottomRight" state="frozen"/>
      <selection pane="topRight"/>
      <selection pane="bottomLeft"/>
      <selection pane="bottomRight" activeCell="N94" sqref="N94"/>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"&amp;S71N&amp; " - "&amp;Head57</f>
        <v>KZN225 Msunduzi - Supporting Table SC8 Monthly Budget Statement - councillor and staff benefits  - M10 April</v>
      </c>
      <c r="B1" s="1038"/>
      <c r="C1" s="1038"/>
      <c r="D1" s="1038"/>
      <c r="E1" s="1038"/>
      <c r="F1" s="1038"/>
      <c r="G1" s="1038"/>
      <c r="H1" s="1038"/>
      <c r="I1" s="1038"/>
      <c r="J1" s="1038"/>
      <c r="K1" s="1038"/>
    </row>
    <row r="2" spans="1:11" x14ac:dyDescent="0.25">
      <c r="A2" s="1027" t="s">
        <v>657</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2543791.75</v>
      </c>
      <c r="G7" s="734">
        <v>27712942.149999999</v>
      </c>
      <c r="H7" s="734">
        <f t="shared" ref="H7:H12" si="0">E7/12*11</f>
        <v>13892768.541666666</v>
      </c>
      <c r="I7" s="44">
        <f t="shared" ref="I7:I14" si="1">G7-H7</f>
        <v>13820173.608333332</v>
      </c>
      <c r="J7" s="330">
        <f t="shared" ref="J7:J14" si="2">IF(I7=0,"",I7/H7)</f>
        <v>0.99477462443028475</v>
      </c>
      <c r="K7" s="736">
        <f t="shared" ref="K7:K12" si="3">E7</f>
        <v>15155747.5</v>
      </c>
    </row>
    <row r="8" spans="1:11" ht="12.75" customHeight="1" x14ac:dyDescent="0.25">
      <c r="A8" s="518" t="s">
        <v>1061</v>
      </c>
      <c r="B8" s="169"/>
      <c r="C8" s="749"/>
      <c r="D8" s="746">
        <v>6020662.2000000002</v>
      </c>
      <c r="E8" s="734">
        <v>6020662.2000000002</v>
      </c>
      <c r="F8" s="734">
        <v>332265.87999999995</v>
      </c>
      <c r="G8" s="734">
        <v>3603677.73</v>
      </c>
      <c r="H8" s="734">
        <f t="shared" si="0"/>
        <v>5518940.3500000006</v>
      </c>
      <c r="I8" s="44">
        <f t="shared" si="1"/>
        <v>-1915262.6200000006</v>
      </c>
      <c r="J8" s="330">
        <f t="shared" si="2"/>
        <v>-0.34703448461804814</v>
      </c>
      <c r="K8" s="736">
        <f t="shared" si="3"/>
        <v>6020662.2000000002</v>
      </c>
    </row>
    <row r="9" spans="1:11" ht="12.75" customHeight="1" x14ac:dyDescent="0.25">
      <c r="A9" s="518" t="s">
        <v>433</v>
      </c>
      <c r="B9" s="169"/>
      <c r="C9" s="749"/>
      <c r="D9" s="746">
        <v>10103832.02</v>
      </c>
      <c r="E9" s="734">
        <v>10103832.02</v>
      </c>
      <c r="F9" s="734">
        <v>153532.22</v>
      </c>
      <c r="G9" s="734">
        <v>1581935.5</v>
      </c>
      <c r="H9" s="734">
        <f t="shared" si="0"/>
        <v>9261846.0183333326</v>
      </c>
      <c r="I9" s="44">
        <f t="shared" si="1"/>
        <v>-7679910.5183333326</v>
      </c>
      <c r="J9" s="330">
        <f t="shared" si="2"/>
        <v>-0.82919868276058117</v>
      </c>
      <c r="K9" s="736">
        <f t="shared" si="3"/>
        <v>10103832.02</v>
      </c>
    </row>
    <row r="10" spans="1:11" ht="12.75" customHeight="1" x14ac:dyDescent="0.25">
      <c r="A10" s="518" t="s">
        <v>1062</v>
      </c>
      <c r="B10" s="169"/>
      <c r="C10" s="749"/>
      <c r="D10" s="746">
        <v>10103833.08</v>
      </c>
      <c r="E10" s="734">
        <v>10103833.08</v>
      </c>
      <c r="F10" s="734">
        <v>464748.39999999997</v>
      </c>
      <c r="G10" s="734">
        <v>5122963.71</v>
      </c>
      <c r="H10" s="734">
        <f t="shared" si="0"/>
        <v>9261846.9900000002</v>
      </c>
      <c r="I10" s="44">
        <f>G10-H10</f>
        <v>-4138883.2800000003</v>
      </c>
      <c r="J10" s="330">
        <f>IF(I10=0,"",I10/H10)</f>
        <v>-0.44687450402373796</v>
      </c>
      <c r="K10" s="736">
        <f t="shared" si="3"/>
        <v>10103833.08</v>
      </c>
    </row>
    <row r="11" spans="1:11" ht="12.75" customHeight="1" x14ac:dyDescent="0.25">
      <c r="A11" s="39" t="s">
        <v>1063</v>
      </c>
      <c r="B11" s="169"/>
      <c r="C11" s="749"/>
      <c r="D11" s="746">
        <v>5051917.6000000006</v>
      </c>
      <c r="E11" s="734">
        <v>5051917.6000000006</v>
      </c>
      <c r="F11" s="734">
        <v>170200</v>
      </c>
      <c r="G11" s="734">
        <v>1851510.85</v>
      </c>
      <c r="H11" s="734">
        <f t="shared" si="0"/>
        <v>4630924.4666666668</v>
      </c>
      <c r="I11" s="44">
        <f>G11-H11</f>
        <v>-2779413.6166666667</v>
      </c>
      <c r="J11" s="330">
        <f>IF(I11=0,"",I11/H11)</f>
        <v>-0.60018547844449832</v>
      </c>
      <c r="K11" s="736">
        <f t="shared" si="3"/>
        <v>5051917.6000000006</v>
      </c>
    </row>
    <row r="12" spans="1:11" ht="12.75" customHeight="1" x14ac:dyDescent="0.25">
      <c r="A12" s="39" t="s">
        <v>1064</v>
      </c>
      <c r="B12" s="169"/>
      <c r="C12" s="749"/>
      <c r="D12" s="746">
        <v>5051916.54</v>
      </c>
      <c r="E12" s="734">
        <v>5051916.54</v>
      </c>
      <c r="F12" s="734">
        <v>11074.34</v>
      </c>
      <c r="G12" s="734">
        <v>123979.24999999997</v>
      </c>
      <c r="H12" s="734">
        <f t="shared" si="0"/>
        <v>4630923.4950000001</v>
      </c>
      <c r="I12" s="44">
        <f>G12-H12</f>
        <v>-4506944.2450000001</v>
      </c>
      <c r="J12" s="330">
        <f>IF(I12=0,"",I12/H12)</f>
        <v>-0.97322796411258783</v>
      </c>
      <c r="K12" s="736">
        <f t="shared" si="3"/>
        <v>5051916.54</v>
      </c>
    </row>
    <row r="13" spans="1:11" ht="12.75" customHeight="1" x14ac:dyDescent="0.25">
      <c r="A13" s="39" t="s">
        <v>1065</v>
      </c>
      <c r="B13" s="169"/>
      <c r="C13" s="749"/>
      <c r="D13" s="746"/>
      <c r="E13" s="734"/>
      <c r="F13" s="734">
        <v>8096.4</v>
      </c>
      <c r="G13" s="734">
        <v>70929.87</v>
      </c>
      <c r="H13" s="734"/>
      <c r="I13" s="44">
        <f t="shared" si="1"/>
        <v>70929.87</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3683708.9899999998</v>
      </c>
      <c r="G14" s="430">
        <f t="shared" si="4"/>
        <v>40067939.059999995</v>
      </c>
      <c r="H14" s="430">
        <f t="shared" si="4"/>
        <v>47197249.861666664</v>
      </c>
      <c r="I14" s="430">
        <f t="shared" si="1"/>
        <v>-7129310.8016666695</v>
      </c>
      <c r="J14" s="431">
        <f t="shared" si="2"/>
        <v>-0.15105352160480551</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625822.11</v>
      </c>
      <c r="G18" s="734">
        <v>5655731.9800000004</v>
      </c>
      <c r="H18" s="734">
        <f t="shared" ref="H18:H20" si="5">E18/12*11</f>
        <v>9158394.9600000028</v>
      </c>
      <c r="I18" s="44">
        <f t="shared" ref="I18:I30" si="6">G18-H18</f>
        <v>-3502662.9800000023</v>
      </c>
      <c r="J18" s="330">
        <f t="shared" ref="J18:J29" si="7">IF(I18=0,"",I18/H18)</f>
        <v>-0.38245380280039826</v>
      </c>
      <c r="K18" s="736">
        <f>E18</f>
        <v>9990976.3200000022</v>
      </c>
    </row>
    <row r="19" spans="1:11" ht="12.75" customHeight="1" x14ac:dyDescent="0.25">
      <c r="A19" s="39" t="s">
        <v>1061</v>
      </c>
      <c r="B19" s="169"/>
      <c r="C19" s="749"/>
      <c r="D19" s="746">
        <v>1369033.92</v>
      </c>
      <c r="E19" s="734">
        <v>1369033.92</v>
      </c>
      <c r="F19" s="734">
        <v>46678.8</v>
      </c>
      <c r="G19" s="734">
        <v>591079.54000000027</v>
      </c>
      <c r="H19" s="734">
        <f t="shared" si="5"/>
        <v>1254947.7599999998</v>
      </c>
      <c r="I19" s="44">
        <f t="shared" si="6"/>
        <v>-663868.21999999951</v>
      </c>
      <c r="J19" s="330">
        <f t="shared" si="7"/>
        <v>-0.52900068127138589</v>
      </c>
      <c r="K19" s="736">
        <f>E19</f>
        <v>1369033.92</v>
      </c>
    </row>
    <row r="20" spans="1:11" ht="12.75" customHeight="1" x14ac:dyDescent="0.25">
      <c r="A20" s="39" t="s">
        <v>433</v>
      </c>
      <c r="B20" s="169"/>
      <c r="C20" s="749"/>
      <c r="D20" s="746">
        <v>150548.76</v>
      </c>
      <c r="E20" s="734">
        <v>150548.76</v>
      </c>
      <c r="F20" s="734">
        <v>7378.35</v>
      </c>
      <c r="G20" s="734">
        <v>92225.849999999991</v>
      </c>
      <c r="H20" s="734">
        <f t="shared" si="5"/>
        <v>138003.03000000003</v>
      </c>
      <c r="I20" s="44">
        <f t="shared" si="6"/>
        <v>-45777.180000000037</v>
      </c>
      <c r="J20" s="330">
        <f t="shared" si="7"/>
        <v>-0.33171141242333613</v>
      </c>
      <c r="K20" s="736">
        <f>E20</f>
        <v>150548.76</v>
      </c>
    </row>
    <row r="21" spans="1:11" ht="12.75" customHeight="1" x14ac:dyDescent="0.25">
      <c r="A21" s="39" t="s">
        <v>546</v>
      </c>
      <c r="B21" s="169"/>
      <c r="C21" s="749"/>
      <c r="D21" s="746"/>
      <c r="E21" s="734"/>
      <c r="F21" s="734"/>
      <c r="G21" s="734"/>
      <c r="H21" s="734"/>
      <c r="I21" s="44">
        <f t="shared" si="6"/>
        <v>0</v>
      </c>
      <c r="J21" s="330" t="str">
        <f t="shared" si="7"/>
        <v/>
      </c>
      <c r="K21" s="736"/>
    </row>
    <row r="22" spans="1:11" ht="12.75" customHeight="1" x14ac:dyDescent="0.25">
      <c r="A22" s="39" t="s">
        <v>435</v>
      </c>
      <c r="B22" s="169"/>
      <c r="C22" s="749"/>
      <c r="D22" s="746">
        <v>625097.52</v>
      </c>
      <c r="E22" s="734">
        <v>625097.52</v>
      </c>
      <c r="F22" s="734"/>
      <c r="G22" s="734">
        <v>640162.71</v>
      </c>
      <c r="H22" s="734">
        <f t="shared" ref="H22:H25" si="8">E22/12*11</f>
        <v>573006.05999999994</v>
      </c>
      <c r="I22" s="44">
        <f>G22-H22</f>
        <v>67156.650000000023</v>
      </c>
      <c r="J22" s="330">
        <f>IF(I22=0,"",I22/H22)</f>
        <v>0.11720059295707977</v>
      </c>
      <c r="K22" s="736">
        <f>E22</f>
        <v>625097.52</v>
      </c>
    </row>
    <row r="23" spans="1:11" ht="12.75" customHeight="1" x14ac:dyDescent="0.25">
      <c r="A23" s="39" t="s">
        <v>1062</v>
      </c>
      <c r="B23" s="169"/>
      <c r="C23" s="749"/>
      <c r="D23" s="746">
        <v>1200349.8000000003</v>
      </c>
      <c r="E23" s="734">
        <v>1200349.8000000003</v>
      </c>
      <c r="F23" s="734">
        <v>62860.86</v>
      </c>
      <c r="G23" s="734">
        <v>752987.64999999991</v>
      </c>
      <c r="H23" s="734">
        <f t="shared" si="8"/>
        <v>1100320.6500000004</v>
      </c>
      <c r="I23" s="44">
        <f>G23-H23</f>
        <v>-347333.00000000047</v>
      </c>
      <c r="J23" s="330">
        <f>IF(I23=0,"",I23/H23)</f>
        <v>-0.31566525630506009</v>
      </c>
      <c r="K23" s="736">
        <f>E23</f>
        <v>1200349.8000000003</v>
      </c>
    </row>
    <row r="24" spans="1:11" ht="12.75" customHeight="1" x14ac:dyDescent="0.25">
      <c r="A24" s="39" t="s">
        <v>1063</v>
      </c>
      <c r="B24" s="169"/>
      <c r="C24" s="749"/>
      <c r="D24" s="746">
        <v>104366.88</v>
      </c>
      <c r="E24" s="734">
        <v>104366.88</v>
      </c>
      <c r="F24" s="734">
        <v>6950</v>
      </c>
      <c r="G24" s="734">
        <v>81050</v>
      </c>
      <c r="H24" s="734">
        <f t="shared" si="8"/>
        <v>95669.64</v>
      </c>
      <c r="I24" s="44">
        <f>G24-H24</f>
        <v>-14619.64</v>
      </c>
      <c r="J24" s="330">
        <f>IF(I24=0,"",I24/H24)</f>
        <v>-0.15281378711156432</v>
      </c>
      <c r="K24" s="736">
        <f>E24</f>
        <v>104366.88</v>
      </c>
    </row>
    <row r="25" spans="1:11" ht="12.75" customHeight="1" x14ac:dyDescent="0.25">
      <c r="A25" s="39" t="s">
        <v>1064</v>
      </c>
      <c r="B25" s="169"/>
      <c r="C25" s="749"/>
      <c r="D25" s="746">
        <v>710097.84</v>
      </c>
      <c r="E25" s="734">
        <v>710097.84</v>
      </c>
      <c r="F25" s="734">
        <v>15907.77</v>
      </c>
      <c r="G25" s="734">
        <v>245435.47</v>
      </c>
      <c r="H25" s="734">
        <f t="shared" si="8"/>
        <v>650923.02</v>
      </c>
      <c r="I25" s="44">
        <f>G25-H25</f>
        <v>-405487.55000000005</v>
      </c>
      <c r="J25" s="330">
        <f>IF(I25=0,"",I25/H25)</f>
        <v>-0.6229424026208199</v>
      </c>
      <c r="K25" s="736">
        <f>E25</f>
        <v>710097.84</v>
      </c>
    </row>
    <row r="26" spans="1:11" ht="12.75" customHeight="1" x14ac:dyDescent="0.25">
      <c r="A26" s="39" t="s">
        <v>1065</v>
      </c>
      <c r="B26" s="169"/>
      <c r="C26" s="749"/>
      <c r="D26" s="746"/>
      <c r="E26" s="734"/>
      <c r="F26" s="734"/>
      <c r="G26" s="734">
        <v>124582.52999999998</v>
      </c>
      <c r="H26" s="734"/>
      <c r="I26" s="44">
        <f t="shared" si="6"/>
        <v>124582.52999999998</v>
      </c>
      <c r="J26" s="330" t="e">
        <f t="shared" si="7"/>
        <v>#DIV/0!</v>
      </c>
      <c r="K26" s="736"/>
    </row>
    <row r="27" spans="1:11" ht="12.75" customHeight="1" x14ac:dyDescent="0.25">
      <c r="A27" s="39" t="s">
        <v>1066</v>
      </c>
      <c r="B27" s="169"/>
      <c r="C27" s="749"/>
      <c r="D27" s="746"/>
      <c r="E27" s="734"/>
      <c r="F27" s="734"/>
      <c r="G27" s="734"/>
      <c r="H27" s="734"/>
      <c r="I27" s="44">
        <f t="shared" si="6"/>
        <v>0</v>
      </c>
      <c r="J27" s="330" t="str">
        <f t="shared" si="7"/>
        <v/>
      </c>
      <c r="K27" s="736"/>
    </row>
    <row r="28" spans="1:11" ht="12.75" customHeight="1" x14ac:dyDescent="0.25">
      <c r="A28" s="39" t="s">
        <v>1067</v>
      </c>
      <c r="B28" s="169"/>
      <c r="C28" s="749"/>
      <c r="D28" s="746"/>
      <c r="E28" s="734"/>
      <c r="F28" s="734"/>
      <c r="G28" s="734"/>
      <c r="H28" s="734"/>
      <c r="I28" s="44">
        <f t="shared" si="6"/>
        <v>0</v>
      </c>
      <c r="J28" s="330" t="str">
        <f t="shared" si="7"/>
        <v/>
      </c>
      <c r="K28" s="736"/>
    </row>
    <row r="29" spans="1:11" ht="12.75" customHeight="1" x14ac:dyDescent="0.25">
      <c r="A29" s="39" t="s">
        <v>1068</v>
      </c>
      <c r="B29" s="169">
        <v>2</v>
      </c>
      <c r="C29" s="749"/>
      <c r="D29" s="746"/>
      <c r="E29" s="734"/>
      <c r="F29" s="734"/>
      <c r="G29" s="734"/>
      <c r="H29" s="734"/>
      <c r="I29" s="44">
        <f t="shared" si="6"/>
        <v>0</v>
      </c>
      <c r="J29" s="330" t="str">
        <f t="shared" si="7"/>
        <v/>
      </c>
      <c r="K29" s="736"/>
    </row>
    <row r="30" spans="1:11" ht="12.75" customHeight="1" x14ac:dyDescent="0.25">
      <c r="A30" s="87" t="s">
        <v>436</v>
      </c>
      <c r="B30" s="169"/>
      <c r="C30" s="516">
        <f t="shared" ref="C30:K30" si="9">SUM(C18:C29)</f>
        <v>0</v>
      </c>
      <c r="D30" s="475">
        <f t="shared" si="9"/>
        <v>14150471.040000003</v>
      </c>
      <c r="E30" s="430">
        <f t="shared" si="9"/>
        <v>14150471.040000003</v>
      </c>
      <c r="F30" s="430">
        <f>SUM(F18:F29)</f>
        <v>765597.89</v>
      </c>
      <c r="G30" s="430">
        <f>SUM(G18:G29)</f>
        <v>8183255.7300000004</v>
      </c>
      <c r="H30" s="430">
        <f>SUM(H18:H29)</f>
        <v>12971265.120000003</v>
      </c>
      <c r="I30" s="430">
        <f t="shared" si="6"/>
        <v>-4788009.3900000025</v>
      </c>
      <c r="J30" s="431">
        <f>IF(I30=0,"",I30/H30)</f>
        <v>-0.36912431792158151</v>
      </c>
      <c r="K30" s="513">
        <f t="shared" si="9"/>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61896112.229999982</v>
      </c>
      <c r="G34" s="734">
        <v>679436704.71999979</v>
      </c>
      <c r="H34" s="734">
        <f t="shared" ref="H34:H42" si="10">E34/12*11</f>
        <v>800545592.51333368</v>
      </c>
      <c r="I34" s="44">
        <f t="shared" ref="I34:I46" si="11">G34-H34</f>
        <v>-121108887.79333389</v>
      </c>
      <c r="J34" s="330">
        <f t="shared" ref="J34:J45" si="12">IF(I34=0,"",I34/H34)</f>
        <v>-0.15128293619493849</v>
      </c>
      <c r="K34" s="736">
        <f t="shared" ref="K34:K42" si="13">E34</f>
        <v>873322464.5600003</v>
      </c>
    </row>
    <row r="35" spans="1:11" ht="12.75" customHeight="1" x14ac:dyDescent="0.25">
      <c r="A35" s="518" t="s">
        <v>1061</v>
      </c>
      <c r="B35" s="169"/>
      <c r="C35" s="749"/>
      <c r="D35" s="746">
        <v>177669450.28</v>
      </c>
      <c r="E35" s="734">
        <v>177669450.28</v>
      </c>
      <c r="F35" s="734">
        <v>13270419.120000003</v>
      </c>
      <c r="G35" s="734">
        <v>147172071.52999994</v>
      </c>
      <c r="H35" s="734">
        <f t="shared" si="10"/>
        <v>162863662.75666666</v>
      </c>
      <c r="I35" s="44">
        <f t="shared" si="11"/>
        <v>-15691591.226666719</v>
      </c>
      <c r="J35" s="330">
        <f t="shared" si="12"/>
        <v>-9.6348018711278793E-2</v>
      </c>
      <c r="K35" s="736">
        <f t="shared" si="13"/>
        <v>177669450.28</v>
      </c>
    </row>
    <row r="36" spans="1:11" ht="12.75" customHeight="1" x14ac:dyDescent="0.25">
      <c r="A36" s="518" t="s">
        <v>433</v>
      </c>
      <c r="B36" s="169"/>
      <c r="C36" s="749"/>
      <c r="D36" s="746">
        <v>66845862.320000008</v>
      </c>
      <c r="E36" s="734">
        <v>66845862.320000008</v>
      </c>
      <c r="F36" s="734">
        <v>5142015.49</v>
      </c>
      <c r="G36" s="734">
        <v>54456365.880000018</v>
      </c>
      <c r="H36" s="734">
        <f t="shared" si="10"/>
        <v>61275373.793333337</v>
      </c>
      <c r="I36" s="44">
        <f t="shared" si="11"/>
        <v>-6819007.9133333191</v>
      </c>
      <c r="J36" s="330">
        <f t="shared" si="12"/>
        <v>-0.11128463999798915</v>
      </c>
      <c r="K36" s="736">
        <f t="shared" si="13"/>
        <v>66845862.320000008</v>
      </c>
    </row>
    <row r="37" spans="1:11" ht="12.75" customHeight="1" x14ac:dyDescent="0.25">
      <c r="A37" s="518" t="s">
        <v>546</v>
      </c>
      <c r="B37" s="169"/>
      <c r="C37" s="749"/>
      <c r="D37" s="746">
        <v>70151846.040000007</v>
      </c>
      <c r="E37" s="734">
        <v>70151846.040000007</v>
      </c>
      <c r="F37" s="734">
        <v>10400124.430000003</v>
      </c>
      <c r="G37" s="734">
        <v>86744964.340000004</v>
      </c>
      <c r="H37" s="734">
        <f t="shared" si="10"/>
        <v>64305858.870000012</v>
      </c>
      <c r="I37" s="44">
        <f t="shared" si="11"/>
        <v>22439105.469999991</v>
      </c>
      <c r="J37" s="330">
        <f t="shared" si="12"/>
        <v>0.34894340677981817</v>
      </c>
      <c r="K37" s="736">
        <f t="shared" si="13"/>
        <v>70151846.040000007</v>
      </c>
    </row>
    <row r="38" spans="1:11" ht="12.75" customHeight="1" x14ac:dyDescent="0.25">
      <c r="A38" s="518" t="s">
        <v>435</v>
      </c>
      <c r="B38" s="169"/>
      <c r="C38" s="749"/>
      <c r="D38" s="746">
        <v>66720212.440000005</v>
      </c>
      <c r="E38" s="734">
        <v>66720212.440000005</v>
      </c>
      <c r="F38" s="734">
        <v>90301.400000000009</v>
      </c>
      <c r="G38" s="734">
        <v>60605882.740000002</v>
      </c>
      <c r="H38" s="734">
        <f t="shared" si="10"/>
        <v>61160194.736666672</v>
      </c>
      <c r="I38" s="44">
        <f t="shared" si="11"/>
        <v>-554311.99666666985</v>
      </c>
      <c r="J38" s="330">
        <f t="shared" si="12"/>
        <v>-9.0632804400531033E-3</v>
      </c>
      <c r="K38" s="736">
        <f t="shared" si="13"/>
        <v>66720212.440000005</v>
      </c>
    </row>
    <row r="39" spans="1:11" ht="12.75" customHeight="1" x14ac:dyDescent="0.25">
      <c r="A39" s="518" t="s">
        <v>1062</v>
      </c>
      <c r="B39" s="169"/>
      <c r="C39" s="749"/>
      <c r="D39" s="746">
        <v>23337512.04000001</v>
      </c>
      <c r="E39" s="734">
        <v>23337512.04000001</v>
      </c>
      <c r="F39" s="734">
        <v>1786882.17</v>
      </c>
      <c r="G39" s="734">
        <v>24933014.420000006</v>
      </c>
      <c r="H39" s="734">
        <f t="shared" si="10"/>
        <v>21392719.370000008</v>
      </c>
      <c r="I39" s="44">
        <f>G39-H39</f>
        <v>3540295.049999997</v>
      </c>
      <c r="J39" s="330">
        <f>IF(I39=0,"",I39/H39)</f>
        <v>0.16549065075685118</v>
      </c>
      <c r="K39" s="736">
        <f t="shared" si="13"/>
        <v>23337512.04000001</v>
      </c>
    </row>
    <row r="40" spans="1:11" ht="12.75" customHeight="1" x14ac:dyDescent="0.25">
      <c r="A40" s="518" t="s">
        <v>1063</v>
      </c>
      <c r="B40" s="169"/>
      <c r="C40" s="749"/>
      <c r="D40" s="746">
        <v>4061595.4800000018</v>
      </c>
      <c r="E40" s="734">
        <v>4061595.4800000018</v>
      </c>
      <c r="F40" s="734">
        <v>314201.51</v>
      </c>
      <c r="G40" s="734">
        <v>3412014.5300000003</v>
      </c>
      <c r="H40" s="734">
        <f t="shared" si="10"/>
        <v>3723129.1900000018</v>
      </c>
      <c r="I40" s="44">
        <f>G40-H40</f>
        <v>-311114.66000000155</v>
      </c>
      <c r="J40" s="330">
        <f>IF(I40=0,"",I40/H40)</f>
        <v>-8.3562681852573956E-2</v>
      </c>
      <c r="K40" s="736">
        <f t="shared" si="13"/>
        <v>4061595.4800000018</v>
      </c>
    </row>
    <row r="41" spans="1:11" ht="12.75" customHeight="1" x14ac:dyDescent="0.25">
      <c r="A41" s="518" t="s">
        <v>1064</v>
      </c>
      <c r="B41" s="169"/>
      <c r="C41" s="749"/>
      <c r="D41" s="746">
        <v>7336035.0000000047</v>
      </c>
      <c r="E41" s="734">
        <v>7336035.0000000047</v>
      </c>
      <c r="F41" s="734">
        <v>338598.20999999996</v>
      </c>
      <c r="G41" s="734">
        <v>3798851.2500000023</v>
      </c>
      <c r="H41" s="734">
        <f t="shared" si="10"/>
        <v>6724698.7500000037</v>
      </c>
      <c r="I41" s="44">
        <f>G41-H41</f>
        <v>-2925847.5000000014</v>
      </c>
      <c r="J41" s="330">
        <f>IF(I41=0,"",I41/H41)</f>
        <v>-0.43508975030294106</v>
      </c>
      <c r="K41" s="736">
        <f t="shared" si="13"/>
        <v>7336035.0000000047</v>
      </c>
    </row>
    <row r="42" spans="1:11" ht="12.75" customHeight="1" x14ac:dyDescent="0.25">
      <c r="A42" s="518" t="s">
        <v>1065</v>
      </c>
      <c r="B42" s="169"/>
      <c r="C42" s="749"/>
      <c r="D42" s="746">
        <v>43995170.519999996</v>
      </c>
      <c r="E42" s="734">
        <v>43995170.519999996</v>
      </c>
      <c r="F42" s="734">
        <v>6747392.7000000002</v>
      </c>
      <c r="G42" s="734">
        <v>74469692.939999968</v>
      </c>
      <c r="H42" s="734">
        <f t="shared" si="10"/>
        <v>40328906.309999995</v>
      </c>
      <c r="I42" s="44">
        <f t="shared" si="11"/>
        <v>34140786.629999973</v>
      </c>
      <c r="J42" s="330">
        <f t="shared" si="12"/>
        <v>0.84655870326774496</v>
      </c>
      <c r="K42" s="736">
        <f t="shared" si="13"/>
        <v>43995170.519999996</v>
      </c>
    </row>
    <row r="43" spans="1:11" ht="12.75" customHeight="1" x14ac:dyDescent="0.25">
      <c r="A43" s="518" t="s">
        <v>1066</v>
      </c>
      <c r="B43" s="169"/>
      <c r="C43" s="749"/>
      <c r="D43" s="746"/>
      <c r="E43" s="734"/>
      <c r="F43" s="734"/>
      <c r="G43" s="734"/>
      <c r="H43" s="734"/>
      <c r="I43" s="44">
        <f t="shared" si="11"/>
        <v>0</v>
      </c>
      <c r="J43" s="330" t="str">
        <f t="shared" si="12"/>
        <v/>
      </c>
      <c r="K43" s="736"/>
    </row>
    <row r="44" spans="1:11" ht="12.75" customHeight="1" x14ac:dyDescent="0.25">
      <c r="A44" s="518" t="s">
        <v>1067</v>
      </c>
      <c r="B44" s="169"/>
      <c r="C44" s="749"/>
      <c r="D44" s="746">
        <v>22777230.240000006</v>
      </c>
      <c r="E44" s="734">
        <v>22777230.240000006</v>
      </c>
      <c r="F44" s="734">
        <v>1597440.5400000003</v>
      </c>
      <c r="G44" s="734">
        <v>21000386.859999999</v>
      </c>
      <c r="H44" s="734">
        <f t="shared" ref="H44" si="14">E44/12*11</f>
        <v>20879127.720000006</v>
      </c>
      <c r="I44" s="44">
        <f t="shared" si="11"/>
        <v>121259.13999999315</v>
      </c>
      <c r="J44" s="330">
        <f t="shared" si="12"/>
        <v>5.807672697161561E-3</v>
      </c>
      <c r="K44" s="736">
        <f>E44</f>
        <v>22777230.240000006</v>
      </c>
    </row>
    <row r="45" spans="1:11" ht="12.75" customHeight="1" x14ac:dyDescent="0.25">
      <c r="A45" s="518" t="s">
        <v>1068</v>
      </c>
      <c r="B45" s="169">
        <v>2</v>
      </c>
      <c r="C45" s="749"/>
      <c r="D45" s="746"/>
      <c r="E45" s="734"/>
      <c r="F45" s="734"/>
      <c r="G45" s="734"/>
      <c r="H45" s="734"/>
      <c r="I45" s="44">
        <f t="shared" si="11"/>
        <v>0</v>
      </c>
      <c r="J45" s="330" t="str">
        <f t="shared" si="12"/>
        <v/>
      </c>
      <c r="K45" s="736"/>
    </row>
    <row r="46" spans="1:11" ht="12.75" customHeight="1" x14ac:dyDescent="0.25">
      <c r="A46" s="87" t="s">
        <v>438</v>
      </c>
      <c r="B46" s="169"/>
      <c r="C46" s="516">
        <f t="shared" ref="C46:K46" si="15">SUM(C34:C45)</f>
        <v>0</v>
      </c>
      <c r="D46" s="475">
        <f t="shared" si="15"/>
        <v>1356217378.9200003</v>
      </c>
      <c r="E46" s="430">
        <f t="shared" si="15"/>
        <v>1356217378.9200003</v>
      </c>
      <c r="F46" s="430">
        <f>SUM(F34:F45)</f>
        <v>101583487.8</v>
      </c>
      <c r="G46" s="430">
        <f>SUM(G34:G45)</f>
        <v>1156029949.2099996</v>
      </c>
      <c r="H46" s="430">
        <f>SUM(H34:H45)</f>
        <v>1243199264.0100005</v>
      </c>
      <c r="I46" s="430">
        <f t="shared" si="11"/>
        <v>-87169314.800000906</v>
      </c>
      <c r="J46" s="431">
        <f>IF(I46=0,"",I46/H46)</f>
        <v>-7.0116929219240356E-2</v>
      </c>
      <c r="K46" s="513">
        <f t="shared" si="15"/>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6">D14+D30+D46</f>
        <v>1421855758.9000003</v>
      </c>
      <c r="E49" s="73">
        <f t="shared" si="16"/>
        <v>1421855758.9000003</v>
      </c>
      <c r="F49" s="73">
        <f t="shared" si="16"/>
        <v>106032794.67999999</v>
      </c>
      <c r="G49" s="73">
        <f t="shared" si="16"/>
        <v>1204281143.9999995</v>
      </c>
      <c r="H49" s="73">
        <f t="shared" si="16"/>
        <v>1303367778.991667</v>
      </c>
      <c r="I49" s="73">
        <f>G49-H49</f>
        <v>-99086634.991667509</v>
      </c>
      <c r="J49" s="331">
        <f>IF(I49=0,"",I49/H49)</f>
        <v>-7.6023541926381333E-2</v>
      </c>
      <c r="K49" s="145">
        <f t="shared" si="16"/>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7">G54-H54</f>
        <v>0</v>
      </c>
      <c r="J54" s="330" t="str">
        <f t="shared" ref="J54:J66" si="18">IF(I54=0,"",I54/H54)</f>
        <v/>
      </c>
      <c r="K54" s="736"/>
    </row>
    <row r="55" spans="1:11" ht="12.75" customHeight="1" x14ac:dyDescent="0.25">
      <c r="A55" s="39" t="s">
        <v>1061</v>
      </c>
      <c r="B55" s="169"/>
      <c r="C55" s="749"/>
      <c r="D55" s="746"/>
      <c r="E55" s="734"/>
      <c r="F55" s="734"/>
      <c r="G55" s="734"/>
      <c r="H55" s="734"/>
      <c r="I55" s="44">
        <f t="shared" si="17"/>
        <v>0</v>
      </c>
      <c r="J55" s="330" t="str">
        <f t="shared" si="18"/>
        <v/>
      </c>
      <c r="K55" s="736"/>
    </row>
    <row r="56" spans="1:11" ht="12.75" customHeight="1" x14ac:dyDescent="0.25">
      <c r="A56" s="39" t="s">
        <v>433</v>
      </c>
      <c r="B56" s="169"/>
      <c r="C56" s="749"/>
      <c r="D56" s="746"/>
      <c r="E56" s="734"/>
      <c r="F56" s="734"/>
      <c r="G56" s="734"/>
      <c r="H56" s="734"/>
      <c r="I56" s="44">
        <f t="shared" si="17"/>
        <v>0</v>
      </c>
      <c r="J56" s="330" t="str">
        <f t="shared" si="18"/>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7"/>
        <v>0</v>
      </c>
      <c r="J62" s="330" t="str">
        <f t="shared" si="18"/>
        <v/>
      </c>
      <c r="K62" s="736"/>
    </row>
    <row r="63" spans="1:11" ht="12.75" customHeight="1" x14ac:dyDescent="0.25">
      <c r="A63" s="39" t="s">
        <v>564</v>
      </c>
      <c r="B63" s="169"/>
      <c r="C63" s="749"/>
      <c r="D63" s="746">
        <v>453502.3</v>
      </c>
      <c r="E63" s="734">
        <v>453502.3</v>
      </c>
      <c r="F63" s="734">
        <v>34868.230000000003</v>
      </c>
      <c r="G63" s="734">
        <v>128651.78</v>
      </c>
      <c r="H63" s="734">
        <f t="shared" ref="H63" si="19">E63/12*11</f>
        <v>415710.44166666665</v>
      </c>
      <c r="I63" s="44">
        <f>G63-H63</f>
        <v>-287058.66166666662</v>
      </c>
      <c r="J63" s="330">
        <f>IF(I63=0,"",I63/H63)</f>
        <v>-0.69052550259692969</v>
      </c>
      <c r="K63" s="736">
        <f>E63</f>
        <v>453502.3</v>
      </c>
    </row>
    <row r="64" spans="1:11" ht="12.75" customHeight="1" x14ac:dyDescent="0.25">
      <c r="A64" s="39" t="s">
        <v>1066</v>
      </c>
      <c r="B64" s="169"/>
      <c r="C64" s="749"/>
      <c r="D64" s="746"/>
      <c r="E64" s="734"/>
      <c r="F64" s="734"/>
      <c r="G64" s="734"/>
      <c r="H64" s="734"/>
      <c r="I64" s="44">
        <f t="shared" si="17"/>
        <v>0</v>
      </c>
      <c r="J64" s="330" t="str">
        <f t="shared" si="18"/>
        <v/>
      </c>
      <c r="K64" s="736"/>
    </row>
    <row r="65" spans="1:11" ht="12.75" customHeight="1" x14ac:dyDescent="0.25">
      <c r="A65" s="39" t="s">
        <v>1067</v>
      </c>
      <c r="B65" s="169"/>
      <c r="C65" s="749"/>
      <c r="D65" s="746"/>
      <c r="E65" s="734"/>
      <c r="F65" s="734"/>
      <c r="G65" s="734"/>
      <c r="H65" s="734"/>
      <c r="I65" s="44">
        <f t="shared" si="17"/>
        <v>0</v>
      </c>
      <c r="J65" s="330" t="str">
        <f t="shared" si="18"/>
        <v/>
      </c>
      <c r="K65" s="736"/>
    </row>
    <row r="66" spans="1:11" ht="12.75" customHeight="1" x14ac:dyDescent="0.25">
      <c r="A66" s="39" t="s">
        <v>1068</v>
      </c>
      <c r="B66" s="169"/>
      <c r="C66" s="749"/>
      <c r="D66" s="746"/>
      <c r="E66" s="734"/>
      <c r="F66" s="734"/>
      <c r="G66" s="734"/>
      <c r="H66" s="734"/>
      <c r="I66" s="44">
        <f t="shared" si="17"/>
        <v>0</v>
      </c>
      <c r="J66" s="330" t="str">
        <f t="shared" si="18"/>
        <v/>
      </c>
      <c r="K66" s="736"/>
    </row>
    <row r="67" spans="1:11" ht="12.75" customHeight="1" x14ac:dyDescent="0.25">
      <c r="A67" s="87" t="s">
        <v>779</v>
      </c>
      <c r="B67" s="169">
        <v>2</v>
      </c>
      <c r="C67" s="516">
        <f t="shared" ref="C67:K67" si="20">SUM(C54:C66)</f>
        <v>0</v>
      </c>
      <c r="D67" s="475">
        <f t="shared" si="20"/>
        <v>453502.3</v>
      </c>
      <c r="E67" s="430">
        <f t="shared" si="20"/>
        <v>453502.3</v>
      </c>
      <c r="F67" s="430">
        <f>SUM(F54:F66)</f>
        <v>34868.230000000003</v>
      </c>
      <c r="G67" s="430">
        <f>SUM(G54:G66)</f>
        <v>128651.78</v>
      </c>
      <c r="H67" s="430">
        <f>SUM(H54:H66)</f>
        <v>415710.44166666665</v>
      </c>
      <c r="I67" s="430">
        <f t="shared" si="17"/>
        <v>-287058.66166666662</v>
      </c>
      <c r="J67" s="431">
        <f>IF(I67=0,"",I67/H67)</f>
        <v>-0.69052550259692969</v>
      </c>
      <c r="K67" s="513">
        <f t="shared" si="20"/>
        <v>453502.3</v>
      </c>
    </row>
    <row r="68" spans="1:11" ht="12.75" customHeight="1" x14ac:dyDescent="0.25">
      <c r="A68" s="566" t="s">
        <v>731</v>
      </c>
      <c r="B68" s="169">
        <v>4</v>
      </c>
      <c r="C68" s="173"/>
      <c r="D68" s="303" t="e">
        <f>IF(D67=0,"",(D67/C67)-1)</f>
        <v>#DIV/0!</v>
      </c>
      <c r="E68" s="303" t="e">
        <f>IF(E67=0,"",(E67/C67)-1)</f>
        <v>#DIV/0!</v>
      </c>
      <c r="F68" s="303"/>
      <c r="G68" s="303"/>
      <c r="H68" s="303"/>
      <c r="I68" s="303"/>
      <c r="J68" s="344"/>
      <c r="K68" s="312" t="e">
        <f>IF(K67=0,"",(K67/C67)-1)</f>
        <v>#DIV/0!</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v>7389647.3300000001</v>
      </c>
      <c r="E71" s="734">
        <v>7389647.3300000001</v>
      </c>
      <c r="F71" s="734">
        <v>51748.11</v>
      </c>
      <c r="G71" s="734">
        <v>567039.29</v>
      </c>
      <c r="H71" s="734">
        <f t="shared" ref="H71:H77" si="21">E71/12*11</f>
        <v>6773843.3858333342</v>
      </c>
      <c r="I71" s="44">
        <f t="shared" ref="I71:I83" si="22">G71-H71</f>
        <v>-6206804.0958333341</v>
      </c>
      <c r="J71" s="330">
        <f t="shared" ref="J71:J82" si="23">IF(I71=0,"",I71/H71)</f>
        <v>-0.91628987301568066</v>
      </c>
      <c r="K71" s="736">
        <f>E71</f>
        <v>7389647.3300000001</v>
      </c>
    </row>
    <row r="72" spans="1:11" ht="12.75" customHeight="1" x14ac:dyDescent="0.25">
      <c r="A72" s="518" t="s">
        <v>1061</v>
      </c>
      <c r="B72" s="169"/>
      <c r="C72" s="749"/>
      <c r="D72" s="746">
        <v>541704.24</v>
      </c>
      <c r="E72" s="734">
        <v>541704.24</v>
      </c>
      <c r="F72" s="734"/>
      <c r="G72" s="734"/>
      <c r="H72" s="734">
        <f t="shared" si="21"/>
        <v>496562.22</v>
      </c>
      <c r="I72" s="44">
        <f t="shared" si="22"/>
        <v>-496562.22</v>
      </c>
      <c r="J72" s="330">
        <f t="shared" si="23"/>
        <v>-1</v>
      </c>
      <c r="K72" s="736">
        <f t="shared" ref="K72:K77" si="24">E72</f>
        <v>541704.24</v>
      </c>
    </row>
    <row r="73" spans="1:11" ht="12.75" customHeight="1" x14ac:dyDescent="0.25">
      <c r="A73" s="518" t="s">
        <v>433</v>
      </c>
      <c r="B73" s="169"/>
      <c r="C73" s="749"/>
      <c r="D73" s="746">
        <v>827571.76</v>
      </c>
      <c r="E73" s="734">
        <v>827571.76</v>
      </c>
      <c r="F73" s="734">
        <v>2254</v>
      </c>
      <c r="G73" s="734">
        <v>23683.48</v>
      </c>
      <c r="H73" s="734">
        <f t="shared" si="21"/>
        <v>758607.44666666677</v>
      </c>
      <c r="I73" s="44">
        <f t="shared" si="22"/>
        <v>-734923.96666666679</v>
      </c>
      <c r="J73" s="330">
        <f t="shared" si="23"/>
        <v>-0.96878032228121991</v>
      </c>
      <c r="K73" s="736">
        <f t="shared" si="24"/>
        <v>827571.76</v>
      </c>
    </row>
    <row r="74" spans="1:11" ht="12.75" customHeight="1" x14ac:dyDescent="0.25">
      <c r="A74" s="518" t="s">
        <v>546</v>
      </c>
      <c r="B74" s="169"/>
      <c r="C74" s="749"/>
      <c r="D74" s="746">
        <v>1100000</v>
      </c>
      <c r="E74" s="734">
        <v>1100000</v>
      </c>
      <c r="F74" s="734"/>
      <c r="G74" s="734"/>
      <c r="H74" s="734">
        <f t="shared" si="21"/>
        <v>1008333.3333333334</v>
      </c>
      <c r="I74" s="44">
        <f t="shared" si="22"/>
        <v>-1008333.3333333334</v>
      </c>
      <c r="J74" s="330">
        <f t="shared" si="23"/>
        <v>-1</v>
      </c>
      <c r="K74" s="736">
        <f t="shared" si="24"/>
        <v>1100000</v>
      </c>
    </row>
    <row r="75" spans="1:11" ht="12.75" customHeight="1" x14ac:dyDescent="0.25">
      <c r="A75" s="518" t="s">
        <v>435</v>
      </c>
      <c r="B75" s="169"/>
      <c r="C75" s="749"/>
      <c r="D75" s="746">
        <v>60116.679999999993</v>
      </c>
      <c r="E75" s="734">
        <v>60116.679999999993</v>
      </c>
      <c r="F75" s="734"/>
      <c r="G75" s="734">
        <v>6843.42</v>
      </c>
      <c r="H75" s="734">
        <f t="shared" si="21"/>
        <v>55106.956666666658</v>
      </c>
      <c r="I75" s="44">
        <f>G75-H75</f>
        <v>-48263.53666666666</v>
      </c>
      <c r="J75" s="330">
        <f>IF(I75=0,"",I75/H75)</f>
        <v>-0.87581567892789336</v>
      </c>
      <c r="K75" s="736">
        <f t="shared" si="24"/>
        <v>60116.679999999993</v>
      </c>
    </row>
    <row r="76" spans="1:11" ht="12.75" customHeight="1" x14ac:dyDescent="0.25">
      <c r="A76" s="518" t="s">
        <v>1062</v>
      </c>
      <c r="B76" s="169"/>
      <c r="C76" s="749"/>
      <c r="D76" s="746">
        <v>107133.9</v>
      </c>
      <c r="E76" s="734">
        <v>107133.9</v>
      </c>
      <c r="F76" s="734">
        <v>2500</v>
      </c>
      <c r="G76" s="734">
        <v>27500</v>
      </c>
      <c r="H76" s="734">
        <f t="shared" si="21"/>
        <v>98206.074999999983</v>
      </c>
      <c r="I76" s="44">
        <f>G76-H76</f>
        <v>-70706.074999999983</v>
      </c>
      <c r="J76" s="330">
        <f>IF(I76=0,"",I76/H76)</f>
        <v>-0.71997659004292758</v>
      </c>
      <c r="K76" s="736">
        <f t="shared" si="24"/>
        <v>107133.9</v>
      </c>
    </row>
    <row r="77" spans="1:11" ht="12.75" customHeight="1" x14ac:dyDescent="0.25">
      <c r="A77" s="518" t="s">
        <v>1063</v>
      </c>
      <c r="B77" s="169"/>
      <c r="C77" s="749"/>
      <c r="D77" s="746">
        <v>21916.54</v>
      </c>
      <c r="E77" s="734">
        <v>21916.54</v>
      </c>
      <c r="F77" s="734">
        <v>600</v>
      </c>
      <c r="G77" s="734">
        <v>6600</v>
      </c>
      <c r="H77" s="734">
        <f t="shared" si="21"/>
        <v>20090.161666666667</v>
      </c>
      <c r="I77" s="44">
        <f>G77-H77</f>
        <v>-13490.161666666667</v>
      </c>
      <c r="J77" s="330">
        <f>IF(I77=0,"",I77/H77)</f>
        <v>-0.67148099106884573</v>
      </c>
      <c r="K77" s="736">
        <f t="shared" si="24"/>
        <v>21916.54</v>
      </c>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22"/>
        <v>0</v>
      </c>
      <c r="J79" s="330" t="str">
        <f t="shared" si="23"/>
        <v/>
      </c>
      <c r="K79" s="736"/>
    </row>
    <row r="80" spans="1:11" ht="12.75" customHeight="1" x14ac:dyDescent="0.25">
      <c r="A80" s="518" t="s">
        <v>1066</v>
      </c>
      <c r="B80" s="169"/>
      <c r="C80" s="749"/>
      <c r="D80" s="746"/>
      <c r="E80" s="734"/>
      <c r="F80" s="734"/>
      <c r="G80" s="734"/>
      <c r="H80" s="734"/>
      <c r="I80" s="44">
        <f t="shared" si="22"/>
        <v>0</v>
      </c>
      <c r="J80" s="330" t="str">
        <f t="shared" si="23"/>
        <v/>
      </c>
      <c r="K80" s="736"/>
    </row>
    <row r="81" spans="1:11" ht="12.75" customHeight="1" x14ac:dyDescent="0.25">
      <c r="A81" s="518" t="s">
        <v>1067</v>
      </c>
      <c r="B81" s="169"/>
      <c r="C81" s="749"/>
      <c r="D81" s="746"/>
      <c r="E81" s="734"/>
      <c r="F81" s="734"/>
      <c r="G81" s="734"/>
      <c r="H81" s="734"/>
      <c r="I81" s="44">
        <f t="shared" si="22"/>
        <v>0</v>
      </c>
      <c r="J81" s="330" t="str">
        <f t="shared" si="23"/>
        <v/>
      </c>
      <c r="K81" s="736"/>
    </row>
    <row r="82" spans="1:11" ht="12.75" customHeight="1" x14ac:dyDescent="0.25">
      <c r="A82" s="518" t="s">
        <v>1068</v>
      </c>
      <c r="B82" s="169">
        <v>2</v>
      </c>
      <c r="C82" s="749"/>
      <c r="D82" s="746"/>
      <c r="E82" s="734"/>
      <c r="F82" s="734"/>
      <c r="G82" s="734"/>
      <c r="H82" s="734"/>
      <c r="I82" s="44">
        <f t="shared" si="22"/>
        <v>0</v>
      </c>
      <c r="J82" s="330" t="str">
        <f t="shared" si="23"/>
        <v/>
      </c>
      <c r="K82" s="736"/>
    </row>
    <row r="83" spans="1:11" ht="12.75" customHeight="1" x14ac:dyDescent="0.25">
      <c r="A83" s="87" t="s">
        <v>840</v>
      </c>
      <c r="B83" s="169"/>
      <c r="C83" s="516">
        <f t="shared" ref="C83:K83" si="25">SUM(C71:C82)</f>
        <v>0</v>
      </c>
      <c r="D83" s="475">
        <f t="shared" si="25"/>
        <v>10048090.449999999</v>
      </c>
      <c r="E83" s="430">
        <f t="shared" si="25"/>
        <v>10048090.449999999</v>
      </c>
      <c r="F83" s="430">
        <f>SUM(F71:F82)</f>
        <v>57102.11</v>
      </c>
      <c r="G83" s="430">
        <f>SUM(G71:G82)</f>
        <v>631666.19000000006</v>
      </c>
      <c r="H83" s="430">
        <f>SUM(H71:H82)</f>
        <v>9210749.5791666675</v>
      </c>
      <c r="I83" s="430">
        <f t="shared" si="22"/>
        <v>-8579083.3891666681</v>
      </c>
      <c r="J83" s="431">
        <f>IF(I83=0,"",I83/H83)</f>
        <v>-0.93142076173379706</v>
      </c>
      <c r="K83" s="513">
        <f t="shared" si="25"/>
        <v>10048090.449999999</v>
      </c>
    </row>
    <row r="84" spans="1:11" ht="12.75" customHeight="1" x14ac:dyDescent="0.25">
      <c r="A84" s="566" t="s">
        <v>731</v>
      </c>
      <c r="B84" s="169">
        <v>4</v>
      </c>
      <c r="C84" s="173"/>
      <c r="D84" s="303" t="e">
        <f>IF(D83=0,"",(D83/C83)-1)</f>
        <v>#DIV/0!</v>
      </c>
      <c r="E84" s="303" t="e">
        <f>IF(E83=0,"",(E83/C83)-1)</f>
        <v>#DIV/0!</v>
      </c>
      <c r="F84" s="303"/>
      <c r="G84" s="303"/>
      <c r="H84" s="303"/>
      <c r="I84" s="303"/>
      <c r="J84" s="344"/>
      <c r="K84" s="312" t="e">
        <f>IF(K83=0,"",(K83/C83)-1)</f>
        <v>#DIV/0!</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v>458673.45</v>
      </c>
      <c r="G87" s="734">
        <v>5097584.84</v>
      </c>
      <c r="H87" s="734"/>
      <c r="I87" s="44">
        <f t="shared" ref="I87:I99" si="26">G87-H87</f>
        <v>5097584.84</v>
      </c>
      <c r="J87" s="330" t="e">
        <f t="shared" ref="J87:J98" si="27">IF(I87=0,"",I87/H87)</f>
        <v>#DIV/0!</v>
      </c>
      <c r="K87" s="736"/>
    </row>
    <row r="88" spans="1:11" ht="12.75" customHeight="1" x14ac:dyDescent="0.25">
      <c r="A88" s="518" t="s">
        <v>1061</v>
      </c>
      <c r="B88" s="169"/>
      <c r="C88" s="749"/>
      <c r="D88" s="746"/>
      <c r="E88" s="734"/>
      <c r="F88" s="734">
        <v>34244.870000000003</v>
      </c>
      <c r="G88" s="734">
        <v>346889.33</v>
      </c>
      <c r="H88" s="734"/>
      <c r="I88" s="44">
        <f t="shared" si="26"/>
        <v>346889.33</v>
      </c>
      <c r="J88" s="330" t="e">
        <f t="shared" si="27"/>
        <v>#DIV/0!</v>
      </c>
      <c r="K88" s="736"/>
    </row>
    <row r="89" spans="1:11" ht="12.75" customHeight="1" x14ac:dyDescent="0.25">
      <c r="A89" s="518" t="s">
        <v>433</v>
      </c>
      <c r="B89" s="169"/>
      <c r="C89" s="749"/>
      <c r="D89" s="746"/>
      <c r="E89" s="734"/>
      <c r="F89" s="734">
        <v>63309.4</v>
      </c>
      <c r="G89" s="734">
        <v>659616.64</v>
      </c>
      <c r="H89" s="734"/>
      <c r="I89" s="44">
        <f>G89-H89</f>
        <v>659616.64</v>
      </c>
      <c r="J89" s="330" t="e">
        <f>IF(I89=0,"",I89/H89)</f>
        <v>#DIV/0!</v>
      </c>
      <c r="K89" s="736"/>
    </row>
    <row r="90" spans="1:11" ht="12.75" customHeight="1" x14ac:dyDescent="0.25">
      <c r="A90" s="518" t="s">
        <v>546</v>
      </c>
      <c r="B90" s="169"/>
      <c r="C90" s="749"/>
      <c r="D90" s="746"/>
      <c r="E90" s="734"/>
      <c r="F90" s="734">
        <v>89430</v>
      </c>
      <c r="G90" s="734">
        <v>836796</v>
      </c>
      <c r="H90" s="734"/>
      <c r="I90" s="44">
        <f>G90-H90</f>
        <v>836796</v>
      </c>
      <c r="J90" s="330" t="e">
        <f>IF(I90=0,"",I90/H90)</f>
        <v>#DIV/0!</v>
      </c>
      <c r="K90" s="736"/>
    </row>
    <row r="91" spans="1:11" ht="12.75" customHeight="1" x14ac:dyDescent="0.25">
      <c r="A91" s="518" t="s">
        <v>435</v>
      </c>
      <c r="B91" s="169"/>
      <c r="C91" s="749"/>
      <c r="D91" s="746"/>
      <c r="E91" s="734"/>
      <c r="F91" s="734"/>
      <c r="G91" s="734">
        <v>39656.400000000001</v>
      </c>
      <c r="H91" s="734"/>
      <c r="I91" s="44">
        <f>G91-H91</f>
        <v>39656.400000000001</v>
      </c>
      <c r="J91" s="330" t="e">
        <f>IF(I91=0,"",I91/H91)</f>
        <v>#DIV/0!</v>
      </c>
      <c r="K91" s="736"/>
    </row>
    <row r="92" spans="1:11" ht="12.75" customHeight="1" x14ac:dyDescent="0.25">
      <c r="A92" s="518" t="s">
        <v>1062</v>
      </c>
      <c r="B92" s="169"/>
      <c r="C92" s="749"/>
      <c r="D92" s="746"/>
      <c r="E92" s="734"/>
      <c r="F92" s="734">
        <v>8500</v>
      </c>
      <c r="G92" s="734">
        <v>93500</v>
      </c>
      <c r="H92" s="734"/>
      <c r="I92" s="44">
        <f>G92-H92</f>
        <v>93500</v>
      </c>
      <c r="J92" s="330" t="e">
        <f>IF(I92=0,"",I92/H92)</f>
        <v>#DIV/0!</v>
      </c>
      <c r="K92" s="736"/>
    </row>
    <row r="93" spans="1:11" ht="12.75" customHeight="1" x14ac:dyDescent="0.25">
      <c r="A93" s="518" t="s">
        <v>1063</v>
      </c>
      <c r="B93" s="169"/>
      <c r="C93" s="749"/>
      <c r="D93" s="746"/>
      <c r="E93" s="734"/>
      <c r="F93" s="734">
        <v>4650</v>
      </c>
      <c r="G93" s="734">
        <v>51150</v>
      </c>
      <c r="H93" s="734"/>
      <c r="I93" s="44">
        <f t="shared" si="26"/>
        <v>51150</v>
      </c>
      <c r="J93" s="330" t="e">
        <f t="shared" si="27"/>
        <v>#DIV/0!</v>
      </c>
      <c r="K93" s="736"/>
    </row>
    <row r="94" spans="1:11" ht="12.75" customHeight="1" x14ac:dyDescent="0.25">
      <c r="A94" s="518" t="s">
        <v>1064</v>
      </c>
      <c r="B94" s="169"/>
      <c r="C94" s="749"/>
      <c r="D94" s="746"/>
      <c r="E94" s="734"/>
      <c r="F94" s="734"/>
      <c r="G94" s="734"/>
      <c r="H94" s="734"/>
      <c r="I94" s="44">
        <f t="shared" si="26"/>
        <v>0</v>
      </c>
      <c r="J94" s="330" t="str">
        <f t="shared" si="27"/>
        <v/>
      </c>
      <c r="K94" s="736"/>
    </row>
    <row r="95" spans="1:11" ht="12.75" customHeight="1" x14ac:dyDescent="0.25">
      <c r="A95" s="518" t="s">
        <v>1065</v>
      </c>
      <c r="B95" s="169"/>
      <c r="C95" s="749"/>
      <c r="D95" s="746"/>
      <c r="E95" s="734"/>
      <c r="F95" s="734">
        <v>24725.56</v>
      </c>
      <c r="G95" s="734">
        <v>24725.56</v>
      </c>
      <c r="H95" s="734"/>
      <c r="I95" s="44">
        <f t="shared" si="26"/>
        <v>24725.56</v>
      </c>
      <c r="J95" s="330" t="e">
        <f t="shared" si="27"/>
        <v>#DIV/0!</v>
      </c>
      <c r="K95" s="736"/>
    </row>
    <row r="96" spans="1:11" ht="12.75" customHeight="1" x14ac:dyDescent="0.25">
      <c r="A96" s="518" t="s">
        <v>1066</v>
      </c>
      <c r="B96" s="169"/>
      <c r="C96" s="749"/>
      <c r="D96" s="746"/>
      <c r="E96" s="734"/>
      <c r="F96" s="734"/>
      <c r="G96" s="734"/>
      <c r="H96" s="734"/>
      <c r="I96" s="44">
        <f t="shared" si="26"/>
        <v>0</v>
      </c>
      <c r="J96" s="330" t="str">
        <f t="shared" si="27"/>
        <v/>
      </c>
      <c r="K96" s="736"/>
    </row>
    <row r="97" spans="1:14" ht="12.75" customHeight="1" x14ac:dyDescent="0.25">
      <c r="A97" s="518" t="s">
        <v>1067</v>
      </c>
      <c r="B97" s="169"/>
      <c r="C97" s="749"/>
      <c r="D97" s="746"/>
      <c r="E97" s="734"/>
      <c r="F97" s="734"/>
      <c r="G97" s="734"/>
      <c r="H97" s="734"/>
      <c r="I97" s="44">
        <f t="shared" si="26"/>
        <v>0</v>
      </c>
      <c r="J97" s="330" t="str">
        <f t="shared" si="27"/>
        <v/>
      </c>
      <c r="K97" s="736"/>
    </row>
    <row r="98" spans="1:14" ht="12.75" customHeight="1" x14ac:dyDescent="0.25">
      <c r="A98" s="518" t="s">
        <v>1068</v>
      </c>
      <c r="B98" s="169"/>
      <c r="C98" s="749"/>
      <c r="D98" s="746"/>
      <c r="E98" s="734"/>
      <c r="F98" s="734"/>
      <c r="G98" s="734"/>
      <c r="H98" s="734"/>
      <c r="I98" s="44">
        <f t="shared" si="26"/>
        <v>0</v>
      </c>
      <c r="J98" s="330" t="str">
        <f t="shared" si="27"/>
        <v/>
      </c>
      <c r="K98" s="736"/>
    </row>
    <row r="99" spans="1:14" ht="12.75" customHeight="1" x14ac:dyDescent="0.25">
      <c r="A99" s="87" t="s">
        <v>517</v>
      </c>
      <c r="B99" s="169"/>
      <c r="C99" s="516">
        <f t="shared" ref="C99:H99" si="28">SUM(C87:C98)</f>
        <v>0</v>
      </c>
      <c r="D99" s="475">
        <f t="shared" si="28"/>
        <v>0</v>
      </c>
      <c r="E99" s="430">
        <f t="shared" si="28"/>
        <v>0</v>
      </c>
      <c r="F99" s="430">
        <f t="shared" si="28"/>
        <v>683533.28</v>
      </c>
      <c r="G99" s="430">
        <f t="shared" si="28"/>
        <v>7149918.7699999996</v>
      </c>
      <c r="H99" s="430">
        <f t="shared" si="28"/>
        <v>0</v>
      </c>
      <c r="I99" s="430">
        <f t="shared" si="26"/>
        <v>7149918.7699999996</v>
      </c>
      <c r="J99" s="431" t="e">
        <f>IF(I99=0,"",I99/H99)</f>
        <v>#DIV/0!</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9">C67+C83+C99</f>
        <v>0</v>
      </c>
      <c r="D102" s="475">
        <f t="shared" si="29"/>
        <v>10501592.75</v>
      </c>
      <c r="E102" s="430">
        <f t="shared" si="29"/>
        <v>10501592.75</v>
      </c>
      <c r="F102" s="430">
        <f t="shared" si="29"/>
        <v>775503.62</v>
      </c>
      <c r="G102" s="430">
        <f t="shared" si="29"/>
        <v>7910236.7399999993</v>
      </c>
      <c r="H102" s="430">
        <f t="shared" si="29"/>
        <v>9626460.020833334</v>
      </c>
      <c r="I102" s="430">
        <f>G102-H102</f>
        <v>-1716223.2808333347</v>
      </c>
      <c r="J102" s="431">
        <f>IF(I102=0,"",I102/H102)</f>
        <v>-0.17828186863282339</v>
      </c>
      <c r="K102" s="513">
        <f>K67+K83+K99</f>
        <v>10501592.75</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30">C49+C102</f>
        <v>0</v>
      </c>
      <c r="D104" s="56">
        <f t="shared" si="30"/>
        <v>1432357351.6500003</v>
      </c>
      <c r="E104" s="55">
        <f t="shared" si="30"/>
        <v>1432357351.6500003</v>
      </c>
      <c r="F104" s="55">
        <f t="shared" si="30"/>
        <v>106808298.3</v>
      </c>
      <c r="G104" s="55">
        <f t="shared" si="30"/>
        <v>1212191380.7399995</v>
      </c>
      <c r="H104" s="55">
        <f t="shared" si="30"/>
        <v>1312994239.0125003</v>
      </c>
      <c r="I104" s="55">
        <f>G104-H104</f>
        <v>-100802858.27250075</v>
      </c>
      <c r="J104" s="332">
        <f>IF(I104=0,"",I104/H104)</f>
        <v>-7.6773267755016458E-2</v>
      </c>
      <c r="K104" s="235">
        <f>K49+K102</f>
        <v>1432357351.6500003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31">C30+C46+C83+C99</f>
        <v>0</v>
      </c>
      <c r="D106" s="56">
        <f t="shared" si="31"/>
        <v>1380415940.4100003</v>
      </c>
      <c r="E106" s="55">
        <f t="shared" si="31"/>
        <v>1380415940.4100003</v>
      </c>
      <c r="F106" s="55">
        <f t="shared" si="31"/>
        <v>103089721.08</v>
      </c>
      <c r="G106" s="55">
        <f t="shared" si="31"/>
        <v>1171994789.8999996</v>
      </c>
      <c r="H106" s="55">
        <f t="shared" si="31"/>
        <v>1265381278.709167</v>
      </c>
      <c r="I106" s="55">
        <f t="shared" si="31"/>
        <v>-93386488.809167579</v>
      </c>
      <c r="J106" s="889">
        <f>IF(I106=0,"",I106/H106)</f>
        <v>-7.380106722017607E-2</v>
      </c>
      <c r="K106" s="235">
        <f>K30+K46+K83+K99</f>
        <v>1380415940.4100003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H25" sqref="H2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M10 April</v>
      </c>
      <c r="B1" s="68"/>
    </row>
    <row r="2" spans="1:17" ht="25.5" customHeight="1" x14ac:dyDescent="0.25">
      <c r="A2" s="1027" t="str">
        <f>desc</f>
        <v>Description</v>
      </c>
      <c r="B2" s="1020" t="str">
        <f>head27</f>
        <v>Ref</v>
      </c>
      <c r="C2" s="1022" t="str">
        <f>Head2</f>
        <v>Budget Year 2019/20</v>
      </c>
      <c r="D2" s="1023"/>
      <c r="E2" s="1023"/>
      <c r="F2" s="1023"/>
      <c r="G2" s="1023"/>
      <c r="H2" s="1023"/>
      <c r="I2" s="1023"/>
      <c r="J2" s="1023"/>
      <c r="K2" s="1023"/>
      <c r="L2" s="1023"/>
      <c r="M2" s="1023"/>
      <c r="N2" s="1074"/>
      <c r="O2" s="1022" t="str">
        <f>'Template names'!B5</f>
        <v>2019/20 Medium Term Revenue &amp; Expenditure Framework</v>
      </c>
      <c r="P2" s="1023"/>
      <c r="Q2" s="1024"/>
    </row>
    <row r="3" spans="1:17" ht="12.75" customHeight="1" x14ac:dyDescent="0.25">
      <c r="A3" s="1028"/>
      <c r="B3" s="1031"/>
      <c r="C3" s="143" t="s">
        <v>791</v>
      </c>
      <c r="D3" s="27" t="s">
        <v>918</v>
      </c>
      <c r="E3" s="27" t="s">
        <v>3</v>
      </c>
      <c r="F3" s="27" t="s">
        <v>919</v>
      </c>
      <c r="G3" s="27" t="s">
        <v>4</v>
      </c>
      <c r="H3" s="27" t="s">
        <v>5</v>
      </c>
      <c r="I3" s="27" t="s">
        <v>922</v>
      </c>
      <c r="J3" s="27" t="s">
        <v>6</v>
      </c>
      <c r="K3" s="27" t="s">
        <v>924</v>
      </c>
      <c r="L3" s="27" t="s">
        <v>925</v>
      </c>
      <c r="M3" s="27" t="s">
        <v>926</v>
      </c>
      <c r="N3" s="163" t="s">
        <v>927</v>
      </c>
      <c r="O3" s="1072" t="str">
        <f>Head9</f>
        <v>Budget Year 2019/20</v>
      </c>
      <c r="P3" s="1068" t="str">
        <f>Head10</f>
        <v>Budget Year +1 2020/21</v>
      </c>
      <c r="Q3" s="1070"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3"/>
      <c r="P4" s="1069"/>
      <c r="Q4" s="1071"/>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20" activePane="bottomRight" state="frozen"/>
      <selection pane="topRight"/>
      <selection pane="bottomLeft"/>
      <selection pane="bottomRight" activeCell="F39" sqref="F39:G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"&amp;S71P&amp; " - "&amp;Head57</f>
        <v>KZN225 Msunduzi - Supporting Table SC10 Monthly Budget Statement  - Parent Municipality Financial Performance (revenue and expenditure)  - M10 April</v>
      </c>
      <c r="B1" s="1038"/>
      <c r="C1" s="1038"/>
      <c r="D1" s="1038"/>
      <c r="E1" s="1038"/>
      <c r="F1" s="1038"/>
      <c r="G1" s="1038"/>
      <c r="H1" s="1038"/>
      <c r="I1" s="1038"/>
      <c r="J1" s="1038"/>
      <c r="K1" s="1038"/>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900836920</v>
      </c>
      <c r="D6" s="746">
        <v>1200771538.4599996</v>
      </c>
      <c r="E6" s="734">
        <v>1200771538.4599996</v>
      </c>
      <c r="F6" s="734">
        <v>101075388.20000002</v>
      </c>
      <c r="G6" s="734">
        <v>1091307615.6299999</v>
      </c>
      <c r="H6" s="734">
        <f t="shared" ref="H6:H10" si="0">E6/12*11</f>
        <v>1100707243.5883329</v>
      </c>
      <c r="I6" s="44">
        <f t="shared" ref="I6:I21" si="1">G6-H6</f>
        <v>-9399627.9583330154</v>
      </c>
      <c r="J6" s="330">
        <f>IF(I6=0,"",I6/H6)</f>
        <v>-8.5396257843184491E-3</v>
      </c>
      <c r="K6" s="736">
        <f>E6</f>
        <v>1200771538.4599996</v>
      </c>
    </row>
    <row r="7" spans="1:11" ht="12.75" customHeight="1" x14ac:dyDescent="0.25">
      <c r="A7" s="39" t="str">
        <f>'C4-FinPerf RE'!A7</f>
        <v>Service charges - electricity revenue</v>
      </c>
      <c r="B7" s="169"/>
      <c r="C7" s="749">
        <v>2183865035</v>
      </c>
      <c r="D7" s="746">
        <v>2417937958.4970875</v>
      </c>
      <c r="E7" s="734">
        <v>2417937958.4970875</v>
      </c>
      <c r="F7" s="734">
        <v>146578513.18000001</v>
      </c>
      <c r="G7" s="734">
        <v>1980351493.54</v>
      </c>
      <c r="H7" s="734">
        <f t="shared" si="0"/>
        <v>2216443128.6223302</v>
      </c>
      <c r="I7" s="44">
        <f t="shared" si="1"/>
        <v>-236091635.08233023</v>
      </c>
      <c r="J7" s="330">
        <f t="shared" ref="J7:J22" si="2">IF(I7=0,"",I7/H7)</f>
        <v>-0.10651824629900483</v>
      </c>
      <c r="K7" s="736">
        <f>E7</f>
        <v>2417937958.4970875</v>
      </c>
    </row>
    <row r="8" spans="1:11" ht="12.75" customHeight="1" x14ac:dyDescent="0.25">
      <c r="A8" s="86" t="str">
        <f>'C4-FinPerf RE'!A8</f>
        <v>Service charges - water revenue</v>
      </c>
      <c r="B8" s="171"/>
      <c r="C8" s="749">
        <v>603660664</v>
      </c>
      <c r="D8" s="746">
        <v>662966142.04000008</v>
      </c>
      <c r="E8" s="734">
        <v>662966141.82400012</v>
      </c>
      <c r="F8" s="734">
        <v>56758155.120000005</v>
      </c>
      <c r="G8" s="734">
        <v>626522876.10000014</v>
      </c>
      <c r="H8" s="734">
        <f t="shared" si="0"/>
        <v>607718963.3386668</v>
      </c>
      <c r="I8" s="44">
        <f t="shared" si="1"/>
        <v>18803912.761333346</v>
      </c>
      <c r="J8" s="330">
        <f t="shared" si="2"/>
        <v>3.0941790359854855E-2</v>
      </c>
      <c r="K8" s="736">
        <f>E8</f>
        <v>662966141.82400012</v>
      </c>
    </row>
    <row r="9" spans="1:11" ht="12.75" customHeight="1" x14ac:dyDescent="0.25">
      <c r="A9" s="86" t="str">
        <f>'C4-FinPerf RE'!A9</f>
        <v>Service charges - sanitation revenue</v>
      </c>
      <c r="B9" s="171"/>
      <c r="C9" s="749">
        <v>137071995</v>
      </c>
      <c r="D9" s="746">
        <v>145475358.24000001</v>
      </c>
      <c r="E9" s="734">
        <v>145296314.69999999</v>
      </c>
      <c r="F9" s="734">
        <v>14563542.630000001</v>
      </c>
      <c r="G9" s="734">
        <v>305461318</v>
      </c>
      <c r="H9" s="734">
        <f t="shared" si="0"/>
        <v>133188288.47499999</v>
      </c>
      <c r="I9" s="44">
        <f t="shared" si="1"/>
        <v>172273029.52500001</v>
      </c>
      <c r="J9" s="330">
        <f t="shared" si="2"/>
        <v>1.2934547886868926</v>
      </c>
      <c r="K9" s="736">
        <f>E9</f>
        <v>145296314.69999999</v>
      </c>
    </row>
    <row r="10" spans="1:11" ht="12.75" customHeight="1" x14ac:dyDescent="0.25">
      <c r="A10" s="86" t="str">
        <f>'C4-FinPerf RE'!A10</f>
        <v>Service charges - refuse revenue</v>
      </c>
      <c r="B10" s="171"/>
      <c r="C10" s="749">
        <v>106276001</v>
      </c>
      <c r="D10" s="746">
        <v>111323522.45999999</v>
      </c>
      <c r="E10" s="734">
        <v>111323522.45999999</v>
      </c>
      <c r="F10" s="734">
        <v>8468255.9100000001</v>
      </c>
      <c r="G10" s="734">
        <v>100498362.19</v>
      </c>
      <c r="H10" s="734">
        <f t="shared" si="0"/>
        <v>102046562.255</v>
      </c>
      <c r="I10" s="44">
        <f t="shared" si="1"/>
        <v>-1548200.0649999976</v>
      </c>
      <c r="J10" s="330">
        <f t="shared" si="2"/>
        <v>-1.517150632797667E-2</v>
      </c>
      <c r="K10" s="736">
        <f>E10</f>
        <v>111323522.45999999</v>
      </c>
    </row>
    <row r="11" spans="1:11" ht="0.95" customHeight="1" x14ac:dyDescent="0.25">
      <c r="A11" s="86"/>
      <c r="B11" s="171"/>
      <c r="C11" s="649"/>
      <c r="D11" s="650"/>
      <c r="E11" s="408"/>
      <c r="F11" s="408"/>
      <c r="G11" s="408"/>
      <c r="H11" s="408"/>
      <c r="I11" s="408"/>
      <c r="J11" s="948"/>
      <c r="K11" s="643"/>
    </row>
    <row r="12" spans="1:11" ht="12.75" customHeight="1" x14ac:dyDescent="0.25">
      <c r="A12" s="86" t="str">
        <f>'C4-FinPerf RE'!A12</f>
        <v>Rental of facilities and equipment</v>
      </c>
      <c r="B12" s="171"/>
      <c r="C12" s="749">
        <v>35220143</v>
      </c>
      <c r="D12" s="746">
        <v>27826600.600000001</v>
      </c>
      <c r="E12" s="734">
        <v>27826600.600000001</v>
      </c>
      <c r="F12" s="734">
        <v>5973520.0500000007</v>
      </c>
      <c r="G12" s="734">
        <v>35927347.380000003</v>
      </c>
      <c r="H12" s="734">
        <f t="shared" ref="H12:H14" si="3">E12/12*11</f>
        <v>25507717.216666665</v>
      </c>
      <c r="I12" s="44">
        <f t="shared" si="1"/>
        <v>10419630.163333338</v>
      </c>
      <c r="J12" s="330">
        <f t="shared" si="2"/>
        <v>0.40848932402799193</v>
      </c>
      <c r="K12" s="736">
        <f t="shared" ref="K12:K20" si="4">E12</f>
        <v>27826600.600000001</v>
      </c>
    </row>
    <row r="13" spans="1:11" ht="12.75" customHeight="1" x14ac:dyDescent="0.25">
      <c r="A13" s="86" t="str">
        <f>'C4-FinPerf RE'!A13</f>
        <v>Interest earned - external investments</v>
      </c>
      <c r="B13" s="171"/>
      <c r="C13" s="749">
        <v>39866400</v>
      </c>
      <c r="D13" s="746">
        <v>14702275.050000001</v>
      </c>
      <c r="E13" s="734">
        <v>14702275.050000001</v>
      </c>
      <c r="F13" s="734">
        <v>1384296.3800000001</v>
      </c>
      <c r="G13" s="734">
        <v>12347197.800000001</v>
      </c>
      <c r="H13" s="734">
        <f t="shared" si="3"/>
        <v>13477085.462500002</v>
      </c>
      <c r="I13" s="44">
        <f t="shared" si="1"/>
        <v>-1129887.6625000015</v>
      </c>
      <c r="J13" s="330">
        <f t="shared" si="2"/>
        <v>-8.3837686244842363E-2</v>
      </c>
      <c r="K13" s="736">
        <f t="shared" si="4"/>
        <v>14702275.050000001</v>
      </c>
    </row>
    <row r="14" spans="1:11" ht="12.75" customHeight="1" x14ac:dyDescent="0.25">
      <c r="A14" s="86" t="str">
        <f>'C4-FinPerf RE'!A14</f>
        <v>Interest earned - outstanding debtors</v>
      </c>
      <c r="B14" s="171"/>
      <c r="C14" s="749">
        <v>117861252</v>
      </c>
      <c r="D14" s="746">
        <v>193739515.68000001</v>
      </c>
      <c r="E14" s="734">
        <v>193739515.68000001</v>
      </c>
      <c r="F14" s="734">
        <v>23544545.830000006</v>
      </c>
      <c r="G14" s="734">
        <v>273049794.46000004</v>
      </c>
      <c r="H14" s="734">
        <f t="shared" si="3"/>
        <v>177594556.04000002</v>
      </c>
      <c r="I14" s="44">
        <f t="shared" si="1"/>
        <v>95455238.420000017</v>
      </c>
      <c r="J14" s="330">
        <f t="shared" si="2"/>
        <v>0.53748966493376304</v>
      </c>
      <c r="K14" s="736">
        <f t="shared" si="4"/>
        <v>193739515.68000001</v>
      </c>
    </row>
    <row r="15" spans="1:11" ht="12.75" customHeight="1" x14ac:dyDescent="0.25">
      <c r="A15" s="86" t="str">
        <f>'C4-FinPerf RE'!A15</f>
        <v>Dividends received</v>
      </c>
      <c r="B15" s="171"/>
      <c r="C15" s="749"/>
      <c r="D15" s="746"/>
      <c r="E15" s="734">
        <v>0</v>
      </c>
      <c r="F15" s="734"/>
      <c r="G15" s="734"/>
      <c r="H15" s="734"/>
      <c r="I15" s="44">
        <f t="shared" si="1"/>
        <v>0</v>
      </c>
      <c r="J15" s="330" t="str">
        <f t="shared" si="2"/>
        <v/>
      </c>
      <c r="K15" s="736"/>
    </row>
    <row r="16" spans="1:11" ht="12.75" customHeight="1" x14ac:dyDescent="0.25">
      <c r="A16" s="86" t="str">
        <f>'C4-FinPerf RE'!A16</f>
        <v>Fines, penalties and forfeits</v>
      </c>
      <c r="B16" s="171"/>
      <c r="C16" s="749">
        <v>75203073</v>
      </c>
      <c r="D16" s="746">
        <v>16064007.439999999</v>
      </c>
      <c r="E16" s="734">
        <v>16064007.439999999</v>
      </c>
      <c r="F16" s="734">
        <v>181719.6</v>
      </c>
      <c r="G16" s="734">
        <v>9137130.2400000002</v>
      </c>
      <c r="H16" s="734">
        <f t="shared" ref="H16:H20" si="5">E16/12*11</f>
        <v>14725340.153333332</v>
      </c>
      <c r="I16" s="44">
        <f t="shared" si="1"/>
        <v>-5588209.9133333322</v>
      </c>
      <c r="J16" s="330">
        <f t="shared" si="2"/>
        <v>-0.37949615120220809</v>
      </c>
      <c r="K16" s="736">
        <f t="shared" si="4"/>
        <v>16064007.439999999</v>
      </c>
    </row>
    <row r="17" spans="1:11" ht="12.75" customHeight="1" x14ac:dyDescent="0.25">
      <c r="A17" s="86" t="str">
        <f>'C4-FinPerf RE'!A17</f>
        <v>Licences and permits</v>
      </c>
      <c r="B17" s="171"/>
      <c r="C17" s="749">
        <v>112584</v>
      </c>
      <c r="D17" s="746">
        <v>1071357.9000000001</v>
      </c>
      <c r="E17" s="734">
        <v>1071357.9000000001</v>
      </c>
      <c r="F17" s="734">
        <v>5830.43</v>
      </c>
      <c r="G17" s="734">
        <v>477631.09</v>
      </c>
      <c r="H17" s="734">
        <f t="shared" si="5"/>
        <v>982078.07500000019</v>
      </c>
      <c r="I17" s="44">
        <f t="shared" si="1"/>
        <v>-504446.98500000016</v>
      </c>
      <c r="J17" s="330">
        <f t="shared" si="2"/>
        <v>-0.51365262889103813</v>
      </c>
      <c r="K17" s="736">
        <f t="shared" si="4"/>
        <v>1071357.9000000001</v>
      </c>
    </row>
    <row r="18" spans="1:11" ht="12.75" customHeight="1" x14ac:dyDescent="0.25">
      <c r="A18" s="86" t="str">
        <f>'C4-FinPerf RE'!A18</f>
        <v>Agency services</v>
      </c>
      <c r="B18" s="171"/>
      <c r="C18" s="749">
        <v>392037</v>
      </c>
      <c r="D18" s="746">
        <v>575982.80000000005</v>
      </c>
      <c r="E18" s="734">
        <v>575982.80000000005</v>
      </c>
      <c r="F18" s="734"/>
      <c r="G18" s="734">
        <v>1255730</v>
      </c>
      <c r="H18" s="734">
        <f t="shared" si="5"/>
        <v>527984.2333333334</v>
      </c>
      <c r="I18" s="44">
        <f t="shared" si="1"/>
        <v>727745.7666666666</v>
      </c>
      <c r="J18" s="330">
        <f t="shared" si="2"/>
        <v>1.3783475352515258</v>
      </c>
      <c r="K18" s="736">
        <f t="shared" si="4"/>
        <v>575982.80000000005</v>
      </c>
    </row>
    <row r="19" spans="1:11" ht="12.75" customHeight="1" x14ac:dyDescent="0.25">
      <c r="A19" s="86" t="str">
        <f>'C4-FinPerf RE'!A19</f>
        <v>Transfers and subsidies</v>
      </c>
      <c r="B19" s="171"/>
      <c r="C19" s="749">
        <v>667200100</v>
      </c>
      <c r="D19" s="746">
        <v>672022829</v>
      </c>
      <c r="E19" s="734">
        <v>687201130</v>
      </c>
      <c r="F19" s="734">
        <v>7343269.0899999999</v>
      </c>
      <c r="G19" s="734">
        <v>587984547.81999993</v>
      </c>
      <c r="H19" s="734">
        <f t="shared" si="5"/>
        <v>629934369.16666675</v>
      </c>
      <c r="I19" s="44">
        <f t="shared" si="1"/>
        <v>-41949821.346666813</v>
      </c>
      <c r="J19" s="330">
        <f t="shared" si="2"/>
        <v>-6.6593955497557256E-2</v>
      </c>
      <c r="K19" s="736">
        <f t="shared" si="4"/>
        <v>687201130</v>
      </c>
    </row>
    <row r="20" spans="1:11" ht="12.75" customHeight="1" x14ac:dyDescent="0.25">
      <c r="A20" s="86" t="str">
        <f>'C4-FinPerf RE'!A20</f>
        <v>Other revenue</v>
      </c>
      <c r="B20" s="171"/>
      <c r="C20" s="749">
        <v>159778553</v>
      </c>
      <c r="D20" s="746">
        <v>140145248.93999997</v>
      </c>
      <c r="E20" s="734">
        <v>140324292.47999999</v>
      </c>
      <c r="F20" s="734">
        <v>3028302.72</v>
      </c>
      <c r="G20" s="734">
        <v>87276954.730000004</v>
      </c>
      <c r="H20" s="734">
        <f t="shared" si="5"/>
        <v>128630601.44</v>
      </c>
      <c r="I20" s="44">
        <f t="shared" si="1"/>
        <v>-41353646.709999993</v>
      </c>
      <c r="J20" s="330">
        <f t="shared" si="2"/>
        <v>-0.32149151327174263</v>
      </c>
      <c r="K20" s="736">
        <f t="shared" si="4"/>
        <v>140324292.47999999</v>
      </c>
    </row>
    <row r="21" spans="1:11" ht="12.75" customHeight="1" x14ac:dyDescent="0.25">
      <c r="A21" s="39" t="str">
        <f>'C4-FinPerf RE'!A21</f>
        <v>Gains on disposal of PPE</v>
      </c>
      <c r="B21" s="169"/>
      <c r="C21" s="749"/>
      <c r="D21" s="746"/>
      <c r="E21" s="734"/>
      <c r="F21" s="734">
        <v>-31897.119999999999</v>
      </c>
      <c r="G21" s="734">
        <v>423156.49</v>
      </c>
      <c r="H21" s="734"/>
      <c r="I21" s="44">
        <f t="shared" si="1"/>
        <v>423156.49</v>
      </c>
      <c r="J21" s="330" t="e">
        <f t="shared" si="2"/>
        <v>#DIV/0!</v>
      </c>
      <c r="K21" s="736"/>
    </row>
    <row r="22" spans="1:11" ht="12.75" customHeight="1" x14ac:dyDescent="0.25">
      <c r="A22" s="548" t="s">
        <v>140</v>
      </c>
      <c r="B22" s="548"/>
      <c r="C22" s="243">
        <f t="shared" ref="C22:H22" si="6">SUM(C6:C10)+SUM(C12:C21)</f>
        <v>5027344757</v>
      </c>
      <c r="D22" s="74">
        <f t="shared" si="6"/>
        <v>5604622337.1070871</v>
      </c>
      <c r="E22" s="73">
        <f t="shared" si="6"/>
        <v>5619800637.8910866</v>
      </c>
      <c r="F22" s="73">
        <f t="shared" si="6"/>
        <v>368873442.02000004</v>
      </c>
      <c r="G22" s="73">
        <f t="shared" si="6"/>
        <v>5112021155.4700003</v>
      </c>
      <c r="H22" s="73">
        <f t="shared" si="6"/>
        <v>5151483918.0668297</v>
      </c>
      <c r="I22" s="73">
        <f>G22-H22</f>
        <v>-39462762.596829414</v>
      </c>
      <c r="J22" s="331">
        <f t="shared" si="2"/>
        <v>-7.6604650668575507E-3</v>
      </c>
      <c r="K22" s="145">
        <f>SUM(K6:K10)+SUM(K12:K21)</f>
        <v>5619800637.8910866</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1268313732</v>
      </c>
      <c r="D25" s="746">
        <v>1455869442.71</v>
      </c>
      <c r="E25" s="734">
        <v>1455410731.7000008</v>
      </c>
      <c r="F25" s="734">
        <v>102349085.69000015</v>
      </c>
      <c r="G25" s="734">
        <v>1164213204.9400003</v>
      </c>
      <c r="H25" s="734">
        <f t="shared" ref="H25:H35" si="7">E25/12*11</f>
        <v>1334126504.0583339</v>
      </c>
      <c r="I25" s="44">
        <f t="shared" ref="I25:I44" si="8">G25-H25</f>
        <v>-169913299.11833358</v>
      </c>
      <c r="J25" s="330">
        <f t="shared" ref="J25:J44" si="9">IF(I25=0,"",I25/H25)</f>
        <v>-0.12735921114037341</v>
      </c>
      <c r="K25" s="736">
        <f t="shared" ref="K25:K35" si="10">E25</f>
        <v>1455410731.7000008</v>
      </c>
    </row>
    <row r="26" spans="1:11" ht="12.75" customHeight="1" x14ac:dyDescent="0.25">
      <c r="A26" s="39" t="str">
        <f>'C4-FinPerf RE'!A26</f>
        <v>Remuneration of councillors</v>
      </c>
      <c r="B26" s="169"/>
      <c r="C26" s="749">
        <v>48573499</v>
      </c>
      <c r="D26" s="746">
        <v>51487908.93999999</v>
      </c>
      <c r="E26" s="734">
        <v>51487908.93999999</v>
      </c>
      <c r="F26" s="734">
        <v>3683708.9899999993</v>
      </c>
      <c r="G26" s="734">
        <v>40067939.060000002</v>
      </c>
      <c r="H26" s="734">
        <f t="shared" si="7"/>
        <v>47197249.861666657</v>
      </c>
      <c r="I26" s="44">
        <f t="shared" si="8"/>
        <v>-7129310.8016666546</v>
      </c>
      <c r="J26" s="330">
        <f t="shared" si="9"/>
        <v>-0.15105352160480523</v>
      </c>
      <c r="K26" s="736">
        <f t="shared" si="10"/>
        <v>51487908.93999999</v>
      </c>
    </row>
    <row r="27" spans="1:11" ht="12.75" customHeight="1" x14ac:dyDescent="0.25">
      <c r="A27" s="39" t="str">
        <f>'C4-FinPerf RE'!A27</f>
        <v>Debt impairment</v>
      </c>
      <c r="B27" s="171"/>
      <c r="C27" s="749">
        <v>110178020</v>
      </c>
      <c r="D27" s="746">
        <v>116890701.2</v>
      </c>
      <c r="E27" s="734">
        <v>116890701.2</v>
      </c>
      <c r="F27" s="734">
        <v>-863534349.81999993</v>
      </c>
      <c r="G27" s="734">
        <v>-834462145.27999997</v>
      </c>
      <c r="H27" s="734">
        <f t="shared" si="7"/>
        <v>107149809.43333334</v>
      </c>
      <c r="I27" s="44">
        <f t="shared" si="8"/>
        <v>-941611954.71333337</v>
      </c>
      <c r="J27" s="330">
        <f t="shared" si="9"/>
        <v>-8.7878080203137205</v>
      </c>
      <c r="K27" s="736">
        <f t="shared" si="10"/>
        <v>116890701.2</v>
      </c>
    </row>
    <row r="28" spans="1:11" ht="12.75" customHeight="1" x14ac:dyDescent="0.25">
      <c r="A28" s="39" t="str">
        <f>'C4-FinPerf RE'!A28</f>
        <v>Depreciation &amp; asset impairment</v>
      </c>
      <c r="B28" s="171"/>
      <c r="C28" s="749">
        <v>467691505</v>
      </c>
      <c r="D28" s="746">
        <v>492025080.2500006</v>
      </c>
      <c r="E28" s="734">
        <v>492071235.64999992</v>
      </c>
      <c r="F28" s="734">
        <v>-13414445.899999984</v>
      </c>
      <c r="G28" s="734">
        <v>377288463.41000038</v>
      </c>
      <c r="H28" s="734">
        <f t="shared" si="7"/>
        <v>451065299.34583324</v>
      </c>
      <c r="I28" s="44">
        <f t="shared" si="8"/>
        <v>-73776835.935832858</v>
      </c>
      <c r="J28" s="330">
        <f t="shared" si="9"/>
        <v>-0.16356132037385548</v>
      </c>
      <c r="K28" s="736">
        <f t="shared" si="10"/>
        <v>492071235.64999992</v>
      </c>
    </row>
    <row r="29" spans="1:11" ht="12.75" customHeight="1" x14ac:dyDescent="0.25">
      <c r="A29" s="39" t="str">
        <f>'C4-FinPerf RE'!A29</f>
        <v>Finance charges</v>
      </c>
      <c r="B29" s="171"/>
      <c r="C29" s="749">
        <v>50676476</v>
      </c>
      <c r="D29" s="746">
        <v>41660099</v>
      </c>
      <c r="E29" s="734">
        <v>41660099</v>
      </c>
      <c r="F29" s="734">
        <v>9633317.6600000001</v>
      </c>
      <c r="G29" s="734">
        <v>40425570.939999998</v>
      </c>
      <c r="H29" s="734">
        <f t="shared" si="7"/>
        <v>38188424.083333328</v>
      </c>
      <c r="I29" s="44">
        <f t="shared" si="8"/>
        <v>2237146.8566666692</v>
      </c>
      <c r="J29" s="330">
        <f t="shared" si="9"/>
        <v>5.8581806145884742E-2</v>
      </c>
      <c r="K29" s="736">
        <f t="shared" si="10"/>
        <v>41660099</v>
      </c>
    </row>
    <row r="30" spans="1:11" ht="12.75" customHeight="1" x14ac:dyDescent="0.25">
      <c r="A30" s="39" t="str">
        <f>'C4-FinPerf RE'!A30</f>
        <v>Bulk purchases</v>
      </c>
      <c r="B30" s="171"/>
      <c r="C30" s="749">
        <v>2010059855</v>
      </c>
      <c r="D30" s="746">
        <v>2282599888.9785767</v>
      </c>
      <c r="E30" s="734">
        <v>2282599888.9785767</v>
      </c>
      <c r="F30" s="734">
        <v>125016127.78</v>
      </c>
      <c r="G30" s="734">
        <v>2183701045.6100001</v>
      </c>
      <c r="H30" s="734">
        <f t="shared" si="7"/>
        <v>2092383231.5636952</v>
      </c>
      <c r="I30" s="44">
        <f t="shared" si="8"/>
        <v>91317814.046304941</v>
      </c>
      <c r="J30" s="330">
        <f t="shared" si="9"/>
        <v>4.3642967821941797E-2</v>
      </c>
      <c r="K30" s="736">
        <f t="shared" si="10"/>
        <v>2282599888.9785767</v>
      </c>
    </row>
    <row r="31" spans="1:11" ht="12.75" customHeight="1" x14ac:dyDescent="0.25">
      <c r="A31" s="39" t="str">
        <f>'C4-FinPerf RE'!A31</f>
        <v>Other materials</v>
      </c>
      <c r="B31" s="171"/>
      <c r="C31" s="749">
        <v>59068739.030000009</v>
      </c>
      <c r="D31" s="746">
        <v>55756420.649999999</v>
      </c>
      <c r="E31" s="734">
        <v>51560937.43</v>
      </c>
      <c r="F31" s="734">
        <v>8059161.54</v>
      </c>
      <c r="G31" s="734">
        <v>44100575.100000054</v>
      </c>
      <c r="H31" s="734">
        <f t="shared" si="7"/>
        <v>47264192.644166671</v>
      </c>
      <c r="I31" s="44">
        <f t="shared" si="8"/>
        <v>-3163617.5441666171</v>
      </c>
      <c r="J31" s="330">
        <f t="shared" si="9"/>
        <v>-6.6934763235759392E-2</v>
      </c>
      <c r="K31" s="736">
        <f t="shared" si="10"/>
        <v>51560937.43</v>
      </c>
    </row>
    <row r="32" spans="1:11" ht="12.75" customHeight="1" x14ac:dyDescent="0.25">
      <c r="A32" s="39" t="str">
        <f>'C4-FinPerf RE'!A32</f>
        <v>Contracted services</v>
      </c>
      <c r="B32" s="171"/>
      <c r="C32" s="749">
        <v>671010484.44999993</v>
      </c>
      <c r="D32" s="746">
        <v>587242320.13000011</v>
      </c>
      <c r="E32" s="734">
        <v>524585180</v>
      </c>
      <c r="F32" s="734">
        <v>45779964.230000019</v>
      </c>
      <c r="G32" s="734">
        <v>382534452.79999983</v>
      </c>
      <c r="H32" s="734">
        <f t="shared" si="7"/>
        <v>480869748.33333331</v>
      </c>
      <c r="I32" s="44">
        <f t="shared" si="8"/>
        <v>-98335295.53333348</v>
      </c>
      <c r="J32" s="330">
        <f t="shared" si="9"/>
        <v>-0.20449465967480365</v>
      </c>
      <c r="K32" s="736">
        <f t="shared" si="10"/>
        <v>524585180</v>
      </c>
    </row>
    <row r="33" spans="1:11" ht="12.75" customHeight="1" x14ac:dyDescent="0.25">
      <c r="A33" s="39" t="str">
        <f>'C4-FinPerf RE'!A33</f>
        <v>Transfers and subsidies</v>
      </c>
      <c r="B33" s="171"/>
      <c r="C33" s="749">
        <v>42492244</v>
      </c>
      <c r="D33" s="746">
        <v>46379439.519999988</v>
      </c>
      <c r="E33" s="734">
        <v>49902933.629999988</v>
      </c>
      <c r="F33" s="734">
        <v>5490336.9500000002</v>
      </c>
      <c r="G33" s="734">
        <v>48031949.670000002</v>
      </c>
      <c r="H33" s="734">
        <f t="shared" si="7"/>
        <v>45744355.827499986</v>
      </c>
      <c r="I33" s="44">
        <f t="shared" si="8"/>
        <v>2287593.8425000161</v>
      </c>
      <c r="J33" s="330">
        <f t="shared" si="9"/>
        <v>5.0008220710909886E-2</v>
      </c>
      <c r="K33" s="736">
        <f t="shared" si="10"/>
        <v>49902933.629999988</v>
      </c>
    </row>
    <row r="34" spans="1:11" ht="12.75" customHeight="1" x14ac:dyDescent="0.25">
      <c r="A34" s="39" t="str">
        <f>'C4-FinPerf RE'!A34</f>
        <v>Other expenditure</v>
      </c>
      <c r="B34" s="171"/>
      <c r="C34" s="749">
        <v>206293884.52000001</v>
      </c>
      <c r="D34" s="746">
        <v>198552291.56999794</v>
      </c>
      <c r="E34" s="734">
        <v>165922456.08000007</v>
      </c>
      <c r="F34" s="734">
        <v>10123475.339999998</v>
      </c>
      <c r="G34" s="734">
        <v>322362622.31999981</v>
      </c>
      <c r="H34" s="734">
        <f t="shared" si="7"/>
        <v>152095584.74000007</v>
      </c>
      <c r="I34" s="44">
        <f t="shared" si="8"/>
        <v>170267037.57999974</v>
      </c>
      <c r="J34" s="330">
        <f t="shared" si="9"/>
        <v>1.1194739010409991</v>
      </c>
      <c r="K34" s="736">
        <f t="shared" si="10"/>
        <v>165922456.08000007</v>
      </c>
    </row>
    <row r="35" spans="1:11" ht="12.75" customHeight="1" x14ac:dyDescent="0.25">
      <c r="A35" s="39" t="str">
        <f>'C4-FinPerf RE'!A35</f>
        <v>Loss on disposal of PPE</v>
      </c>
      <c r="B35" s="169"/>
      <c r="C35" s="749"/>
      <c r="D35" s="746">
        <v>43396</v>
      </c>
      <c r="E35" s="734">
        <v>43396</v>
      </c>
      <c r="F35" s="734"/>
      <c r="G35" s="734">
        <v>1047008.75</v>
      </c>
      <c r="H35" s="734">
        <f t="shared" si="7"/>
        <v>39779.666666666672</v>
      </c>
      <c r="I35" s="44">
        <f t="shared" si="8"/>
        <v>1007229.0833333334</v>
      </c>
      <c r="J35" s="330">
        <f t="shared" si="9"/>
        <v>25.32019918048584</v>
      </c>
      <c r="K35" s="736">
        <f t="shared" si="10"/>
        <v>43396</v>
      </c>
    </row>
    <row r="36" spans="1:11" ht="12.75" customHeight="1" x14ac:dyDescent="0.25">
      <c r="A36" s="350" t="s">
        <v>495</v>
      </c>
      <c r="B36" s="570"/>
      <c r="C36" s="243">
        <f t="shared" ref="C36:H36" si="11">SUM(C25:C35)</f>
        <v>4934358439.000001</v>
      </c>
      <c r="D36" s="74">
        <f t="shared" si="11"/>
        <v>5328506988.948575</v>
      </c>
      <c r="E36" s="73">
        <f t="shared" si="11"/>
        <v>5232135468.6085777</v>
      </c>
      <c r="F36" s="73">
        <f t="shared" si="11"/>
        <v>-566813617.53999972</v>
      </c>
      <c r="G36" s="73">
        <f t="shared" si="11"/>
        <v>3769310687.3200002</v>
      </c>
      <c r="H36" s="73">
        <f t="shared" si="11"/>
        <v>4796124179.5578623</v>
      </c>
      <c r="I36" s="73">
        <f t="shared" si="8"/>
        <v>-1026813492.2378621</v>
      </c>
      <c r="J36" s="331">
        <f t="shared" si="9"/>
        <v>-0.21409234911272051</v>
      </c>
      <c r="K36" s="145">
        <f>SUM(K25:K35)</f>
        <v>5232135468.6085777</v>
      </c>
    </row>
    <row r="37" spans="1:11" ht="5.0999999999999996" customHeight="1" x14ac:dyDescent="0.25">
      <c r="A37" s="42"/>
      <c r="B37" s="169"/>
      <c r="C37" s="134"/>
      <c r="D37" s="46"/>
      <c r="E37" s="44"/>
      <c r="F37" s="44"/>
      <c r="G37" s="44"/>
      <c r="H37" s="44"/>
      <c r="I37" s="44">
        <f t="shared" si="8"/>
        <v>0</v>
      </c>
      <c r="J37" s="330"/>
      <c r="K37" s="144"/>
    </row>
    <row r="38" spans="1:11" ht="12.75" customHeight="1" x14ac:dyDescent="0.25">
      <c r="A38" s="87" t="str">
        <f>'C4-FinPerf RE'!A38</f>
        <v>Surplus/(Deficit)</v>
      </c>
      <c r="B38" s="169"/>
      <c r="C38" s="134">
        <f t="shared" ref="C38:H38" si="12">C22-C36</f>
        <v>92986317.999999046</v>
      </c>
      <c r="D38" s="46">
        <f t="shared" si="12"/>
        <v>276115348.15851212</v>
      </c>
      <c r="E38" s="44">
        <f t="shared" si="12"/>
        <v>387665169.28250885</v>
      </c>
      <c r="F38" s="44">
        <f t="shared" si="12"/>
        <v>935687059.5599997</v>
      </c>
      <c r="G38" s="44">
        <f t="shared" si="12"/>
        <v>1342710468.1500001</v>
      </c>
      <c r="H38" s="44">
        <f t="shared" si="12"/>
        <v>355359738.5089674</v>
      </c>
      <c r="I38" s="44">
        <f t="shared" si="8"/>
        <v>987350729.6410327</v>
      </c>
      <c r="J38" s="330">
        <f t="shared" si="9"/>
        <v>2.7784541202776611</v>
      </c>
      <c r="K38" s="144">
        <f>K22-K36</f>
        <v>387665169.28250885</v>
      </c>
    </row>
    <row r="39" spans="1:11" ht="21.6" customHeight="1" x14ac:dyDescent="0.25">
      <c r="A39" s="111" t="str">
        <f>'C4-FinPerf RE'!A39</f>
        <v>Transfers and subsidies - capital (monetary allocations) (National / Provincial and District)</v>
      </c>
      <c r="B39" s="169"/>
      <c r="C39" s="749">
        <v>460142625</v>
      </c>
      <c r="D39" s="746">
        <v>439342400</v>
      </c>
      <c r="E39" s="734">
        <v>674822398</v>
      </c>
      <c r="F39" s="734">
        <v>45043895.799999997</v>
      </c>
      <c r="G39" s="734">
        <v>306507259.23999989</v>
      </c>
      <c r="H39" s="734">
        <f t="shared" ref="H39" si="13">E39/12*11</f>
        <v>618587198.16666675</v>
      </c>
      <c r="I39" s="44">
        <f t="shared" si="8"/>
        <v>-312079938.92666686</v>
      </c>
      <c r="J39" s="330">
        <f t="shared" si="9"/>
        <v>-0.50450436066506299</v>
      </c>
      <c r="K39" s="736">
        <f>E39</f>
        <v>674822398</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8"/>
        <v>0</v>
      </c>
      <c r="J40" s="330" t="str">
        <f t="shared" si="9"/>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8"/>
        <v>0</v>
      </c>
      <c r="J41" s="330" t="str">
        <f t="shared" si="9"/>
        <v/>
      </c>
      <c r="K41" s="736"/>
    </row>
    <row r="42" spans="1:11" ht="25.5" x14ac:dyDescent="0.25">
      <c r="A42" s="571" t="str">
        <f>'C4-FinPerf RE'!A42</f>
        <v>Surplus/(Deficit) after capital transfers &amp; contributions</v>
      </c>
      <c r="B42" s="309"/>
      <c r="C42" s="572">
        <f>C38+SUM(C39:C41)</f>
        <v>553128942.99999905</v>
      </c>
      <c r="D42" s="573">
        <f t="shared" ref="D42:K42" si="14">D38+SUM(D39:D41)</f>
        <v>715457748.15851212</v>
      </c>
      <c r="E42" s="514">
        <f t="shared" si="14"/>
        <v>1062487567.2825089</v>
      </c>
      <c r="F42" s="514">
        <f t="shared" si="14"/>
        <v>980730955.35999966</v>
      </c>
      <c r="G42" s="514">
        <f t="shared" si="14"/>
        <v>1649217727.3899999</v>
      </c>
      <c r="H42" s="514">
        <f t="shared" si="14"/>
        <v>973946936.67563415</v>
      </c>
      <c r="I42" s="514">
        <f t="shared" si="8"/>
        <v>675270790.71436572</v>
      </c>
      <c r="J42" s="515">
        <f t="shared" si="9"/>
        <v>0.69333427241864176</v>
      </c>
      <c r="K42" s="574">
        <f t="shared" si="14"/>
        <v>1062487567.2825089</v>
      </c>
    </row>
    <row r="43" spans="1:11" ht="12.75" customHeight="1" x14ac:dyDescent="0.25">
      <c r="A43" s="111" t="str">
        <f>'C4-FinPerf RE'!A43</f>
        <v>Taxation</v>
      </c>
      <c r="B43" s="169"/>
      <c r="C43" s="749"/>
      <c r="D43" s="746"/>
      <c r="E43" s="734"/>
      <c r="F43" s="734"/>
      <c r="G43" s="734"/>
      <c r="H43" s="734"/>
      <c r="I43" s="44">
        <f t="shared" si="8"/>
        <v>0</v>
      </c>
      <c r="J43" s="330" t="str">
        <f t="shared" si="9"/>
        <v/>
      </c>
      <c r="K43" s="736"/>
    </row>
    <row r="44" spans="1:11" ht="12.75" customHeight="1" x14ac:dyDescent="0.25">
      <c r="A44" s="53" t="str">
        <f>'C4-FinPerf RE'!A44</f>
        <v>Surplus/(Deficit) after taxation</v>
      </c>
      <c r="B44" s="236"/>
      <c r="C44" s="112">
        <f t="shared" ref="C44:H44" si="15">C42-C43</f>
        <v>553128942.99999905</v>
      </c>
      <c r="D44" s="56">
        <f t="shared" si="15"/>
        <v>715457748.15851212</v>
      </c>
      <c r="E44" s="55">
        <f t="shared" si="15"/>
        <v>1062487567.2825089</v>
      </c>
      <c r="F44" s="55">
        <f t="shared" si="15"/>
        <v>980730955.35999966</v>
      </c>
      <c r="G44" s="55">
        <f t="shared" si="15"/>
        <v>1649217727.3899999</v>
      </c>
      <c r="H44" s="55">
        <f t="shared" si="15"/>
        <v>973946936.67563415</v>
      </c>
      <c r="I44" s="55">
        <f t="shared" si="8"/>
        <v>675270790.71436572</v>
      </c>
      <c r="J44" s="332">
        <f t="shared" si="9"/>
        <v>0.69333427241864176</v>
      </c>
      <c r="K44" s="235">
        <f>K42-K43</f>
        <v>1062487567.2825089</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23" activePane="bottomRight" state="frozen"/>
      <selection pane="topRight"/>
      <selection pane="bottomLeft"/>
      <selection pane="bottomRight" activeCell="M20" sqref="M2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8" t="str">
        <f>muni&amp; " - "&amp;S71Q&amp; " - "&amp;Head57</f>
        <v>KZN225 Msunduzi - Supporting Table SC11 Monthly Budget Statement - summary of municipal entities - M10 April</v>
      </c>
      <c r="B1" s="1038"/>
      <c r="C1" s="1038"/>
      <c r="D1" s="1038"/>
      <c r="E1" s="1038"/>
      <c r="F1" s="1038"/>
      <c r="G1" s="1038"/>
      <c r="H1" s="1038"/>
      <c r="I1" s="1038"/>
      <c r="J1" s="1038"/>
      <c r="K1" s="1038"/>
    </row>
    <row r="2" spans="1:11" x14ac:dyDescent="0.25">
      <c r="A2" s="1027" t="str">
        <f>desc</f>
        <v>Description</v>
      </c>
      <c r="B2" s="1020" t="str">
        <f>head27</f>
        <v>Ref</v>
      </c>
      <c r="C2" s="158" t="str">
        <f>Head1</f>
        <v>2018/19</v>
      </c>
      <c r="D2" s="1022" t="str">
        <f>Head2</f>
        <v>Budget Year 2019/20</v>
      </c>
      <c r="E2" s="1023"/>
      <c r="F2" s="1023"/>
      <c r="G2" s="1023"/>
      <c r="H2" s="1023"/>
      <c r="I2" s="1023"/>
      <c r="J2" s="1023"/>
      <c r="K2" s="1024"/>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6" sqref="E16"/>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8" t="str">
        <f>muni&amp; " - "&amp;S71R&amp; " - "&amp;Head57</f>
        <v>KZN225 Msunduzi - Supporting Table SC12 Consolidated Monthly Budget Statement - capital expenditure trend  - M10 April</v>
      </c>
      <c r="B1" s="1038"/>
      <c r="C1" s="1038"/>
      <c r="D1" s="1038"/>
      <c r="E1" s="1038"/>
      <c r="F1" s="1038"/>
      <c r="G1" s="1038"/>
      <c r="H1" s="1038"/>
      <c r="I1" s="1038"/>
      <c r="J1" s="1038"/>
    </row>
    <row r="2" spans="1:10" x14ac:dyDescent="0.25">
      <c r="A2" s="1027" t="s">
        <v>898</v>
      </c>
      <c r="B2" s="139" t="str">
        <f>Head1</f>
        <v>2018/19</v>
      </c>
      <c r="C2" s="1022" t="str">
        <f>Head2</f>
        <v>Budget Year 2019/20</v>
      </c>
      <c r="D2" s="1023"/>
      <c r="E2" s="1023"/>
      <c r="F2" s="1023"/>
      <c r="G2" s="1023"/>
      <c r="H2" s="1023"/>
      <c r="I2" s="1023"/>
      <c r="J2" s="1024"/>
    </row>
    <row r="3" spans="1:10" ht="38.25" x14ac:dyDescent="0.25">
      <c r="A3" s="1028"/>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51123878.416666664</v>
      </c>
      <c r="C6" s="754">
        <v>62228094.725833334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51123878.416666664</v>
      </c>
      <c r="C7" s="754">
        <v>62228094.725833334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51123878.416666664</v>
      </c>
      <c r="C8" s="754">
        <v>62228094.725833334</v>
      </c>
      <c r="D8" s="734">
        <v>58394184.533333331</v>
      </c>
      <c r="E8" s="734">
        <v>44802722.43</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51123878.416666664</v>
      </c>
      <c r="C9" s="754">
        <v>62228094.725833334</v>
      </c>
      <c r="D9" s="734">
        <v>58394184.533333331</v>
      </c>
      <c r="E9" s="734">
        <v>34585671.620000005</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51123878.416666664</v>
      </c>
      <c r="C10" s="754">
        <v>62228094.725833334</v>
      </c>
      <c r="D10" s="734">
        <v>58394184.533333331</v>
      </c>
      <c r="E10" s="734">
        <v>30698547.059999999</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51123878.416666664</v>
      </c>
      <c r="C11" s="754">
        <v>62228094.725833334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51123878.416666664</v>
      </c>
      <c r="C12" s="754">
        <v>62228094.725833334</v>
      </c>
      <c r="D12" s="734">
        <v>58394184.533333331</v>
      </c>
      <c r="E12" s="734">
        <v>18669297.100000001</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51123878.416666664</v>
      </c>
      <c r="C13" s="754">
        <v>62228094.725833334</v>
      </c>
      <c r="D13" s="734">
        <v>58394184.533333331</v>
      </c>
      <c r="E13" s="734">
        <v>22500413.449999999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51123878.416666664</v>
      </c>
      <c r="C14" s="754">
        <v>62228094.725833334</v>
      </c>
      <c r="D14" s="734">
        <v>58394184.533333331</v>
      </c>
      <c r="E14" s="734">
        <v>23150031.019999996</v>
      </c>
      <c r="F14" s="408" t="e">
        <f t="shared" si="3"/>
        <v>#VALUE!</v>
      </c>
      <c r="G14" s="408">
        <f t="shared" si="4"/>
        <v>525547660.79999983</v>
      </c>
      <c r="H14" s="44" t="e">
        <f t="shared" si="0"/>
        <v>#VALUE!</v>
      </c>
      <c r="I14" s="124" t="e">
        <f t="shared" si="1"/>
        <v>#VALUE!</v>
      </c>
      <c r="J14" s="675" t="e">
        <f t="shared" si="2"/>
        <v>#VALUE!</v>
      </c>
    </row>
    <row r="15" spans="1:10" ht="12.75" customHeight="1" x14ac:dyDescent="0.25">
      <c r="A15" s="39" t="s">
        <v>925</v>
      </c>
      <c r="B15" s="749">
        <v>51123878.416666664</v>
      </c>
      <c r="C15" s="754">
        <v>62228094.725833334</v>
      </c>
      <c r="D15" s="734">
        <v>58394184.533333331</v>
      </c>
      <c r="E15" s="734">
        <v>13147302.030000001</v>
      </c>
      <c r="F15" s="408" t="e">
        <f t="shared" si="3"/>
        <v>#VALUE!</v>
      </c>
      <c r="G15" s="408">
        <f t="shared" si="4"/>
        <v>583941845.33333313</v>
      </c>
      <c r="H15" s="44" t="e">
        <f t="shared" si="0"/>
        <v>#VALUE!</v>
      </c>
      <c r="I15" s="124" t="e">
        <f t="shared" si="1"/>
        <v>#VALUE!</v>
      </c>
      <c r="J15" s="676" t="e">
        <f t="shared" si="2"/>
        <v>#VALUE!</v>
      </c>
    </row>
    <row r="16" spans="1:10" ht="12.75" customHeight="1" x14ac:dyDescent="0.25">
      <c r="A16" s="39" t="s">
        <v>926</v>
      </c>
      <c r="B16" s="749">
        <v>51123878.416666664</v>
      </c>
      <c r="C16" s="754">
        <v>62228094.725833334</v>
      </c>
      <c r="D16" s="734">
        <v>58394184.533333331</v>
      </c>
      <c r="E16" s="734">
        <v>25696555.780000001</v>
      </c>
      <c r="F16" s="408" t="e">
        <f t="shared" si="3"/>
        <v>#VALUE!</v>
      </c>
      <c r="G16" s="408">
        <f t="shared" si="4"/>
        <v>642336029.86666644</v>
      </c>
      <c r="H16" s="44" t="e">
        <f t="shared" si="0"/>
        <v>#VALUE!</v>
      </c>
      <c r="I16" s="124" t="e">
        <f t="shared" si="1"/>
        <v>#VALUE!</v>
      </c>
      <c r="J16" s="676" t="e">
        <f t="shared" si="2"/>
        <v>#VALUE!</v>
      </c>
    </row>
    <row r="17" spans="1:10" ht="12.75" customHeight="1" x14ac:dyDescent="0.25">
      <c r="A17" s="247" t="s">
        <v>927</v>
      </c>
      <c r="B17" s="750">
        <v>51123878.416666664</v>
      </c>
      <c r="C17" s="758">
        <v>62228094.725833334</v>
      </c>
      <c r="D17" s="752">
        <v>58394184.533333331</v>
      </c>
      <c r="E17" s="986"/>
      <c r="F17" s="409" t="str">
        <f t="shared" si="3"/>
        <v/>
      </c>
      <c r="G17" s="409">
        <f t="shared" si="4"/>
        <v>700730214.39999974</v>
      </c>
      <c r="H17" s="99">
        <f>IF(F17="",0,G17-F17)</f>
        <v>0</v>
      </c>
      <c r="I17" s="324" t="str">
        <f>IF(F17="","",IF(H17=0,"",H17/G17))</f>
        <v/>
      </c>
      <c r="J17" s="677" t="str">
        <f>IF(F17="","",F17/$C$18)</f>
        <v/>
      </c>
    </row>
    <row r="18" spans="1:10" ht="12.75" customHeight="1" x14ac:dyDescent="0.25">
      <c r="A18" s="94" t="s">
        <v>572</v>
      </c>
      <c r="B18" s="244">
        <f>SUM(B6:B17)</f>
        <v>613486541</v>
      </c>
      <c r="C18" s="265">
        <f>SUM(C6:C17)</f>
        <v>746737136.70999992</v>
      </c>
      <c r="D18" s="76">
        <f>SUM(D6:D17)</f>
        <v>700730214.39999974</v>
      </c>
      <c r="E18" s="76">
        <f>SUM(E6:E17)</f>
        <v>288139459.59999996</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8" t="s">
        <v>649</v>
      </c>
      <c r="B1" s="989"/>
      <c r="C1" s="989"/>
      <c r="D1" s="990"/>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M10 April</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3" t="s">
        <v>760</v>
      </c>
      <c r="B72" s="994"/>
      <c r="C72" s="994"/>
      <c r="D72" s="995"/>
    </row>
    <row r="73" spans="1:6" x14ac:dyDescent="0.2">
      <c r="A73" s="731" t="s">
        <v>664</v>
      </c>
      <c r="B73" s="732" t="str">
        <f>'Lookup and lists'!B27</f>
        <v>KZN225 Msunduzi</v>
      </c>
      <c r="C73" s="732"/>
      <c r="D73" s="6"/>
    </row>
    <row r="74" spans="1:6" x14ac:dyDescent="0.2">
      <c r="A74" s="731" t="s">
        <v>86</v>
      </c>
      <c r="B74" s="733">
        <v>1</v>
      </c>
      <c r="C74" s="732" t="s">
        <v>158</v>
      </c>
      <c r="D74" s="6">
        <v>2</v>
      </c>
    </row>
    <row r="75" spans="1:6" x14ac:dyDescent="0.2">
      <c r="A75" s="648" t="str">
        <f>IF((MuniEntities=1)*(MuniType=2),"YES","NO")</f>
        <v>YES</v>
      </c>
      <c r="B75" s="372" t="s">
        <v>631</v>
      </c>
      <c r="C75" s="590"/>
      <c r="D75" s="6"/>
    </row>
    <row r="76" spans="1:6" x14ac:dyDescent="0.2">
      <c r="A76" s="991" t="s">
        <v>803</v>
      </c>
      <c r="B76" s="992"/>
      <c r="C76" s="369"/>
      <c r="D76" s="18"/>
    </row>
    <row r="77" spans="1:6" x14ac:dyDescent="0.2">
      <c r="A77" s="11" t="s">
        <v>643</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Consolidated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Consolidated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31" activePane="bottomRight" state="frozen"/>
      <selection pane="topRight"/>
      <selection pane="bottomLeft"/>
      <selection pane="bottomRight" activeCell="G155" sqref="G155"/>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2" t="str">
        <f>muni&amp; " - "&amp;S71Sa&amp; " - "&amp;Head57</f>
        <v>KZN225 Msunduzi - Supporting Table SC13a Consolidated Monthly Budget Statement - capital expenditure on new assets by asset class - M10 April</v>
      </c>
      <c r="B1" s="1042"/>
      <c r="C1" s="1042"/>
      <c r="D1" s="1042"/>
      <c r="E1" s="1042"/>
      <c r="F1" s="1042"/>
      <c r="G1" s="1042"/>
      <c r="H1" s="1042"/>
      <c r="I1" s="1042"/>
      <c r="J1" s="1042"/>
      <c r="K1" s="1042"/>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258437752.31000006</v>
      </c>
      <c r="F7" s="102">
        <f t="shared" si="0"/>
        <v>0</v>
      </c>
      <c r="G7" s="102">
        <f t="shared" si="0"/>
        <v>0</v>
      </c>
      <c r="H7" s="102">
        <f t="shared" si="0"/>
        <v>236901272.95083341</v>
      </c>
      <c r="I7" s="101">
        <f t="shared" ref="I7:I37" si="1">H7-G7</f>
        <v>236901272.95083341</v>
      </c>
      <c r="J7" s="580">
        <f t="shared" ref="J7:J37" si="2">IF(I7=0,"",I7/H7)</f>
        <v>1</v>
      </c>
      <c r="K7" s="604">
        <f>K8+K13+K17+K27+K38+K45+K53+K63+K69</f>
        <v>258437752.31000006</v>
      </c>
    </row>
    <row r="8" spans="1:11" ht="12.75" customHeight="1" x14ac:dyDescent="0.25">
      <c r="A8" s="518" t="s">
        <v>1229</v>
      </c>
      <c r="B8" s="169"/>
      <c r="C8" s="678">
        <f t="shared" ref="C8:H8" si="3">SUM(C9:C12)</f>
        <v>0</v>
      </c>
      <c r="D8" s="610">
        <f t="shared" si="3"/>
        <v>3800000</v>
      </c>
      <c r="E8" s="609">
        <f t="shared" si="3"/>
        <v>194610651.31000006</v>
      </c>
      <c r="F8" s="609">
        <f t="shared" si="3"/>
        <v>0</v>
      </c>
      <c r="G8" s="609">
        <f t="shared" si="3"/>
        <v>0</v>
      </c>
      <c r="H8" s="609">
        <f t="shared" si="3"/>
        <v>178393097.03416672</v>
      </c>
      <c r="I8" s="258">
        <f t="shared" si="1"/>
        <v>178393097.03416672</v>
      </c>
      <c r="J8" s="576">
        <f t="shared" si="2"/>
        <v>1</v>
      </c>
      <c r="K8" s="611">
        <f>SUM(K9:K12)</f>
        <v>194610651.31000006</v>
      </c>
    </row>
    <row r="9" spans="1:11" ht="12.75" customHeight="1" x14ac:dyDescent="0.25">
      <c r="A9" s="575" t="s">
        <v>174</v>
      </c>
      <c r="B9" s="169"/>
      <c r="C9" s="749"/>
      <c r="D9" s="746">
        <v>3800000</v>
      </c>
      <c r="E9" s="734">
        <v>194610651.31000006</v>
      </c>
      <c r="F9" s="734"/>
      <c r="G9" s="734"/>
      <c r="H9" s="734">
        <f t="shared" ref="H9" si="4">E9/12*11</f>
        <v>178393097.03416672</v>
      </c>
      <c r="I9" s="258">
        <f t="shared" si="1"/>
        <v>178393097.03416672</v>
      </c>
      <c r="J9" s="576">
        <f t="shared" si="2"/>
        <v>1</v>
      </c>
      <c r="K9" s="736">
        <f>E9</f>
        <v>194610651.31000006</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46827101</v>
      </c>
      <c r="E17" s="408">
        <f t="shared" si="6"/>
        <v>46827101</v>
      </c>
      <c r="F17" s="408">
        <f t="shared" si="6"/>
        <v>0</v>
      </c>
      <c r="G17" s="408">
        <f t="shared" si="6"/>
        <v>0</v>
      </c>
      <c r="H17" s="408">
        <f t="shared" si="6"/>
        <v>42924842.583333328</v>
      </c>
      <c r="I17" s="258">
        <f t="shared" si="1"/>
        <v>42924842.583333328</v>
      </c>
      <c r="J17" s="576">
        <f t="shared" si="2"/>
        <v>1</v>
      </c>
      <c r="K17" s="643">
        <f>SUM(K18:K26)</f>
        <v>46827101</v>
      </c>
    </row>
    <row r="18" spans="1:11" ht="12.75" customHeight="1" x14ac:dyDescent="0.25">
      <c r="A18" s="575" t="s">
        <v>1238</v>
      </c>
      <c r="B18" s="169"/>
      <c r="C18" s="749"/>
      <c r="D18" s="746">
        <v>38127101</v>
      </c>
      <c r="E18" s="734">
        <v>38127101</v>
      </c>
      <c r="F18" s="734"/>
      <c r="G18" s="734"/>
      <c r="H18" s="734">
        <f t="shared" ref="H18" si="7">E18/12*11</f>
        <v>34949842.583333328</v>
      </c>
      <c r="I18" s="258">
        <f t="shared" si="1"/>
        <v>34949842.583333328</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 t="shared" ref="H23" si="8">E23/12*11</f>
        <v>7975000</v>
      </c>
      <c r="I23" s="258">
        <f t="shared" si="1"/>
        <v>7975000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0</v>
      </c>
      <c r="E27" s="408">
        <f t="shared" si="9"/>
        <v>0</v>
      </c>
      <c r="F27" s="408">
        <f t="shared" si="9"/>
        <v>0</v>
      </c>
      <c r="G27" s="408">
        <f t="shared" si="9"/>
        <v>0</v>
      </c>
      <c r="H27" s="408">
        <f t="shared" si="9"/>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ref="I38:I44" si="11">H38-G38</f>
        <v>0</v>
      </c>
      <c r="J38" s="576" t="str">
        <f t="shared" ref="J38:J44" si="12">IF(I38=0,"",I38/H38)</f>
        <v/>
      </c>
      <c r="K38" s="643">
        <f>SUM(K39:K44)</f>
        <v>0</v>
      </c>
    </row>
    <row r="39" spans="1:11" ht="12.75" customHeight="1" x14ac:dyDescent="0.25">
      <c r="A39" s="575" t="s">
        <v>1257</v>
      </c>
      <c r="B39" s="169"/>
      <c r="C39" s="749"/>
      <c r="D39" s="746"/>
      <c r="E39" s="734"/>
      <c r="F39" s="734"/>
      <c r="G39" s="734"/>
      <c r="H39" s="734"/>
      <c r="I39" s="258">
        <f t="shared" si="11"/>
        <v>0</v>
      </c>
      <c r="J39" s="576" t="str">
        <f t="shared" si="12"/>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11"/>
        <v>0</v>
      </c>
      <c r="J43" s="576" t="str">
        <f t="shared" si="12"/>
        <v/>
      </c>
      <c r="K43" s="736"/>
    </row>
    <row r="44" spans="1:11" ht="12.75" customHeight="1" x14ac:dyDescent="0.25">
      <c r="A44" s="575" t="s">
        <v>1232</v>
      </c>
      <c r="B44" s="169"/>
      <c r="C44" s="749"/>
      <c r="D44" s="746"/>
      <c r="E44" s="734"/>
      <c r="F44" s="734"/>
      <c r="G44" s="734"/>
      <c r="H44" s="734"/>
      <c r="I44" s="258">
        <f t="shared" si="11"/>
        <v>0</v>
      </c>
      <c r="J44" s="576" t="str">
        <f t="shared" si="12"/>
        <v/>
      </c>
      <c r="K44" s="736"/>
    </row>
    <row r="45" spans="1:11" ht="12.75" customHeight="1" x14ac:dyDescent="0.25">
      <c r="A45" s="517" t="s">
        <v>1261</v>
      </c>
      <c r="B45" s="169"/>
      <c r="C45" s="649">
        <f t="shared" ref="C45:H45" si="13">SUM(C46:C52)</f>
        <v>0</v>
      </c>
      <c r="D45" s="650">
        <f t="shared" si="13"/>
        <v>17000000</v>
      </c>
      <c r="E45" s="408">
        <f t="shared" si="13"/>
        <v>17000000</v>
      </c>
      <c r="F45" s="408">
        <f t="shared" si="13"/>
        <v>0</v>
      </c>
      <c r="G45" s="408">
        <f t="shared" si="13"/>
        <v>0</v>
      </c>
      <c r="H45" s="408">
        <f t="shared" si="13"/>
        <v>15583333.333333334</v>
      </c>
      <c r="I45" s="258">
        <f t="shared" ref="I45:I68" si="14">H45-G45</f>
        <v>15583333.333333334</v>
      </c>
      <c r="J45" s="576">
        <f t="shared" ref="J45:J68" si="15">IF(I45=0,"",I45/H45)</f>
        <v>1</v>
      </c>
      <c r="K45" s="643">
        <f>SUM(K46:K52)</f>
        <v>17000000</v>
      </c>
    </row>
    <row r="46" spans="1:11" ht="12.75" customHeight="1" x14ac:dyDescent="0.25">
      <c r="A46" s="575" t="s">
        <v>1262</v>
      </c>
      <c r="B46" s="169"/>
      <c r="C46" s="749"/>
      <c r="D46" s="746">
        <v>17000000</v>
      </c>
      <c r="E46" s="734">
        <v>17000000</v>
      </c>
      <c r="F46" s="734"/>
      <c r="G46" s="734"/>
      <c r="H46" s="734">
        <f t="shared" ref="H46" si="16">E46/12*11</f>
        <v>15583333.333333334</v>
      </c>
      <c r="I46" s="258">
        <f t="shared" si="14"/>
        <v>15583333.333333334</v>
      </c>
      <c r="J46" s="576">
        <f t="shared" si="15"/>
        <v>1</v>
      </c>
      <c r="K46" s="736">
        <f>E46</f>
        <v>17000000</v>
      </c>
    </row>
    <row r="47" spans="1:11" ht="12.75" customHeight="1" x14ac:dyDescent="0.25">
      <c r="A47" s="575" t="s">
        <v>1263</v>
      </c>
      <c r="B47" s="169"/>
      <c r="C47" s="749"/>
      <c r="D47" s="746"/>
      <c r="E47" s="734"/>
      <c r="F47" s="734"/>
      <c r="G47" s="734"/>
      <c r="H47" s="734"/>
      <c r="I47" s="258">
        <f t="shared" si="14"/>
        <v>0</v>
      </c>
      <c r="J47" s="576" t="str">
        <f t="shared" si="15"/>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4"/>
        <v>0</v>
      </c>
      <c r="J49" s="576" t="str">
        <f t="shared" si="15"/>
        <v/>
      </c>
      <c r="K49" s="736"/>
    </row>
    <row r="50" spans="1:11" ht="12.75" customHeight="1" x14ac:dyDescent="0.25">
      <c r="A50" s="575" t="s">
        <v>1266</v>
      </c>
      <c r="B50" s="169"/>
      <c r="C50" s="749"/>
      <c r="D50" s="746"/>
      <c r="E50" s="734"/>
      <c r="F50" s="734"/>
      <c r="G50" s="734"/>
      <c r="H50" s="734"/>
      <c r="I50" s="258">
        <f t="shared" si="14"/>
        <v>0</v>
      </c>
      <c r="J50" s="576" t="str">
        <f t="shared" si="15"/>
        <v/>
      </c>
      <c r="K50" s="736"/>
    </row>
    <row r="51" spans="1:11" ht="12.75" customHeight="1" x14ac:dyDescent="0.25">
      <c r="A51" s="575" t="s">
        <v>1267</v>
      </c>
      <c r="B51" s="169"/>
      <c r="C51" s="749"/>
      <c r="D51" s="746"/>
      <c r="E51" s="734"/>
      <c r="F51" s="734"/>
      <c r="G51" s="734"/>
      <c r="H51" s="734"/>
      <c r="I51" s="258">
        <f t="shared" si="14"/>
        <v>0</v>
      </c>
      <c r="J51" s="576" t="str">
        <f t="shared" si="15"/>
        <v/>
      </c>
      <c r="K51" s="736"/>
    </row>
    <row r="52" spans="1:11" ht="12.75" customHeight="1" x14ac:dyDescent="0.25">
      <c r="A52" s="575" t="s">
        <v>1232</v>
      </c>
      <c r="B52" s="169"/>
      <c r="C52" s="749"/>
      <c r="D52" s="746"/>
      <c r="E52" s="734"/>
      <c r="F52" s="734"/>
      <c r="G52" s="734"/>
      <c r="H52" s="734"/>
      <c r="I52" s="258">
        <f t="shared" si="14"/>
        <v>0</v>
      </c>
      <c r="J52" s="576" t="str">
        <f t="shared" si="15"/>
        <v/>
      </c>
      <c r="K52" s="736"/>
    </row>
    <row r="53" spans="1:11" ht="12.75" customHeight="1" x14ac:dyDescent="0.25">
      <c r="A53" s="518" t="s">
        <v>1268</v>
      </c>
      <c r="B53" s="169"/>
      <c r="C53" s="649">
        <f t="shared" ref="C53:H53" si="17">SUM(C54:C62)</f>
        <v>0</v>
      </c>
      <c r="D53" s="650">
        <f t="shared" si="17"/>
        <v>0</v>
      </c>
      <c r="E53" s="408">
        <f t="shared" si="17"/>
        <v>0</v>
      </c>
      <c r="F53" s="408">
        <f t="shared" si="17"/>
        <v>0</v>
      </c>
      <c r="G53" s="408">
        <f t="shared" si="17"/>
        <v>0</v>
      </c>
      <c r="H53" s="408">
        <f t="shared" si="17"/>
        <v>0</v>
      </c>
      <c r="I53" s="258">
        <f t="shared" si="14"/>
        <v>0</v>
      </c>
      <c r="J53" s="576" t="str">
        <f t="shared" si="15"/>
        <v/>
      </c>
      <c r="K53" s="643">
        <f>SUM(K54:K62)</f>
        <v>0</v>
      </c>
    </row>
    <row r="54" spans="1:11" ht="12.75" customHeight="1" x14ac:dyDescent="0.25">
      <c r="A54" s="575" t="s">
        <v>1269</v>
      </c>
      <c r="B54" s="169"/>
      <c r="C54" s="749"/>
      <c r="D54" s="746"/>
      <c r="E54" s="734"/>
      <c r="F54" s="734"/>
      <c r="G54" s="734"/>
      <c r="H54" s="734"/>
      <c r="I54" s="258">
        <f t="shared" si="14"/>
        <v>0</v>
      </c>
      <c r="J54" s="576" t="str">
        <f t="shared" si="15"/>
        <v/>
      </c>
      <c r="K54" s="736"/>
    </row>
    <row r="55" spans="1:11" ht="12.75" customHeight="1" x14ac:dyDescent="0.25">
      <c r="A55" s="575" t="s">
        <v>1270</v>
      </c>
      <c r="B55" s="169"/>
      <c r="C55" s="749"/>
      <c r="D55" s="746"/>
      <c r="E55" s="734"/>
      <c r="F55" s="734"/>
      <c r="G55" s="734"/>
      <c r="H55" s="734"/>
      <c r="I55" s="258">
        <f t="shared" si="14"/>
        <v>0</v>
      </c>
      <c r="J55" s="576" t="str">
        <f t="shared" si="15"/>
        <v/>
      </c>
      <c r="K55" s="736"/>
    </row>
    <row r="56" spans="1:11" ht="12.75" customHeight="1" x14ac:dyDescent="0.25">
      <c r="A56" s="575" t="s">
        <v>1271</v>
      </c>
      <c r="B56" s="169"/>
      <c r="C56" s="749"/>
      <c r="D56" s="746"/>
      <c r="E56" s="734"/>
      <c r="F56" s="734"/>
      <c r="G56" s="734"/>
      <c r="H56" s="734"/>
      <c r="I56" s="258">
        <f t="shared" si="14"/>
        <v>0</v>
      </c>
      <c r="J56" s="576" t="str">
        <f t="shared" si="15"/>
        <v/>
      </c>
      <c r="K56" s="736"/>
    </row>
    <row r="57" spans="1:11" ht="12.75" customHeight="1" x14ac:dyDescent="0.25">
      <c r="A57" s="575" t="s">
        <v>1234</v>
      </c>
      <c r="B57" s="169"/>
      <c r="C57" s="749"/>
      <c r="D57" s="746"/>
      <c r="E57" s="734"/>
      <c r="F57" s="734"/>
      <c r="G57" s="734"/>
      <c r="H57" s="734"/>
      <c r="I57" s="258">
        <f t="shared" si="14"/>
        <v>0</v>
      </c>
      <c r="J57" s="576" t="str">
        <f t="shared" si="15"/>
        <v/>
      </c>
      <c r="K57" s="736"/>
    </row>
    <row r="58" spans="1:11" ht="12.75" customHeight="1" x14ac:dyDescent="0.25">
      <c r="A58" s="575" t="s">
        <v>1235</v>
      </c>
      <c r="B58" s="169"/>
      <c r="C58" s="749"/>
      <c r="D58" s="746"/>
      <c r="E58" s="734"/>
      <c r="F58" s="734"/>
      <c r="G58" s="734"/>
      <c r="H58" s="734"/>
      <c r="I58" s="258">
        <f t="shared" si="14"/>
        <v>0</v>
      </c>
      <c r="J58" s="576" t="str">
        <f t="shared" si="15"/>
        <v/>
      </c>
      <c r="K58" s="736"/>
    </row>
    <row r="59" spans="1:11" ht="12.75" customHeight="1" x14ac:dyDescent="0.25">
      <c r="A59" s="575" t="s">
        <v>1236</v>
      </c>
      <c r="B59" s="169"/>
      <c r="C59" s="749"/>
      <c r="D59" s="746"/>
      <c r="E59" s="734"/>
      <c r="F59" s="734"/>
      <c r="G59" s="734"/>
      <c r="H59" s="734"/>
      <c r="I59" s="258">
        <f t="shared" si="14"/>
        <v>0</v>
      </c>
      <c r="J59" s="576" t="str">
        <f t="shared" si="15"/>
        <v/>
      </c>
      <c r="K59" s="736"/>
    </row>
    <row r="60" spans="1:11" ht="12.75" customHeight="1" x14ac:dyDescent="0.25">
      <c r="A60" s="575" t="s">
        <v>1242</v>
      </c>
      <c r="B60" s="169"/>
      <c r="C60" s="749"/>
      <c r="D60" s="746"/>
      <c r="E60" s="734"/>
      <c r="F60" s="734"/>
      <c r="G60" s="734"/>
      <c r="H60" s="734"/>
      <c r="I60" s="258">
        <f t="shared" si="14"/>
        <v>0</v>
      </c>
      <c r="J60" s="576" t="str">
        <f t="shared" si="15"/>
        <v/>
      </c>
      <c r="K60" s="736"/>
    </row>
    <row r="61" spans="1:11" ht="12.75" customHeight="1" x14ac:dyDescent="0.25">
      <c r="A61" s="575" t="s">
        <v>1245</v>
      </c>
      <c r="B61" s="169"/>
      <c r="C61" s="749"/>
      <c r="D61" s="746"/>
      <c r="E61" s="734"/>
      <c r="F61" s="734"/>
      <c r="G61" s="734"/>
      <c r="H61" s="734"/>
      <c r="I61" s="258">
        <f t="shared" si="14"/>
        <v>0</v>
      </c>
      <c r="J61" s="576" t="str">
        <f t="shared" si="15"/>
        <v/>
      </c>
      <c r="K61" s="736"/>
    </row>
    <row r="62" spans="1:11" ht="12.75" customHeight="1" x14ac:dyDescent="0.25">
      <c r="A62" s="575" t="s">
        <v>1232</v>
      </c>
      <c r="B62" s="169"/>
      <c r="C62" s="749"/>
      <c r="D62" s="746"/>
      <c r="E62" s="734"/>
      <c r="F62" s="734"/>
      <c r="G62" s="734"/>
      <c r="H62" s="734"/>
      <c r="I62" s="258">
        <f t="shared" si="14"/>
        <v>0</v>
      </c>
      <c r="J62" s="576" t="str">
        <f t="shared" si="15"/>
        <v/>
      </c>
      <c r="K62" s="736"/>
    </row>
    <row r="63" spans="1:11" ht="12.75" customHeight="1" x14ac:dyDescent="0.25">
      <c r="A63" s="517" t="s">
        <v>1272</v>
      </c>
      <c r="B63" s="169"/>
      <c r="C63" s="649">
        <f t="shared" ref="C63:H63" si="18">SUM(C64:C68)</f>
        <v>0</v>
      </c>
      <c r="D63" s="650">
        <f t="shared" si="18"/>
        <v>0</v>
      </c>
      <c r="E63" s="408">
        <f t="shared" si="18"/>
        <v>0</v>
      </c>
      <c r="F63" s="408">
        <f t="shared" si="18"/>
        <v>0</v>
      </c>
      <c r="G63" s="408">
        <f t="shared" si="18"/>
        <v>0</v>
      </c>
      <c r="H63" s="408">
        <f t="shared" si="18"/>
        <v>0</v>
      </c>
      <c r="I63" s="258">
        <f t="shared" si="14"/>
        <v>0</v>
      </c>
      <c r="J63" s="576" t="str">
        <f t="shared" si="15"/>
        <v/>
      </c>
      <c r="K63" s="643">
        <f>SUM(K64:K68)</f>
        <v>0</v>
      </c>
    </row>
    <row r="64" spans="1:11" ht="12.75" customHeight="1" x14ac:dyDescent="0.25">
      <c r="A64" s="575" t="s">
        <v>1273</v>
      </c>
      <c r="B64" s="169"/>
      <c r="C64" s="749"/>
      <c r="D64" s="746"/>
      <c r="E64" s="734"/>
      <c r="F64" s="734"/>
      <c r="G64" s="734"/>
      <c r="H64" s="734"/>
      <c r="I64" s="258">
        <f t="shared" si="14"/>
        <v>0</v>
      </c>
      <c r="J64" s="576" t="str">
        <f t="shared" si="15"/>
        <v/>
      </c>
      <c r="K64" s="736"/>
    </row>
    <row r="65" spans="1:11" ht="12.75" customHeight="1" x14ac:dyDescent="0.25">
      <c r="A65" s="575" t="s">
        <v>1274</v>
      </c>
      <c r="B65" s="169"/>
      <c r="C65" s="749"/>
      <c r="D65" s="746"/>
      <c r="E65" s="734"/>
      <c r="F65" s="734"/>
      <c r="G65" s="734"/>
      <c r="H65" s="734"/>
      <c r="I65" s="258">
        <f t="shared" si="14"/>
        <v>0</v>
      </c>
      <c r="J65" s="576" t="str">
        <f t="shared" si="15"/>
        <v/>
      </c>
      <c r="K65" s="736"/>
    </row>
    <row r="66" spans="1:11" ht="12.75" customHeight="1" x14ac:dyDescent="0.25">
      <c r="A66" s="575" t="s">
        <v>1275</v>
      </c>
      <c r="B66" s="169"/>
      <c r="C66" s="749"/>
      <c r="D66" s="746"/>
      <c r="E66" s="734"/>
      <c r="F66" s="734"/>
      <c r="G66" s="734"/>
      <c r="H66" s="734"/>
      <c r="I66" s="258">
        <f t="shared" si="14"/>
        <v>0</v>
      </c>
      <c r="J66" s="576" t="str">
        <f t="shared" si="15"/>
        <v/>
      </c>
      <c r="K66" s="736"/>
    </row>
    <row r="67" spans="1:11" ht="12.75" customHeight="1" x14ac:dyDescent="0.25">
      <c r="A67" s="575" t="s">
        <v>1276</v>
      </c>
      <c r="B67" s="169"/>
      <c r="C67" s="749"/>
      <c r="D67" s="746"/>
      <c r="E67" s="734"/>
      <c r="F67" s="734"/>
      <c r="G67" s="734"/>
      <c r="H67" s="734"/>
      <c r="I67" s="258">
        <f t="shared" si="14"/>
        <v>0</v>
      </c>
      <c r="J67" s="576" t="str">
        <f t="shared" si="15"/>
        <v/>
      </c>
      <c r="K67" s="736"/>
    </row>
    <row r="68" spans="1:11" ht="12.75" customHeight="1" x14ac:dyDescent="0.25">
      <c r="A68" s="575" t="s">
        <v>1232</v>
      </c>
      <c r="B68" s="169"/>
      <c r="C68" s="749"/>
      <c r="D68" s="746"/>
      <c r="E68" s="734"/>
      <c r="F68" s="734"/>
      <c r="G68" s="734"/>
      <c r="H68" s="734"/>
      <c r="I68" s="258">
        <f t="shared" si="14"/>
        <v>0</v>
      </c>
      <c r="J68" s="576" t="str">
        <f t="shared" si="15"/>
        <v/>
      </c>
      <c r="K68" s="736"/>
    </row>
    <row r="69" spans="1:11" ht="12.75" customHeight="1" x14ac:dyDescent="0.25">
      <c r="A69" s="518" t="s">
        <v>1277</v>
      </c>
      <c r="B69" s="169"/>
      <c r="C69" s="649">
        <f t="shared" ref="C69:H69" si="19">SUM(C70:C73)</f>
        <v>0</v>
      </c>
      <c r="D69" s="650">
        <f t="shared" si="19"/>
        <v>0</v>
      </c>
      <c r="E69" s="408">
        <f t="shared" si="19"/>
        <v>0</v>
      </c>
      <c r="F69" s="408">
        <f t="shared" si="19"/>
        <v>0</v>
      </c>
      <c r="G69" s="408">
        <f t="shared" si="19"/>
        <v>0</v>
      </c>
      <c r="H69" s="408">
        <f t="shared" si="19"/>
        <v>0</v>
      </c>
      <c r="I69" s="258">
        <f>H69-G69</f>
        <v>0</v>
      </c>
      <c r="J69" s="576" t="str">
        <f t="shared" ref="J69:J75" si="20">IF(I69=0,"",I69/H69)</f>
        <v/>
      </c>
      <c r="K69" s="643">
        <f>SUM(K70:K73)</f>
        <v>0</v>
      </c>
    </row>
    <row r="70" spans="1:11" ht="12.75" customHeight="1" x14ac:dyDescent="0.25">
      <c r="A70" s="575" t="s">
        <v>1278</v>
      </c>
      <c r="B70" s="169"/>
      <c r="C70" s="749"/>
      <c r="D70" s="746"/>
      <c r="E70" s="734"/>
      <c r="F70" s="734"/>
      <c r="G70" s="734"/>
      <c r="H70" s="734"/>
      <c r="I70" s="258">
        <f>H70-G70</f>
        <v>0</v>
      </c>
      <c r="J70" s="576" t="str">
        <f t="shared" si="20"/>
        <v/>
      </c>
      <c r="K70" s="736"/>
    </row>
    <row r="71" spans="1:11" ht="12.75" customHeight="1" x14ac:dyDescent="0.25">
      <c r="A71" s="575" t="s">
        <v>1279</v>
      </c>
      <c r="B71" s="169"/>
      <c r="C71" s="749"/>
      <c r="D71" s="746"/>
      <c r="E71" s="734"/>
      <c r="F71" s="734"/>
      <c r="G71" s="734"/>
      <c r="H71" s="734"/>
      <c r="I71" s="258">
        <f>H71-G71</f>
        <v>0</v>
      </c>
      <c r="J71" s="576" t="str">
        <f t="shared" si="20"/>
        <v/>
      </c>
      <c r="K71" s="736"/>
    </row>
    <row r="72" spans="1:11" ht="12.75" customHeight="1" x14ac:dyDescent="0.25">
      <c r="A72" s="575" t="s">
        <v>1280</v>
      </c>
      <c r="B72" s="169"/>
      <c r="C72" s="749"/>
      <c r="D72" s="746"/>
      <c r="E72" s="734"/>
      <c r="F72" s="734"/>
      <c r="G72" s="734"/>
      <c r="H72" s="734"/>
      <c r="I72" s="258">
        <f>H72-G72</f>
        <v>0</v>
      </c>
      <c r="J72" s="576" t="str">
        <f t="shared" si="20"/>
        <v/>
      </c>
      <c r="K72" s="736"/>
    </row>
    <row r="73" spans="1:11" ht="12.75" customHeight="1" x14ac:dyDescent="0.25">
      <c r="A73" s="575" t="s">
        <v>1232</v>
      </c>
      <c r="B73" s="169"/>
      <c r="C73" s="749"/>
      <c r="D73" s="746"/>
      <c r="E73" s="734"/>
      <c r="F73" s="734"/>
      <c r="G73" s="734"/>
      <c r="H73" s="734"/>
      <c r="I73" s="258">
        <f>H73-G73</f>
        <v>0</v>
      </c>
      <c r="J73" s="576" t="str">
        <f t="shared" si="20"/>
        <v/>
      </c>
      <c r="K73" s="736"/>
    </row>
    <row r="74" spans="1:11" ht="5.25" customHeight="1" x14ac:dyDescent="0.25">
      <c r="A74" s="575"/>
      <c r="B74" s="169"/>
      <c r="C74" s="134"/>
      <c r="D74" s="46"/>
      <c r="E74" s="44"/>
      <c r="F74" s="44"/>
      <c r="G74" s="44"/>
      <c r="H74" s="44"/>
      <c r="I74" s="258"/>
      <c r="J74" s="576" t="str">
        <f t="shared" si="20"/>
        <v/>
      </c>
      <c r="K74" s="144"/>
    </row>
    <row r="75" spans="1:11" ht="12.75" customHeight="1" x14ac:dyDescent="0.25">
      <c r="A75" s="35" t="s">
        <v>1301</v>
      </c>
      <c r="B75" s="169"/>
      <c r="C75" s="577">
        <f t="shared" ref="C75:H75" si="21">+C76+C99</f>
        <v>0</v>
      </c>
      <c r="D75" s="578">
        <f t="shared" si="21"/>
        <v>10274656</v>
      </c>
      <c r="E75" s="579">
        <f t="shared" si="21"/>
        <v>10749840</v>
      </c>
      <c r="F75" s="579">
        <f t="shared" si="21"/>
        <v>0</v>
      </c>
      <c r="G75" s="579">
        <f t="shared" si="21"/>
        <v>0</v>
      </c>
      <c r="H75" s="579">
        <f t="shared" si="21"/>
        <v>9854020</v>
      </c>
      <c r="I75" s="579">
        <f>H75-G75</f>
        <v>9854020</v>
      </c>
      <c r="J75" s="580">
        <f t="shared" si="20"/>
        <v>1</v>
      </c>
      <c r="K75" s="581">
        <f>+K76+K99</f>
        <v>10749840</v>
      </c>
    </row>
    <row r="76" spans="1:11" ht="12.75" customHeight="1" x14ac:dyDescent="0.25">
      <c r="A76" s="518" t="s">
        <v>1281</v>
      </c>
      <c r="B76" s="169"/>
      <c r="C76" s="649">
        <f t="shared" ref="C76:H76" si="22">SUM(C77:C98)</f>
        <v>0</v>
      </c>
      <c r="D76" s="650">
        <f t="shared" si="22"/>
        <v>10274656</v>
      </c>
      <c r="E76" s="408">
        <f t="shared" si="22"/>
        <v>10749840</v>
      </c>
      <c r="F76" s="408">
        <f t="shared" si="22"/>
        <v>0</v>
      </c>
      <c r="G76" s="408">
        <f t="shared" si="22"/>
        <v>0</v>
      </c>
      <c r="H76" s="408">
        <f t="shared" si="22"/>
        <v>9854020</v>
      </c>
      <c r="I76" s="258">
        <f t="shared" ref="I76:I87" si="23">H76-G76</f>
        <v>9854020</v>
      </c>
      <c r="J76" s="576">
        <f t="shared" ref="J76:J87" si="24">IF(I76=0,"",I76/H76)</f>
        <v>1</v>
      </c>
      <c r="K76" s="643">
        <f>SUM(K77:K98)</f>
        <v>10749840</v>
      </c>
    </row>
    <row r="77" spans="1:11" ht="12.75" customHeight="1" x14ac:dyDescent="0.25">
      <c r="A77" s="575" t="s">
        <v>1282</v>
      </c>
      <c r="B77" s="169"/>
      <c r="C77" s="749"/>
      <c r="D77" s="754">
        <v>10016256</v>
      </c>
      <c r="E77" s="734">
        <v>10016256</v>
      </c>
      <c r="F77" s="734"/>
      <c r="G77" s="734"/>
      <c r="H77" s="734">
        <f t="shared" ref="H77" si="25">E77/12*11</f>
        <v>9181568</v>
      </c>
      <c r="I77" s="44">
        <f t="shared" si="23"/>
        <v>9181568</v>
      </c>
      <c r="J77" s="124">
        <f t="shared" si="24"/>
        <v>1</v>
      </c>
      <c r="K77" s="736">
        <f>E77</f>
        <v>10016256</v>
      </c>
    </row>
    <row r="78" spans="1:11" ht="12.75" customHeight="1" x14ac:dyDescent="0.25">
      <c r="A78" s="575" t="s">
        <v>1283</v>
      </c>
      <c r="B78" s="169"/>
      <c r="C78" s="749"/>
      <c r="D78" s="754"/>
      <c r="E78" s="734"/>
      <c r="F78" s="734"/>
      <c r="G78" s="734"/>
      <c r="H78" s="734"/>
      <c r="I78" s="44">
        <f t="shared" si="23"/>
        <v>0</v>
      </c>
      <c r="J78" s="124" t="str">
        <f t="shared" si="24"/>
        <v/>
      </c>
      <c r="K78" s="736"/>
    </row>
    <row r="79" spans="1:11" ht="12.75" customHeight="1" x14ac:dyDescent="0.25">
      <c r="A79" s="575" t="s">
        <v>1284</v>
      </c>
      <c r="B79" s="169"/>
      <c r="C79" s="749"/>
      <c r="D79" s="754"/>
      <c r="E79" s="734"/>
      <c r="F79" s="734"/>
      <c r="G79" s="734"/>
      <c r="H79" s="734"/>
      <c r="I79" s="44">
        <f t="shared" si="23"/>
        <v>0</v>
      </c>
      <c r="J79" s="124" t="str">
        <f t="shared" si="24"/>
        <v/>
      </c>
      <c r="K79" s="736"/>
    </row>
    <row r="80" spans="1:11" ht="12.75" customHeight="1" x14ac:dyDescent="0.25">
      <c r="A80" s="575" t="s">
        <v>1285</v>
      </c>
      <c r="B80" s="169"/>
      <c r="C80" s="749"/>
      <c r="D80" s="754"/>
      <c r="E80" s="734"/>
      <c r="F80" s="734"/>
      <c r="G80" s="734"/>
      <c r="H80" s="734"/>
      <c r="I80" s="44">
        <f t="shared" si="23"/>
        <v>0</v>
      </c>
      <c r="J80" s="124" t="str">
        <f t="shared" si="24"/>
        <v/>
      </c>
      <c r="K80" s="736"/>
    </row>
    <row r="81" spans="1:11" ht="12.75" customHeight="1" x14ac:dyDescent="0.25">
      <c r="A81" s="575" t="s">
        <v>1286</v>
      </c>
      <c r="B81" s="169"/>
      <c r="C81" s="749"/>
      <c r="D81" s="754"/>
      <c r="E81" s="734"/>
      <c r="F81" s="734"/>
      <c r="G81" s="734"/>
      <c r="H81" s="734"/>
      <c r="I81" s="44">
        <f t="shared" si="23"/>
        <v>0</v>
      </c>
      <c r="J81" s="124" t="str">
        <f t="shared" si="24"/>
        <v/>
      </c>
      <c r="K81" s="736"/>
    </row>
    <row r="82" spans="1:11" ht="12.75" customHeight="1" x14ac:dyDescent="0.25">
      <c r="A82" s="575" t="s">
        <v>1287</v>
      </c>
      <c r="B82" s="169"/>
      <c r="C82" s="749"/>
      <c r="D82" s="754"/>
      <c r="E82" s="734"/>
      <c r="F82" s="734"/>
      <c r="G82" s="734"/>
      <c r="H82" s="734"/>
      <c r="I82" s="44">
        <f t="shared" si="23"/>
        <v>0</v>
      </c>
      <c r="J82" s="124" t="str">
        <f t="shared" si="24"/>
        <v/>
      </c>
      <c r="K82" s="736"/>
    </row>
    <row r="83" spans="1:11" ht="12.75" customHeight="1" x14ac:dyDescent="0.25">
      <c r="A83" s="575" t="s">
        <v>1288</v>
      </c>
      <c r="B83" s="169"/>
      <c r="C83" s="749"/>
      <c r="D83" s="754"/>
      <c r="E83" s="734"/>
      <c r="F83" s="734"/>
      <c r="G83" s="734"/>
      <c r="H83" s="734"/>
      <c r="I83" s="44">
        <f t="shared" si="23"/>
        <v>0</v>
      </c>
      <c r="J83" s="124" t="str">
        <f t="shared" si="24"/>
        <v/>
      </c>
      <c r="K83" s="736"/>
    </row>
    <row r="84" spans="1:11" ht="12.75" customHeight="1" x14ac:dyDescent="0.25">
      <c r="A84" s="575" t="s">
        <v>1289</v>
      </c>
      <c r="B84" s="169"/>
      <c r="C84" s="749"/>
      <c r="D84" s="754"/>
      <c r="E84" s="734">
        <v>475184</v>
      </c>
      <c r="F84" s="734"/>
      <c r="G84" s="734"/>
      <c r="H84" s="734">
        <f t="shared" ref="H84" si="26">E84/12*11</f>
        <v>435585.33333333331</v>
      </c>
      <c r="I84" s="44">
        <f t="shared" si="23"/>
        <v>435585.33333333331</v>
      </c>
      <c r="J84" s="124">
        <f t="shared" si="24"/>
        <v>1</v>
      </c>
      <c r="K84" s="736">
        <f>E84</f>
        <v>475184</v>
      </c>
    </row>
    <row r="85" spans="1:11" ht="12.75" customHeight="1" x14ac:dyDescent="0.25">
      <c r="A85" s="575" t="s">
        <v>1165</v>
      </c>
      <c r="B85" s="169"/>
      <c r="C85" s="749"/>
      <c r="D85" s="754"/>
      <c r="E85" s="734"/>
      <c r="F85" s="734"/>
      <c r="G85" s="734"/>
      <c r="H85" s="734"/>
      <c r="I85" s="44">
        <f t="shared" si="23"/>
        <v>0</v>
      </c>
      <c r="J85" s="124" t="str">
        <f t="shared" si="24"/>
        <v/>
      </c>
      <c r="K85" s="736"/>
    </row>
    <row r="86" spans="1:11" ht="12.75" customHeight="1" x14ac:dyDescent="0.25">
      <c r="A86" s="575" t="s">
        <v>560</v>
      </c>
      <c r="B86" s="169"/>
      <c r="C86" s="749"/>
      <c r="D86" s="754"/>
      <c r="E86" s="734"/>
      <c r="F86" s="734"/>
      <c r="G86" s="734"/>
      <c r="H86" s="734"/>
      <c r="I86" s="44">
        <f t="shared" si="23"/>
        <v>0</v>
      </c>
      <c r="J86" s="124" t="str">
        <f t="shared" si="24"/>
        <v/>
      </c>
      <c r="K86" s="736"/>
    </row>
    <row r="87" spans="1:11" ht="12.75" customHeight="1" x14ac:dyDescent="0.25">
      <c r="A87" s="575" t="s">
        <v>1290</v>
      </c>
      <c r="B87" s="169"/>
      <c r="C87" s="749"/>
      <c r="D87" s="754"/>
      <c r="E87" s="734"/>
      <c r="F87" s="734"/>
      <c r="G87" s="734"/>
      <c r="H87" s="734"/>
      <c r="I87" s="44">
        <f t="shared" si="23"/>
        <v>0</v>
      </c>
      <c r="J87" s="124" t="str">
        <f t="shared" si="24"/>
        <v/>
      </c>
      <c r="K87" s="736"/>
    </row>
    <row r="88" spans="1:11" ht="12.75" customHeight="1" x14ac:dyDescent="0.25">
      <c r="A88" s="575" t="s">
        <v>172</v>
      </c>
      <c r="B88" s="169"/>
      <c r="C88" s="749"/>
      <c r="D88" s="754">
        <v>258400</v>
      </c>
      <c r="E88" s="734">
        <v>258400</v>
      </c>
      <c r="F88" s="734"/>
      <c r="G88" s="734"/>
      <c r="H88" s="734">
        <f t="shared" ref="H88" si="27">E88/12*11</f>
        <v>236866.66666666666</v>
      </c>
      <c r="I88" s="44">
        <f t="shared" ref="I88:I133" si="28">H88-G88</f>
        <v>236866.66666666666</v>
      </c>
      <c r="J88" s="124">
        <f t="shared" ref="J88:J119" si="29">IF(I88=0,"",I88/H88)</f>
        <v>1</v>
      </c>
      <c r="K88" s="736">
        <f>E88</f>
        <v>258400</v>
      </c>
    </row>
    <row r="89" spans="1:11" ht="12.75" customHeight="1" x14ac:dyDescent="0.25">
      <c r="A89" s="575" t="s">
        <v>1291</v>
      </c>
      <c r="B89" s="169"/>
      <c r="C89" s="749"/>
      <c r="D89" s="754"/>
      <c r="E89" s="734"/>
      <c r="F89" s="734"/>
      <c r="G89" s="734"/>
      <c r="H89" s="734"/>
      <c r="I89" s="44">
        <f t="shared" si="28"/>
        <v>0</v>
      </c>
      <c r="J89" s="124" t="str">
        <f t="shared" si="29"/>
        <v/>
      </c>
      <c r="K89" s="736"/>
    </row>
    <row r="90" spans="1:11" ht="12.75" customHeight="1" x14ac:dyDescent="0.25">
      <c r="A90" s="575" t="s">
        <v>1292</v>
      </c>
      <c r="B90" s="169"/>
      <c r="C90" s="749"/>
      <c r="D90" s="754"/>
      <c r="E90" s="734"/>
      <c r="F90" s="734"/>
      <c r="G90" s="734"/>
      <c r="H90" s="734"/>
      <c r="I90" s="44">
        <f t="shared" si="28"/>
        <v>0</v>
      </c>
      <c r="J90" s="124" t="str">
        <f t="shared" si="29"/>
        <v/>
      </c>
      <c r="K90" s="736"/>
    </row>
    <row r="91" spans="1:11" ht="12.75" customHeight="1" x14ac:dyDescent="0.25">
      <c r="A91" s="575" t="s">
        <v>1293</v>
      </c>
      <c r="B91" s="169"/>
      <c r="C91" s="749"/>
      <c r="D91" s="754"/>
      <c r="E91" s="734"/>
      <c r="F91" s="734"/>
      <c r="G91" s="734"/>
      <c r="H91" s="734"/>
      <c r="I91" s="44">
        <f t="shared" si="28"/>
        <v>0</v>
      </c>
      <c r="J91" s="124" t="str">
        <f t="shared" si="29"/>
        <v/>
      </c>
      <c r="K91" s="736"/>
    </row>
    <row r="92" spans="1:11" ht="12.75" customHeight="1" x14ac:dyDescent="0.25">
      <c r="A92" s="575" t="s">
        <v>1294</v>
      </c>
      <c r="B92" s="169"/>
      <c r="C92" s="749"/>
      <c r="D92" s="754"/>
      <c r="E92" s="734"/>
      <c r="F92" s="734"/>
      <c r="G92" s="734"/>
      <c r="H92" s="734"/>
      <c r="I92" s="44">
        <f t="shared" si="28"/>
        <v>0</v>
      </c>
      <c r="J92" s="124" t="str">
        <f t="shared" si="29"/>
        <v/>
      </c>
      <c r="K92" s="736"/>
    </row>
    <row r="93" spans="1:11" ht="12.75" customHeight="1" x14ac:dyDescent="0.25">
      <c r="A93" s="575" t="s">
        <v>448</v>
      </c>
      <c r="B93" s="169"/>
      <c r="C93" s="749"/>
      <c r="D93" s="754"/>
      <c r="E93" s="734"/>
      <c r="F93" s="734"/>
      <c r="G93" s="734"/>
      <c r="H93" s="734"/>
      <c r="I93" s="44">
        <f t="shared" si="28"/>
        <v>0</v>
      </c>
      <c r="J93" s="124" t="str">
        <f t="shared" si="29"/>
        <v/>
      </c>
      <c r="K93" s="736"/>
    </row>
    <row r="94" spans="1:11" ht="12.75" customHeight="1" x14ac:dyDescent="0.25">
      <c r="A94" s="575" t="s">
        <v>1295</v>
      </c>
      <c r="B94" s="169"/>
      <c r="C94" s="749"/>
      <c r="D94" s="754"/>
      <c r="E94" s="734"/>
      <c r="F94" s="734"/>
      <c r="G94" s="734"/>
      <c r="H94" s="734"/>
      <c r="I94" s="44">
        <f t="shared" si="28"/>
        <v>0</v>
      </c>
      <c r="J94" s="124" t="str">
        <f t="shared" si="29"/>
        <v/>
      </c>
      <c r="K94" s="736"/>
    </row>
    <row r="95" spans="1:11" ht="12.75" customHeight="1" x14ac:dyDescent="0.25">
      <c r="A95" s="575" t="s">
        <v>447</v>
      </c>
      <c r="B95" s="169"/>
      <c r="C95" s="749"/>
      <c r="D95" s="754"/>
      <c r="E95" s="734"/>
      <c r="F95" s="734"/>
      <c r="G95" s="734"/>
      <c r="H95" s="734"/>
      <c r="I95" s="44">
        <f t="shared" si="28"/>
        <v>0</v>
      </c>
      <c r="J95" s="124" t="str">
        <f t="shared" si="29"/>
        <v/>
      </c>
      <c r="K95" s="736"/>
    </row>
    <row r="96" spans="1:11" ht="12.75" customHeight="1" x14ac:dyDescent="0.25">
      <c r="A96" s="575" t="s">
        <v>1296</v>
      </c>
      <c r="B96" s="169"/>
      <c r="C96" s="749"/>
      <c r="D96" s="754"/>
      <c r="E96" s="734"/>
      <c r="F96" s="734"/>
      <c r="G96" s="734"/>
      <c r="H96" s="734"/>
      <c r="I96" s="44">
        <f t="shared" si="28"/>
        <v>0</v>
      </c>
      <c r="J96" s="124" t="str">
        <f t="shared" si="29"/>
        <v/>
      </c>
      <c r="K96" s="736"/>
    </row>
    <row r="97" spans="1:11" ht="12.75" customHeight="1" x14ac:dyDescent="0.25">
      <c r="A97" s="575" t="s">
        <v>1297</v>
      </c>
      <c r="B97" s="169"/>
      <c r="C97" s="749"/>
      <c r="D97" s="754"/>
      <c r="E97" s="734"/>
      <c r="F97" s="734"/>
      <c r="G97" s="734"/>
      <c r="H97" s="734"/>
      <c r="I97" s="44">
        <f t="shared" si="28"/>
        <v>0</v>
      </c>
      <c r="J97" s="124" t="str">
        <f t="shared" si="29"/>
        <v/>
      </c>
      <c r="K97" s="736"/>
    </row>
    <row r="98" spans="1:11" ht="12.75" customHeight="1" x14ac:dyDescent="0.25">
      <c r="A98" s="575" t="s">
        <v>1232</v>
      </c>
      <c r="B98" s="169"/>
      <c r="C98" s="749"/>
      <c r="D98" s="754"/>
      <c r="E98" s="734"/>
      <c r="F98" s="734"/>
      <c r="G98" s="734"/>
      <c r="H98" s="734"/>
      <c r="I98" s="44">
        <f t="shared" si="28"/>
        <v>0</v>
      </c>
      <c r="J98" s="124" t="str">
        <f t="shared" si="29"/>
        <v/>
      </c>
      <c r="K98" s="736"/>
    </row>
    <row r="99" spans="1:11" ht="12.75" customHeight="1" x14ac:dyDescent="0.25">
      <c r="A99" s="518" t="s">
        <v>1298</v>
      </c>
      <c r="B99" s="169"/>
      <c r="C99" s="649">
        <f t="shared" ref="C99:H99" si="30">SUM(C100:C102)</f>
        <v>0</v>
      </c>
      <c r="D99" s="650">
        <f t="shared" si="30"/>
        <v>0</v>
      </c>
      <c r="E99" s="408">
        <f t="shared" si="30"/>
        <v>0</v>
      </c>
      <c r="F99" s="408">
        <f t="shared" si="30"/>
        <v>0</v>
      </c>
      <c r="G99" s="408">
        <f t="shared" si="30"/>
        <v>0</v>
      </c>
      <c r="H99" s="408">
        <f t="shared" si="30"/>
        <v>0</v>
      </c>
      <c r="I99" s="258">
        <f t="shared" si="28"/>
        <v>0</v>
      </c>
      <c r="J99" s="576" t="str">
        <f t="shared" si="29"/>
        <v/>
      </c>
      <c r="K99" s="643">
        <f>SUM(K100:K102)</f>
        <v>0</v>
      </c>
    </row>
    <row r="100" spans="1:11" ht="12.75" customHeight="1" x14ac:dyDescent="0.25">
      <c r="A100" s="575" t="s">
        <v>1299</v>
      </c>
      <c r="B100" s="169"/>
      <c r="C100" s="749"/>
      <c r="D100" s="754"/>
      <c r="E100" s="734"/>
      <c r="F100" s="734"/>
      <c r="G100" s="734"/>
      <c r="H100" s="734"/>
      <c r="I100" s="44">
        <f t="shared" si="28"/>
        <v>0</v>
      </c>
      <c r="J100" s="124" t="str">
        <f t="shared" si="29"/>
        <v/>
      </c>
      <c r="K100" s="736"/>
    </row>
    <row r="101" spans="1:11" ht="12.75" customHeight="1" x14ac:dyDescent="0.25">
      <c r="A101" s="575" t="s">
        <v>1300</v>
      </c>
      <c r="B101" s="169"/>
      <c r="C101" s="749"/>
      <c r="D101" s="754"/>
      <c r="E101" s="734"/>
      <c r="F101" s="734"/>
      <c r="G101" s="734"/>
      <c r="H101" s="734"/>
      <c r="I101" s="44">
        <f t="shared" si="28"/>
        <v>0</v>
      </c>
      <c r="J101" s="124" t="str">
        <f t="shared" si="29"/>
        <v/>
      </c>
      <c r="K101" s="736"/>
    </row>
    <row r="102" spans="1:11" ht="12.75" customHeight="1" x14ac:dyDescent="0.25">
      <c r="A102" s="575" t="s">
        <v>1232</v>
      </c>
      <c r="B102" s="169"/>
      <c r="C102" s="749"/>
      <c r="D102" s="754"/>
      <c r="E102" s="734"/>
      <c r="F102" s="734"/>
      <c r="G102" s="734"/>
      <c r="H102" s="734"/>
      <c r="I102" s="44">
        <f t="shared" si="28"/>
        <v>0</v>
      </c>
      <c r="J102" s="124" t="str">
        <f t="shared" si="29"/>
        <v/>
      </c>
      <c r="K102" s="736"/>
    </row>
    <row r="103" spans="1:11" ht="12.75" customHeight="1" x14ac:dyDescent="0.25">
      <c r="A103" s="550" t="s">
        <v>677</v>
      </c>
      <c r="B103" s="169"/>
      <c r="C103" s="249">
        <f t="shared" ref="C103:H103" si="31">SUM(C104:C108)</f>
        <v>0</v>
      </c>
      <c r="D103" s="264">
        <f t="shared" si="31"/>
        <v>11884000</v>
      </c>
      <c r="E103" s="99">
        <f t="shared" si="31"/>
        <v>11884000</v>
      </c>
      <c r="F103" s="99">
        <f t="shared" si="31"/>
        <v>28941701.52</v>
      </c>
      <c r="G103" s="99">
        <f t="shared" si="31"/>
        <v>290843066.75</v>
      </c>
      <c r="H103" s="99">
        <f t="shared" si="31"/>
        <v>10893666.666666668</v>
      </c>
      <c r="I103" s="99">
        <f t="shared" si="28"/>
        <v>-279949400.08333331</v>
      </c>
      <c r="J103" s="324">
        <f t="shared" si="29"/>
        <v>-25.69836297083932</v>
      </c>
      <c r="K103" s="195">
        <f>SUM(K104:K108)</f>
        <v>11884000</v>
      </c>
    </row>
    <row r="104" spans="1:11" ht="12.75" customHeight="1" x14ac:dyDescent="0.25">
      <c r="A104" s="518" t="s">
        <v>1302</v>
      </c>
      <c r="B104" s="169"/>
      <c r="C104" s="787"/>
      <c r="D104" s="754"/>
      <c r="E104" s="734"/>
      <c r="F104" s="734"/>
      <c r="G104" s="734"/>
      <c r="H104" s="734"/>
      <c r="I104" s="44">
        <f t="shared" si="28"/>
        <v>0</v>
      </c>
      <c r="J104" s="124" t="str">
        <f t="shared" si="29"/>
        <v/>
      </c>
      <c r="K104" s="736"/>
    </row>
    <row r="105" spans="1:11" ht="12.75" customHeight="1" x14ac:dyDescent="0.25">
      <c r="A105" s="517" t="s">
        <v>1303</v>
      </c>
      <c r="B105" s="169"/>
      <c r="C105" s="787"/>
      <c r="D105" s="754"/>
      <c r="E105" s="734"/>
      <c r="F105" s="734"/>
      <c r="G105" s="734"/>
      <c r="H105" s="734"/>
      <c r="I105" s="44">
        <f t="shared" si="28"/>
        <v>0</v>
      </c>
      <c r="J105" s="124" t="str">
        <f t="shared" si="29"/>
        <v/>
      </c>
      <c r="K105" s="736"/>
    </row>
    <row r="106" spans="1:11" ht="12.75" customHeight="1" x14ac:dyDescent="0.25">
      <c r="A106" s="518" t="s">
        <v>1304</v>
      </c>
      <c r="B106" s="169"/>
      <c r="C106" s="787"/>
      <c r="D106" s="754"/>
      <c r="E106" s="734"/>
      <c r="F106" s="734"/>
      <c r="G106" s="734"/>
      <c r="H106" s="734"/>
      <c r="I106" s="44">
        <f t="shared" si="28"/>
        <v>0</v>
      </c>
      <c r="J106" s="124" t="str">
        <f t="shared" si="29"/>
        <v/>
      </c>
      <c r="K106" s="736"/>
    </row>
    <row r="107" spans="1:11" ht="12.75" customHeight="1" x14ac:dyDescent="0.25">
      <c r="A107" s="518" t="s">
        <v>1305</v>
      </c>
      <c r="B107" s="169"/>
      <c r="C107" s="787"/>
      <c r="D107" s="754"/>
      <c r="E107" s="734"/>
      <c r="F107" s="734"/>
      <c r="G107" s="734"/>
      <c r="H107" s="734"/>
      <c r="I107" s="44">
        <f t="shared" si="28"/>
        <v>0</v>
      </c>
      <c r="J107" s="124" t="str">
        <f t="shared" si="29"/>
        <v/>
      </c>
      <c r="K107" s="736"/>
    </row>
    <row r="108" spans="1:11" ht="12.75" customHeight="1" x14ac:dyDescent="0.25">
      <c r="A108" s="517" t="s">
        <v>1306</v>
      </c>
      <c r="B108" s="169"/>
      <c r="C108" s="787"/>
      <c r="D108" s="754">
        <v>11884000</v>
      </c>
      <c r="E108" s="734">
        <v>11884000</v>
      </c>
      <c r="F108" s="734">
        <v>28941701.52</v>
      </c>
      <c r="G108" s="734">
        <v>290843066.75</v>
      </c>
      <c r="H108" s="734">
        <f t="shared" ref="H108" si="32">E108/12*11</f>
        <v>10893666.666666668</v>
      </c>
      <c r="I108" s="44">
        <f t="shared" si="28"/>
        <v>-279949400.08333331</v>
      </c>
      <c r="J108" s="124">
        <f t="shared" si="29"/>
        <v>-25.69836297083932</v>
      </c>
      <c r="K108" s="736">
        <f>E108</f>
        <v>11884000</v>
      </c>
    </row>
    <row r="109" spans="1:11" ht="5.0999999999999996" customHeight="1" x14ac:dyDescent="0.25">
      <c r="A109" s="939"/>
      <c r="B109" s="169"/>
      <c r="C109" s="134"/>
      <c r="D109" s="258"/>
      <c r="E109" s="44"/>
      <c r="F109" s="44"/>
      <c r="G109" s="44"/>
      <c r="H109" s="44"/>
      <c r="I109" s="44">
        <f t="shared" si="28"/>
        <v>0</v>
      </c>
      <c r="J109" s="124" t="str">
        <f t="shared" si="29"/>
        <v/>
      </c>
      <c r="K109" s="144"/>
    </row>
    <row r="110" spans="1:11" ht="12.75" customHeight="1" x14ac:dyDescent="0.25">
      <c r="A110" s="940" t="s">
        <v>678</v>
      </c>
      <c r="B110" s="38"/>
      <c r="C110" s="577">
        <f t="shared" ref="C110:H110" si="33">+C111+C114</f>
        <v>0</v>
      </c>
      <c r="D110" s="578">
        <f t="shared" si="33"/>
        <v>0</v>
      </c>
      <c r="E110" s="579">
        <f t="shared" si="33"/>
        <v>0</v>
      </c>
      <c r="F110" s="579">
        <f t="shared" si="33"/>
        <v>0</v>
      </c>
      <c r="G110" s="579">
        <f t="shared" si="33"/>
        <v>0</v>
      </c>
      <c r="H110" s="579">
        <f t="shared" si="33"/>
        <v>0</v>
      </c>
      <c r="I110" s="99">
        <f t="shared" si="28"/>
        <v>0</v>
      </c>
      <c r="J110" s="324" t="str">
        <f t="shared" si="29"/>
        <v/>
      </c>
      <c r="K110" s="581">
        <f>+K111+K114</f>
        <v>0</v>
      </c>
    </row>
    <row r="111" spans="1:11" ht="12.75" customHeight="1" x14ac:dyDescent="0.25">
      <c r="A111" s="518" t="s">
        <v>1307</v>
      </c>
      <c r="B111" s="169"/>
      <c r="C111" s="649">
        <f t="shared" ref="C111:H111" si="34">SUM(C112:C113)</f>
        <v>0</v>
      </c>
      <c r="D111" s="650">
        <f t="shared" si="34"/>
        <v>0</v>
      </c>
      <c r="E111" s="408">
        <f t="shared" si="34"/>
        <v>0</v>
      </c>
      <c r="F111" s="408">
        <f t="shared" si="34"/>
        <v>0</v>
      </c>
      <c r="G111" s="408">
        <f t="shared" si="34"/>
        <v>0</v>
      </c>
      <c r="H111" s="408">
        <f t="shared" si="34"/>
        <v>0</v>
      </c>
      <c r="I111" s="258">
        <f t="shared" si="28"/>
        <v>0</v>
      </c>
      <c r="J111" s="576" t="str">
        <f t="shared" si="29"/>
        <v/>
      </c>
      <c r="K111" s="643">
        <f>SUM(K112:K113)</f>
        <v>0</v>
      </c>
    </row>
    <row r="112" spans="1:11" ht="12.75" customHeight="1" x14ac:dyDescent="0.25">
      <c r="A112" s="575" t="s">
        <v>1308</v>
      </c>
      <c r="B112" s="169"/>
      <c r="C112" s="749"/>
      <c r="D112" s="754"/>
      <c r="E112" s="734"/>
      <c r="F112" s="734"/>
      <c r="G112" s="734"/>
      <c r="H112" s="734"/>
      <c r="I112" s="44">
        <f t="shared" si="28"/>
        <v>0</v>
      </c>
      <c r="J112" s="124" t="str">
        <f t="shared" si="29"/>
        <v/>
      </c>
      <c r="K112" s="736"/>
    </row>
    <row r="113" spans="1:11" ht="12.75" customHeight="1" x14ac:dyDescent="0.25">
      <c r="A113" s="575" t="s">
        <v>1309</v>
      </c>
      <c r="B113" s="169"/>
      <c r="C113" s="749"/>
      <c r="D113" s="754"/>
      <c r="E113" s="734"/>
      <c r="F113" s="734"/>
      <c r="G113" s="734"/>
      <c r="H113" s="734"/>
      <c r="I113" s="44">
        <f t="shared" si="28"/>
        <v>0</v>
      </c>
      <c r="J113" s="124" t="str">
        <f t="shared" si="29"/>
        <v/>
      </c>
      <c r="K113" s="736"/>
    </row>
    <row r="114" spans="1:11" ht="12.75" customHeight="1" x14ac:dyDescent="0.25">
      <c r="A114" s="518" t="s">
        <v>1310</v>
      </c>
      <c r="B114" s="169"/>
      <c r="C114" s="649">
        <f t="shared" ref="C114:H114" si="35">SUM(C115:C116)</f>
        <v>0</v>
      </c>
      <c r="D114" s="650">
        <f t="shared" si="35"/>
        <v>0</v>
      </c>
      <c r="E114" s="408">
        <f t="shared" si="35"/>
        <v>0</v>
      </c>
      <c r="F114" s="408">
        <f t="shared" si="35"/>
        <v>0</v>
      </c>
      <c r="G114" s="408">
        <f t="shared" si="35"/>
        <v>0</v>
      </c>
      <c r="H114" s="408">
        <f t="shared" si="35"/>
        <v>0</v>
      </c>
      <c r="I114" s="258">
        <f t="shared" si="28"/>
        <v>0</v>
      </c>
      <c r="J114" s="576" t="str">
        <f t="shared" si="29"/>
        <v/>
      </c>
      <c r="K114" s="643">
        <f>SUM(K115:K116)</f>
        <v>0</v>
      </c>
    </row>
    <row r="115" spans="1:11" ht="12.75" customHeight="1" x14ac:dyDescent="0.25">
      <c r="A115" s="575" t="s">
        <v>1308</v>
      </c>
      <c r="B115" s="169"/>
      <c r="C115" s="749"/>
      <c r="D115" s="754"/>
      <c r="E115" s="734"/>
      <c r="F115" s="734"/>
      <c r="G115" s="734"/>
      <c r="H115" s="734"/>
      <c r="I115" s="44">
        <f t="shared" si="28"/>
        <v>0</v>
      </c>
      <c r="J115" s="124" t="str">
        <f t="shared" si="29"/>
        <v/>
      </c>
      <c r="K115" s="736"/>
    </row>
    <row r="116" spans="1:11" ht="12.75" customHeight="1" x14ac:dyDescent="0.25">
      <c r="A116" s="575" t="s">
        <v>1309</v>
      </c>
      <c r="B116" s="169"/>
      <c r="C116" s="749"/>
      <c r="D116" s="754"/>
      <c r="E116" s="734"/>
      <c r="F116" s="734"/>
      <c r="G116" s="734"/>
      <c r="H116" s="734"/>
      <c r="I116" s="44">
        <f t="shared" si="28"/>
        <v>0</v>
      </c>
      <c r="J116" s="124" t="str">
        <f t="shared" si="29"/>
        <v/>
      </c>
      <c r="K116" s="736"/>
    </row>
    <row r="117" spans="1:11" ht="12.75" customHeight="1" x14ac:dyDescent="0.25">
      <c r="A117" s="940" t="s">
        <v>679</v>
      </c>
      <c r="B117" s="169"/>
      <c r="C117" s="577">
        <f t="shared" ref="C117:H117" si="36">+C118+C130</f>
        <v>0</v>
      </c>
      <c r="D117" s="578">
        <f t="shared" si="36"/>
        <v>0</v>
      </c>
      <c r="E117" s="579">
        <f t="shared" si="36"/>
        <v>0</v>
      </c>
      <c r="F117" s="579">
        <f t="shared" si="36"/>
        <v>0</v>
      </c>
      <c r="G117" s="579">
        <f t="shared" si="36"/>
        <v>0</v>
      </c>
      <c r="H117" s="579">
        <f t="shared" si="36"/>
        <v>0</v>
      </c>
      <c r="I117" s="579">
        <f t="shared" si="28"/>
        <v>0</v>
      </c>
      <c r="J117" s="580" t="str">
        <f t="shared" si="29"/>
        <v/>
      </c>
      <c r="K117" s="581">
        <f>+K118+K130</f>
        <v>0</v>
      </c>
    </row>
    <row r="118" spans="1:11" ht="12.75" customHeight="1" x14ac:dyDescent="0.25">
      <c r="A118" s="518" t="s">
        <v>1311</v>
      </c>
      <c r="B118" s="169"/>
      <c r="C118" s="649">
        <f t="shared" ref="C118:H118" si="37">SUM(C119:C129)</f>
        <v>0</v>
      </c>
      <c r="D118" s="650">
        <f t="shared" si="37"/>
        <v>0</v>
      </c>
      <c r="E118" s="408">
        <f t="shared" si="37"/>
        <v>0</v>
      </c>
      <c r="F118" s="408">
        <f t="shared" si="37"/>
        <v>0</v>
      </c>
      <c r="G118" s="408">
        <f t="shared" si="37"/>
        <v>0</v>
      </c>
      <c r="H118" s="408">
        <f t="shared" si="37"/>
        <v>0</v>
      </c>
      <c r="I118" s="258">
        <f t="shared" si="28"/>
        <v>0</v>
      </c>
      <c r="J118" s="576" t="str">
        <f t="shared" si="29"/>
        <v/>
      </c>
      <c r="K118" s="643">
        <f>SUM(K119:K129)</f>
        <v>0</v>
      </c>
    </row>
    <row r="119" spans="1:11" ht="12.75" customHeight="1" x14ac:dyDescent="0.25">
      <c r="A119" s="575" t="s">
        <v>1312</v>
      </c>
      <c r="B119" s="169"/>
      <c r="C119" s="749"/>
      <c r="D119" s="754"/>
      <c r="E119" s="734"/>
      <c r="F119" s="734"/>
      <c r="G119" s="734"/>
      <c r="H119" s="734"/>
      <c r="I119" s="44">
        <f t="shared" si="28"/>
        <v>0</v>
      </c>
      <c r="J119" s="124" t="str">
        <f t="shared" si="29"/>
        <v/>
      </c>
      <c r="K119" s="736"/>
    </row>
    <row r="120" spans="1:11" ht="12.75" customHeight="1" x14ac:dyDescent="0.25">
      <c r="A120" s="575" t="s">
        <v>1313</v>
      </c>
      <c r="B120" s="169"/>
      <c r="C120" s="749"/>
      <c r="D120" s="754"/>
      <c r="E120" s="734"/>
      <c r="F120" s="734"/>
      <c r="G120" s="734"/>
      <c r="H120" s="734"/>
      <c r="I120" s="44">
        <f t="shared" si="28"/>
        <v>0</v>
      </c>
      <c r="J120" s="124" t="str">
        <f t="shared" ref="J120:J146" si="38">IF(I120=0,"",I120/H120)</f>
        <v/>
      </c>
      <c r="K120" s="736"/>
    </row>
    <row r="121" spans="1:11" ht="12.75" customHeight="1" x14ac:dyDescent="0.25">
      <c r="A121" s="575" t="s">
        <v>1314</v>
      </c>
      <c r="B121" s="169"/>
      <c r="C121" s="749"/>
      <c r="D121" s="754"/>
      <c r="E121" s="734"/>
      <c r="F121" s="734"/>
      <c r="G121" s="734"/>
      <c r="H121" s="734"/>
      <c r="I121" s="44">
        <f t="shared" si="28"/>
        <v>0</v>
      </c>
      <c r="J121" s="124" t="str">
        <f t="shared" si="38"/>
        <v/>
      </c>
      <c r="K121" s="736"/>
    </row>
    <row r="122" spans="1:11" ht="12.75" customHeight="1" x14ac:dyDescent="0.25">
      <c r="A122" s="575" t="s">
        <v>1315</v>
      </c>
      <c r="B122" s="169"/>
      <c r="C122" s="749"/>
      <c r="D122" s="754"/>
      <c r="E122" s="734"/>
      <c r="F122" s="734"/>
      <c r="G122" s="734"/>
      <c r="H122" s="734"/>
      <c r="I122" s="44">
        <f t="shared" si="28"/>
        <v>0</v>
      </c>
      <c r="J122" s="124" t="str">
        <f t="shared" si="38"/>
        <v/>
      </c>
      <c r="K122" s="736"/>
    </row>
    <row r="123" spans="1:11" ht="12.75" customHeight="1" x14ac:dyDescent="0.25">
      <c r="A123" s="575" t="s">
        <v>1316</v>
      </c>
      <c r="B123" s="169"/>
      <c r="C123" s="749"/>
      <c r="D123" s="754"/>
      <c r="E123" s="734"/>
      <c r="F123" s="734"/>
      <c r="G123" s="734"/>
      <c r="H123" s="734"/>
      <c r="I123" s="44">
        <f t="shared" si="28"/>
        <v>0</v>
      </c>
      <c r="J123" s="124" t="str">
        <f t="shared" si="38"/>
        <v/>
      </c>
      <c r="K123" s="736"/>
    </row>
    <row r="124" spans="1:11" ht="12.75" customHeight="1" x14ac:dyDescent="0.25">
      <c r="A124" s="575" t="s">
        <v>1317</v>
      </c>
      <c r="B124" s="169"/>
      <c r="C124" s="749"/>
      <c r="D124" s="754"/>
      <c r="E124" s="734"/>
      <c r="F124" s="734"/>
      <c r="G124" s="734"/>
      <c r="H124" s="734"/>
      <c r="I124" s="44">
        <f t="shared" si="28"/>
        <v>0</v>
      </c>
      <c r="J124" s="124" t="str">
        <f t="shared" si="38"/>
        <v/>
      </c>
      <c r="K124" s="736"/>
    </row>
    <row r="125" spans="1:11" ht="12.75" customHeight="1" x14ac:dyDescent="0.25">
      <c r="A125" s="575" t="s">
        <v>1318</v>
      </c>
      <c r="B125" s="169"/>
      <c r="C125" s="749"/>
      <c r="D125" s="754"/>
      <c r="E125" s="734"/>
      <c r="F125" s="734"/>
      <c r="G125" s="734"/>
      <c r="H125" s="734"/>
      <c r="I125" s="44">
        <f t="shared" si="28"/>
        <v>0</v>
      </c>
      <c r="J125" s="124" t="str">
        <f t="shared" si="38"/>
        <v/>
      </c>
      <c r="K125" s="736"/>
    </row>
    <row r="126" spans="1:11" ht="12.75" customHeight="1" x14ac:dyDescent="0.25">
      <c r="A126" s="575" t="s">
        <v>1319</v>
      </c>
      <c r="B126" s="169"/>
      <c r="C126" s="749"/>
      <c r="D126" s="754"/>
      <c r="E126" s="734"/>
      <c r="F126" s="734"/>
      <c r="G126" s="734"/>
      <c r="H126" s="734"/>
      <c r="I126" s="44">
        <f t="shared" si="28"/>
        <v>0</v>
      </c>
      <c r="J126" s="124" t="str">
        <f t="shared" si="38"/>
        <v/>
      </c>
      <c r="K126" s="736"/>
    </row>
    <row r="127" spans="1:11" ht="12.75" customHeight="1" x14ac:dyDescent="0.25">
      <c r="A127" s="575" t="s">
        <v>1320</v>
      </c>
      <c r="B127" s="169"/>
      <c r="C127" s="749"/>
      <c r="D127" s="754"/>
      <c r="E127" s="734"/>
      <c r="F127" s="734"/>
      <c r="G127" s="734"/>
      <c r="H127" s="734"/>
      <c r="I127" s="44">
        <f t="shared" si="28"/>
        <v>0</v>
      </c>
      <c r="J127" s="124" t="str">
        <f t="shared" si="38"/>
        <v/>
      </c>
      <c r="K127" s="736"/>
    </row>
    <row r="128" spans="1:11" ht="12.75" customHeight="1" x14ac:dyDescent="0.25">
      <c r="A128" s="575" t="s">
        <v>1321</v>
      </c>
      <c r="B128" s="169"/>
      <c r="C128" s="749"/>
      <c r="D128" s="754"/>
      <c r="E128" s="734"/>
      <c r="F128" s="734"/>
      <c r="G128" s="734"/>
      <c r="H128" s="734"/>
      <c r="I128" s="44">
        <f t="shared" si="28"/>
        <v>0</v>
      </c>
      <c r="J128" s="124" t="str">
        <f t="shared" si="38"/>
        <v/>
      </c>
      <c r="K128" s="736"/>
    </row>
    <row r="129" spans="1:11" ht="12.75" customHeight="1" x14ac:dyDescent="0.25">
      <c r="A129" s="575" t="s">
        <v>1232</v>
      </c>
      <c r="B129" s="169"/>
      <c r="C129" s="749"/>
      <c r="D129" s="754"/>
      <c r="E129" s="734"/>
      <c r="F129" s="734"/>
      <c r="G129" s="734"/>
      <c r="H129" s="734"/>
      <c r="I129" s="44">
        <f t="shared" si="28"/>
        <v>0</v>
      </c>
      <c r="J129" s="124" t="str">
        <f t="shared" si="38"/>
        <v/>
      </c>
      <c r="K129" s="736"/>
    </row>
    <row r="130" spans="1:11" ht="12.75" customHeight="1" x14ac:dyDescent="0.25">
      <c r="A130" s="518" t="s">
        <v>720</v>
      </c>
      <c r="B130" s="169"/>
      <c r="C130" s="649">
        <f t="shared" ref="C130:H130" si="39">SUM(C131:C133)</f>
        <v>0</v>
      </c>
      <c r="D130" s="650">
        <f t="shared" si="39"/>
        <v>0</v>
      </c>
      <c r="E130" s="408">
        <f t="shared" si="39"/>
        <v>0</v>
      </c>
      <c r="F130" s="408">
        <f t="shared" si="39"/>
        <v>0</v>
      </c>
      <c r="G130" s="408">
        <f t="shared" si="39"/>
        <v>0</v>
      </c>
      <c r="H130" s="408">
        <f t="shared" si="39"/>
        <v>0</v>
      </c>
      <c r="I130" s="258">
        <f t="shared" si="28"/>
        <v>0</v>
      </c>
      <c r="J130" s="576" t="str">
        <f t="shared" si="38"/>
        <v/>
      </c>
      <c r="K130" s="643">
        <f>SUM(K131:K133)</f>
        <v>0</v>
      </c>
    </row>
    <row r="131" spans="1:11" ht="12.75" customHeight="1" x14ac:dyDescent="0.25">
      <c r="A131" s="575" t="s">
        <v>1322</v>
      </c>
      <c r="B131" s="169"/>
      <c r="C131" s="749"/>
      <c r="D131" s="754"/>
      <c r="E131" s="734"/>
      <c r="F131" s="734"/>
      <c r="G131" s="734"/>
      <c r="H131" s="734"/>
      <c r="I131" s="44">
        <f t="shared" si="28"/>
        <v>0</v>
      </c>
      <c r="J131" s="124" t="str">
        <f t="shared" si="38"/>
        <v/>
      </c>
      <c r="K131" s="736"/>
    </row>
    <row r="132" spans="1:11" ht="12.75" customHeight="1" x14ac:dyDescent="0.25">
      <c r="A132" s="575" t="s">
        <v>1323</v>
      </c>
      <c r="B132" s="169"/>
      <c r="C132" s="749"/>
      <c r="D132" s="754"/>
      <c r="E132" s="734"/>
      <c r="F132" s="734"/>
      <c r="G132" s="734"/>
      <c r="H132" s="734"/>
      <c r="I132" s="44">
        <f t="shared" si="28"/>
        <v>0</v>
      </c>
      <c r="J132" s="124" t="str">
        <f t="shared" si="38"/>
        <v/>
      </c>
      <c r="K132" s="736"/>
    </row>
    <row r="133" spans="1:11" ht="12.75" customHeight="1" x14ac:dyDescent="0.25">
      <c r="A133" s="575" t="s">
        <v>1232</v>
      </c>
      <c r="B133" s="169"/>
      <c r="C133" s="749"/>
      <c r="D133" s="754"/>
      <c r="E133" s="734"/>
      <c r="F133" s="734"/>
      <c r="G133" s="734"/>
      <c r="H133" s="734"/>
      <c r="I133" s="44">
        <f t="shared" si="28"/>
        <v>0</v>
      </c>
      <c r="J133" s="124" t="str">
        <f t="shared" si="38"/>
        <v/>
      </c>
      <c r="K133" s="736"/>
    </row>
    <row r="134" spans="1:11" ht="5.0999999999999996" customHeight="1" x14ac:dyDescent="0.25">
      <c r="A134" s="39"/>
      <c r="B134" s="169"/>
      <c r="C134" s="134"/>
      <c r="D134" s="258"/>
      <c r="E134" s="44"/>
      <c r="F134" s="44"/>
      <c r="G134" s="44"/>
      <c r="H134" s="44"/>
      <c r="I134" s="44"/>
      <c r="J134" s="124" t="str">
        <f t="shared" si="38"/>
        <v/>
      </c>
      <c r="K134" s="144"/>
    </row>
    <row r="135" spans="1:11" ht="12.75" customHeight="1" x14ac:dyDescent="0.25">
      <c r="A135" s="550" t="s">
        <v>1324</v>
      </c>
      <c r="B135" s="169"/>
      <c r="C135" s="577">
        <f t="shared" ref="C135:H135" si="40">SUM(C136:C136)</f>
        <v>0</v>
      </c>
      <c r="D135" s="578">
        <f t="shared" si="40"/>
        <v>0</v>
      </c>
      <c r="E135" s="579">
        <f t="shared" si="40"/>
        <v>0</v>
      </c>
      <c r="F135" s="579">
        <f t="shared" si="40"/>
        <v>0</v>
      </c>
      <c r="G135" s="579">
        <f t="shared" si="40"/>
        <v>0</v>
      </c>
      <c r="H135" s="579">
        <f t="shared" si="40"/>
        <v>0</v>
      </c>
      <c r="I135" s="579">
        <f>H135-G135</f>
        <v>0</v>
      </c>
      <c r="J135" s="324" t="str">
        <f t="shared" si="38"/>
        <v/>
      </c>
      <c r="K135" s="581">
        <f>SUM(K136)</f>
        <v>0</v>
      </c>
    </row>
    <row r="136" spans="1:11" ht="12.75" customHeight="1" x14ac:dyDescent="0.25">
      <c r="A136" s="518" t="s">
        <v>1324</v>
      </c>
      <c r="B136" s="169"/>
      <c r="C136" s="749"/>
      <c r="D136" s="754"/>
      <c r="E136" s="734"/>
      <c r="F136" s="734"/>
      <c r="G136" s="734"/>
      <c r="H136" s="734"/>
      <c r="I136" s="44">
        <f>H136-G136</f>
        <v>0</v>
      </c>
      <c r="J136" s="124" t="str">
        <f t="shared" si="38"/>
        <v/>
      </c>
      <c r="K136" s="736"/>
    </row>
    <row r="137" spans="1:11" ht="5.0999999999999996" customHeight="1" x14ac:dyDescent="0.25">
      <c r="A137" s="549"/>
      <c r="B137" s="169"/>
      <c r="C137" s="134"/>
      <c r="D137" s="258"/>
      <c r="E137" s="44"/>
      <c r="F137" s="44"/>
      <c r="G137" s="44"/>
      <c r="H137" s="44"/>
      <c r="I137" s="44"/>
      <c r="J137" s="124" t="str">
        <f t="shared" si="38"/>
        <v/>
      </c>
      <c r="K137" s="144"/>
    </row>
    <row r="138" spans="1:11" s="100" customFormat="1" ht="12.75" customHeight="1" x14ac:dyDescent="0.25">
      <c r="A138" s="550" t="s">
        <v>1325</v>
      </c>
      <c r="B138" s="171"/>
      <c r="C138" s="941">
        <f t="shared" ref="C138:H138" si="41">SUM(C139:C140)</f>
        <v>0</v>
      </c>
      <c r="D138" s="942">
        <f t="shared" si="41"/>
        <v>16200000</v>
      </c>
      <c r="E138" s="943">
        <f t="shared" si="41"/>
        <v>16200000</v>
      </c>
      <c r="F138" s="943">
        <f t="shared" si="41"/>
        <v>0</v>
      </c>
      <c r="G138" s="943">
        <f t="shared" si="41"/>
        <v>0</v>
      </c>
      <c r="H138" s="943">
        <f t="shared" si="41"/>
        <v>14850000</v>
      </c>
      <c r="I138" s="943">
        <f t="shared" ref="I138:I146" si="42">H138-G138</f>
        <v>14850000</v>
      </c>
      <c r="J138" s="324">
        <f t="shared" si="38"/>
        <v>1</v>
      </c>
      <c r="K138" s="944">
        <f>SUM(K139:K140)</f>
        <v>16200000</v>
      </c>
    </row>
    <row r="139" spans="1:11" ht="12.75" customHeight="1" x14ac:dyDescent="0.25">
      <c r="A139" s="517" t="s">
        <v>1326</v>
      </c>
      <c r="B139" s="169"/>
      <c r="C139" s="749"/>
      <c r="D139" s="754"/>
      <c r="E139" s="734"/>
      <c r="F139" s="734"/>
      <c r="G139" s="734"/>
      <c r="H139" s="734"/>
      <c r="I139" s="44">
        <f t="shared" si="42"/>
        <v>0</v>
      </c>
      <c r="J139" s="124" t="str">
        <f t="shared" si="38"/>
        <v/>
      </c>
      <c r="K139" s="736"/>
    </row>
    <row r="140" spans="1:11" ht="12.75" customHeight="1" x14ac:dyDescent="0.25">
      <c r="A140" s="517" t="s">
        <v>1327</v>
      </c>
      <c r="B140" s="169"/>
      <c r="C140" s="649">
        <f t="shared" ref="C140:H140" si="43">SUM(C141:C146)</f>
        <v>0</v>
      </c>
      <c r="D140" s="650">
        <f t="shared" si="43"/>
        <v>16200000</v>
      </c>
      <c r="E140" s="408">
        <f t="shared" si="43"/>
        <v>16200000</v>
      </c>
      <c r="F140" s="408">
        <f t="shared" si="43"/>
        <v>0</v>
      </c>
      <c r="G140" s="408">
        <f t="shared" si="43"/>
        <v>0</v>
      </c>
      <c r="H140" s="408">
        <f t="shared" si="43"/>
        <v>14850000</v>
      </c>
      <c r="I140" s="258">
        <f t="shared" si="42"/>
        <v>14850000</v>
      </c>
      <c r="J140" s="576">
        <f t="shared" si="38"/>
        <v>1</v>
      </c>
      <c r="K140" s="643">
        <f>SUM(K141:K146)</f>
        <v>16200000</v>
      </c>
    </row>
    <row r="141" spans="1:11" ht="12.75" customHeight="1" x14ac:dyDescent="0.25">
      <c r="A141" s="575" t="s">
        <v>1328</v>
      </c>
      <c r="B141" s="169"/>
      <c r="C141" s="749"/>
      <c r="D141" s="754"/>
      <c r="E141" s="734"/>
      <c r="F141" s="734"/>
      <c r="G141" s="734"/>
      <c r="H141" s="734"/>
      <c r="I141" s="44">
        <f t="shared" si="42"/>
        <v>0</v>
      </c>
      <c r="J141" s="124" t="str">
        <f t="shared" si="38"/>
        <v/>
      </c>
      <c r="K141" s="736"/>
    </row>
    <row r="142" spans="1:11" ht="12.75" customHeight="1" x14ac:dyDescent="0.25">
      <c r="A142" s="575" t="s">
        <v>1329</v>
      </c>
      <c r="B142" s="169"/>
      <c r="C142" s="749"/>
      <c r="D142" s="754"/>
      <c r="E142" s="734"/>
      <c r="F142" s="734"/>
      <c r="G142" s="734"/>
      <c r="H142" s="734"/>
      <c r="I142" s="44">
        <f t="shared" si="42"/>
        <v>0</v>
      </c>
      <c r="J142" s="124" t="str">
        <f t="shared" si="38"/>
        <v/>
      </c>
      <c r="K142" s="736"/>
    </row>
    <row r="143" spans="1:11" ht="12.75" customHeight="1" x14ac:dyDescent="0.25">
      <c r="A143" s="575" t="s">
        <v>1330</v>
      </c>
      <c r="B143" s="169"/>
      <c r="C143" s="749"/>
      <c r="D143" s="754"/>
      <c r="E143" s="734"/>
      <c r="F143" s="734"/>
      <c r="G143" s="734"/>
      <c r="H143" s="734"/>
      <c r="I143" s="44">
        <f t="shared" si="42"/>
        <v>0</v>
      </c>
      <c r="J143" s="124" t="str">
        <f t="shared" si="38"/>
        <v/>
      </c>
      <c r="K143" s="736"/>
    </row>
    <row r="144" spans="1:11" ht="12.75" customHeight="1" x14ac:dyDescent="0.25">
      <c r="A144" s="575" t="s">
        <v>1331</v>
      </c>
      <c r="B144" s="169"/>
      <c r="C144" s="749"/>
      <c r="D144" s="754">
        <v>16200000</v>
      </c>
      <c r="E144" s="734">
        <v>16200000</v>
      </c>
      <c r="F144" s="734"/>
      <c r="G144" s="734"/>
      <c r="H144" s="734">
        <f t="shared" ref="H144" si="44">E144/12*11</f>
        <v>14850000</v>
      </c>
      <c r="I144" s="44">
        <f t="shared" si="42"/>
        <v>14850000</v>
      </c>
      <c r="J144" s="124">
        <f t="shared" si="38"/>
        <v>1</v>
      </c>
      <c r="K144" s="736">
        <f>E144</f>
        <v>16200000</v>
      </c>
    </row>
    <row r="145" spans="1:12" ht="12.75" customHeight="1" x14ac:dyDescent="0.25">
      <c r="A145" s="575" t="s">
        <v>1332</v>
      </c>
      <c r="B145" s="169"/>
      <c r="C145" s="749"/>
      <c r="D145" s="754"/>
      <c r="E145" s="734"/>
      <c r="F145" s="734"/>
      <c r="G145" s="734"/>
      <c r="H145" s="734"/>
      <c r="I145" s="44">
        <f t="shared" si="42"/>
        <v>0</v>
      </c>
      <c r="J145" s="124" t="str">
        <f t="shared" si="38"/>
        <v/>
      </c>
      <c r="K145" s="736"/>
    </row>
    <row r="146" spans="1:12" ht="12.75" customHeight="1" x14ac:dyDescent="0.25">
      <c r="A146" s="575" t="s">
        <v>1333</v>
      </c>
      <c r="B146" s="169"/>
      <c r="C146" s="749"/>
      <c r="D146" s="754"/>
      <c r="E146" s="734"/>
      <c r="F146" s="734"/>
      <c r="G146" s="734"/>
      <c r="H146" s="734"/>
      <c r="I146" s="44">
        <f t="shared" si="42"/>
        <v>0</v>
      </c>
      <c r="J146" s="124" t="str">
        <f t="shared" si="3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45">SUM(C149:C149)</f>
        <v>0</v>
      </c>
      <c r="D148" s="578">
        <f t="shared" si="45"/>
        <v>10682500</v>
      </c>
      <c r="E148" s="579">
        <f t="shared" si="45"/>
        <v>10682500</v>
      </c>
      <c r="F148" s="579">
        <f t="shared" si="45"/>
        <v>0</v>
      </c>
      <c r="G148" s="579">
        <f t="shared" si="45"/>
        <v>0</v>
      </c>
      <c r="H148" s="579">
        <f t="shared" si="45"/>
        <v>9792291.6666666679</v>
      </c>
      <c r="I148" s="579">
        <f>H148-G148</f>
        <v>9792291.6666666679</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 t="shared" ref="H149" si="46">E149/12*11</f>
        <v>9792291.6666666679</v>
      </c>
      <c r="I149" s="44">
        <f>H149-G149</f>
        <v>9792291.6666666679</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47">SUM(C152:C152)</f>
        <v>0</v>
      </c>
      <c r="D151" s="578">
        <f t="shared" si="47"/>
        <v>9187000</v>
      </c>
      <c r="E151" s="579">
        <f t="shared" si="47"/>
        <v>9187000</v>
      </c>
      <c r="F151" s="579">
        <f t="shared" si="47"/>
        <v>-1</v>
      </c>
      <c r="G151" s="579">
        <f t="shared" si="47"/>
        <v>1207499.72</v>
      </c>
      <c r="H151" s="579">
        <f t="shared" si="47"/>
        <v>8421416.6666666679</v>
      </c>
      <c r="I151" s="579">
        <f>H151-G151</f>
        <v>7213916.9466666682</v>
      </c>
      <c r="J151" s="324">
        <f>IF(I151=0,"",I151/H151)</f>
        <v>0.85661560663783809</v>
      </c>
      <c r="K151" s="581">
        <f>SUM(K152)</f>
        <v>9187000</v>
      </c>
    </row>
    <row r="152" spans="1:12" ht="12.75" customHeight="1" x14ac:dyDescent="0.25">
      <c r="A152" s="518" t="s">
        <v>1335</v>
      </c>
      <c r="B152" s="169"/>
      <c r="C152" s="749"/>
      <c r="D152" s="754">
        <v>9187000</v>
      </c>
      <c r="E152" s="734">
        <v>9187000</v>
      </c>
      <c r="F152" s="734">
        <v>-1</v>
      </c>
      <c r="G152" s="734">
        <v>1207499.72</v>
      </c>
      <c r="H152" s="734">
        <f t="shared" ref="H152" si="48">E152/12*11</f>
        <v>8421416.6666666679</v>
      </c>
      <c r="I152" s="44">
        <f>H152-G152</f>
        <v>7213916.9466666682</v>
      </c>
      <c r="J152" s="124">
        <f>IF(I152=0,"",I152/H152)</f>
        <v>0.85661560663783809</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49">SUM(C155:C155)</f>
        <v>0</v>
      </c>
      <c r="D154" s="578">
        <f t="shared" si="49"/>
        <v>12080000</v>
      </c>
      <c r="E154" s="579">
        <f t="shared" si="49"/>
        <v>12160000</v>
      </c>
      <c r="F154" s="579">
        <f t="shared" si="49"/>
        <v>1322987.6299999999</v>
      </c>
      <c r="G154" s="579">
        <f t="shared" si="49"/>
        <v>2397052.5100000002</v>
      </c>
      <c r="H154" s="579">
        <f t="shared" si="49"/>
        <v>11146666.666666668</v>
      </c>
      <c r="I154" s="579">
        <f>H154-G154</f>
        <v>8749614.1566666681</v>
      </c>
      <c r="J154" s="324">
        <f>IF(I154=0,"",I154/H154)</f>
        <v>0.78495342314593308</v>
      </c>
      <c r="K154" s="581">
        <f>SUM(K155)</f>
        <v>12160000</v>
      </c>
    </row>
    <row r="155" spans="1:12" ht="12.75" customHeight="1" x14ac:dyDescent="0.25">
      <c r="A155" s="518" t="s">
        <v>1336</v>
      </c>
      <c r="B155" s="169"/>
      <c r="C155" s="749"/>
      <c r="D155" s="754">
        <v>12080000</v>
      </c>
      <c r="E155" s="734">
        <v>12160000</v>
      </c>
      <c r="F155" s="734">
        <v>1322987.6299999999</v>
      </c>
      <c r="G155" s="734">
        <v>2397052.5100000002</v>
      </c>
      <c r="H155" s="734">
        <f t="shared" ref="H155" si="50">E155/12*11</f>
        <v>11146666.666666668</v>
      </c>
      <c r="I155" s="44">
        <f>H155-G155</f>
        <v>8749614.1566666681</v>
      </c>
      <c r="J155" s="124">
        <f>IF(I155=0,"",I155/H155)</f>
        <v>0.78495342314593308</v>
      </c>
      <c r="K155" s="736">
        <f>E155</f>
        <v>12160000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51">SUM(C158:C158)</f>
        <v>0</v>
      </c>
      <c r="D157" s="578">
        <f t="shared" si="51"/>
        <v>0</v>
      </c>
      <c r="E157" s="579">
        <f t="shared" si="51"/>
        <v>0</v>
      </c>
      <c r="F157" s="579">
        <f t="shared" si="51"/>
        <v>-6453238.2800000003</v>
      </c>
      <c r="G157" s="579">
        <f t="shared" si="51"/>
        <v>-11268685.4</v>
      </c>
      <c r="H157" s="579">
        <f t="shared" si="51"/>
        <v>0</v>
      </c>
      <c r="I157" s="579">
        <f>H157-G157</f>
        <v>11268685.4</v>
      </c>
      <c r="J157" s="324" t="e">
        <f>IF(I157=0,"",I157/H157)</f>
        <v>#DIV/0!</v>
      </c>
      <c r="K157" s="581">
        <f>SUM(K158)</f>
        <v>0</v>
      </c>
    </row>
    <row r="158" spans="1:12" ht="12.75" customHeight="1" x14ac:dyDescent="0.25">
      <c r="A158" s="518" t="s">
        <v>1337</v>
      </c>
      <c r="B158" s="169"/>
      <c r="C158" s="749"/>
      <c r="D158" s="754"/>
      <c r="E158" s="734"/>
      <c r="F158" s="734">
        <v>-6453238.2800000003</v>
      </c>
      <c r="G158" s="734">
        <v>-11268685.4</v>
      </c>
      <c r="H158" s="734"/>
      <c r="I158" s="44">
        <f>H158-G158</f>
        <v>11268685.4</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52">SUM(C161:C161)</f>
        <v>0</v>
      </c>
      <c r="D160" s="578">
        <f t="shared" si="52"/>
        <v>17000000</v>
      </c>
      <c r="E160" s="579">
        <f t="shared" si="52"/>
        <v>17000000</v>
      </c>
      <c r="F160" s="579">
        <f t="shared" si="52"/>
        <v>0</v>
      </c>
      <c r="G160" s="579">
        <f t="shared" si="52"/>
        <v>0</v>
      </c>
      <c r="H160" s="579">
        <f t="shared" si="52"/>
        <v>15583333.333333334</v>
      </c>
      <c r="I160" s="579">
        <f>H160-G160</f>
        <v>15583333.333333334</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 t="shared" ref="H161" si="53">E161/12*11</f>
        <v>15583333.333333334</v>
      </c>
      <c r="I161" s="44">
        <f>H161-G161</f>
        <v>15583333.333333334</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54">SUM(C164:C164)</f>
        <v>0</v>
      </c>
      <c r="D163" s="578">
        <f t="shared" si="54"/>
        <v>0</v>
      </c>
      <c r="E163" s="579">
        <f t="shared" si="54"/>
        <v>0</v>
      </c>
      <c r="F163" s="579">
        <f t="shared" si="54"/>
        <v>0</v>
      </c>
      <c r="G163" s="579">
        <f t="shared" si="54"/>
        <v>0</v>
      </c>
      <c r="H163" s="579">
        <f t="shared" si="54"/>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55">C7+C75+C103+C110+C117+C135+C138+C148+C151+C154+C157+C160+C163</f>
        <v>0</v>
      </c>
      <c r="D166" s="271">
        <f t="shared" si="55"/>
        <v>154935257</v>
      </c>
      <c r="E166" s="55">
        <f t="shared" si="55"/>
        <v>346301092.31000006</v>
      </c>
      <c r="F166" s="55">
        <f t="shared" si="55"/>
        <v>23811449.869999997</v>
      </c>
      <c r="G166" s="55">
        <f t="shared" si="55"/>
        <v>283178933.58000004</v>
      </c>
      <c r="H166" s="55">
        <f t="shared" si="55"/>
        <v>317442667.95083344</v>
      </c>
      <c r="I166" s="55">
        <f>H166-G166</f>
        <v>34263734.370833397</v>
      </c>
      <c r="J166" s="290">
        <f>IF(I166=0,"",I166/H166)</f>
        <v>0.10793676411559229</v>
      </c>
      <c r="K166" s="235">
        <f>K7+K75+K103+K110+K117+K135+K138+K148+K151+K154+K157+K160+K163</f>
        <v>346301092.31000006</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37" activePane="bottomRight" state="frozen"/>
      <selection pane="topRight"/>
      <selection pane="bottomLeft"/>
      <selection pane="bottomRight" activeCell="G155" sqref="G15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2" t="str">
        <f>muni&amp; " - "&amp;S71Sb&amp; " - "&amp;Head57</f>
        <v>KZN225 Msunduzi - Supporting Table SC13b Consolidated Monthly Budget Statement - capital expenditure on renewal of existing assets by asset class - M10 April</v>
      </c>
      <c r="B1" s="1042"/>
      <c r="C1" s="1042"/>
      <c r="D1" s="1042"/>
      <c r="E1" s="1042"/>
      <c r="F1" s="1042"/>
      <c r="G1" s="1042"/>
      <c r="H1" s="1042"/>
      <c r="I1" s="1042"/>
      <c r="J1" s="1042"/>
      <c r="K1" s="1042"/>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8800000</v>
      </c>
      <c r="I7" s="101">
        <f t="shared" ref="I7:I133" si="1">H7-G7</f>
        <v>8800000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6966666.666666667</v>
      </c>
      <c r="I8" s="258">
        <f t="shared" si="1"/>
        <v>6966666.666666667</v>
      </c>
      <c r="J8" s="576">
        <f t="shared" si="2"/>
        <v>1</v>
      </c>
      <c r="K8" s="611">
        <f>SUM(K9:K12)</f>
        <v>7600000</v>
      </c>
    </row>
    <row r="9" spans="1:11" ht="12.75" customHeight="1" x14ac:dyDescent="0.25">
      <c r="A9" s="575" t="s">
        <v>174</v>
      </c>
      <c r="B9" s="169"/>
      <c r="C9" s="749"/>
      <c r="D9" s="746">
        <v>7600000</v>
      </c>
      <c r="E9" s="734">
        <v>7600000</v>
      </c>
      <c r="F9" s="734"/>
      <c r="G9" s="734"/>
      <c r="H9" s="734">
        <f t="shared" ref="H9" si="4">E9/12*11</f>
        <v>6966666.666666667</v>
      </c>
      <c r="I9" s="258">
        <f t="shared" si="1"/>
        <v>6966666.666666667</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0</v>
      </c>
      <c r="E17" s="408">
        <f t="shared" si="6"/>
        <v>0</v>
      </c>
      <c r="F17" s="408">
        <f t="shared" si="6"/>
        <v>0</v>
      </c>
      <c r="G17" s="408">
        <f t="shared" si="6"/>
        <v>0</v>
      </c>
      <c r="H17" s="408">
        <f t="shared" si="6"/>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7">SUM(C28:C37)</f>
        <v>0</v>
      </c>
      <c r="D27" s="650">
        <f t="shared" si="7"/>
        <v>0</v>
      </c>
      <c r="E27" s="408">
        <f t="shared" si="7"/>
        <v>0</v>
      </c>
      <c r="F27" s="408">
        <f t="shared" si="7"/>
        <v>0</v>
      </c>
      <c r="G27" s="408">
        <f t="shared" si="7"/>
        <v>0</v>
      </c>
      <c r="H27" s="408">
        <f t="shared" si="7"/>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8">SUM(C39:C44)</f>
        <v>0</v>
      </c>
      <c r="D38" s="650">
        <f t="shared" si="8"/>
        <v>0</v>
      </c>
      <c r="E38" s="408">
        <f t="shared" si="8"/>
        <v>0</v>
      </c>
      <c r="F38" s="408">
        <f t="shared" si="8"/>
        <v>0</v>
      </c>
      <c r="G38" s="408">
        <f t="shared" si="8"/>
        <v>0</v>
      </c>
      <c r="H38" s="408">
        <f t="shared" si="8"/>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9">SUM(C46:C52)</f>
        <v>0</v>
      </c>
      <c r="D45" s="650">
        <f t="shared" si="9"/>
        <v>2000000</v>
      </c>
      <c r="E45" s="408">
        <f t="shared" si="9"/>
        <v>2000000</v>
      </c>
      <c r="F45" s="408">
        <f t="shared" si="9"/>
        <v>0</v>
      </c>
      <c r="G45" s="408">
        <f t="shared" si="9"/>
        <v>0</v>
      </c>
      <c r="H45" s="408">
        <f t="shared" si="9"/>
        <v>1833333.3333333333</v>
      </c>
      <c r="I45" s="258">
        <f t="shared" si="1"/>
        <v>1833333.3333333333</v>
      </c>
      <c r="J45" s="576">
        <f t="shared" si="2"/>
        <v>1</v>
      </c>
      <c r="K45" s="643">
        <f>SUM(K46:K52)</f>
        <v>2000000</v>
      </c>
    </row>
    <row r="46" spans="1:11" ht="12.75" customHeight="1" x14ac:dyDescent="0.25">
      <c r="A46" s="575" t="s">
        <v>1262</v>
      </c>
      <c r="B46" s="169"/>
      <c r="C46" s="749"/>
      <c r="D46" s="746">
        <v>2000000</v>
      </c>
      <c r="E46" s="734">
        <v>2000000</v>
      </c>
      <c r="F46" s="734"/>
      <c r="G46" s="734"/>
      <c r="H46" s="734">
        <f t="shared" ref="H46" si="10">E46/12*11</f>
        <v>1833333.3333333333</v>
      </c>
      <c r="I46" s="258">
        <f t="shared" si="1"/>
        <v>1833333.3333333333</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1">SUM(C54:C62)</f>
        <v>0</v>
      </c>
      <c r="D53" s="650">
        <f t="shared" si="11"/>
        <v>0</v>
      </c>
      <c r="E53" s="408">
        <f t="shared" si="11"/>
        <v>0</v>
      </c>
      <c r="F53" s="408">
        <f t="shared" si="11"/>
        <v>0</v>
      </c>
      <c r="G53" s="408">
        <f t="shared" si="11"/>
        <v>0</v>
      </c>
      <c r="H53" s="408">
        <f t="shared" si="11"/>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2">SUM(C64:C68)</f>
        <v>0</v>
      </c>
      <c r="D63" s="650">
        <f t="shared" si="12"/>
        <v>0</v>
      </c>
      <c r="E63" s="408">
        <f t="shared" si="12"/>
        <v>0</v>
      </c>
      <c r="F63" s="408">
        <f t="shared" si="12"/>
        <v>0</v>
      </c>
      <c r="G63" s="408">
        <f t="shared" si="12"/>
        <v>0</v>
      </c>
      <c r="H63" s="408">
        <f t="shared" si="12"/>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3">SUM(C70:C73)</f>
        <v>0</v>
      </c>
      <c r="D69" s="650">
        <f t="shared" si="13"/>
        <v>0</v>
      </c>
      <c r="E69" s="408">
        <f t="shared" si="13"/>
        <v>0</v>
      </c>
      <c r="F69" s="408">
        <f t="shared" si="13"/>
        <v>0</v>
      </c>
      <c r="G69" s="408">
        <f t="shared" si="13"/>
        <v>0</v>
      </c>
      <c r="H69" s="408">
        <f t="shared" si="13"/>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4">+C76+C99</f>
        <v>0</v>
      </c>
      <c r="D75" s="578">
        <f t="shared" si="14"/>
        <v>0</v>
      </c>
      <c r="E75" s="579">
        <f t="shared" si="14"/>
        <v>0</v>
      </c>
      <c r="F75" s="579">
        <f t="shared" si="14"/>
        <v>0</v>
      </c>
      <c r="G75" s="579">
        <f t="shared" si="14"/>
        <v>0</v>
      </c>
      <c r="H75" s="579">
        <f t="shared" si="14"/>
        <v>0</v>
      </c>
      <c r="I75" s="579">
        <f t="shared" si="1"/>
        <v>0</v>
      </c>
      <c r="J75" s="580" t="str">
        <f t="shared" si="2"/>
        <v/>
      </c>
      <c r="K75" s="581">
        <f>+K76+K99</f>
        <v>0</v>
      </c>
    </row>
    <row r="76" spans="1:11" ht="12.75" customHeight="1" x14ac:dyDescent="0.25">
      <c r="A76" s="518" t="s">
        <v>1281</v>
      </c>
      <c r="B76" s="169"/>
      <c r="C76" s="649">
        <f t="shared" ref="C76:H76" si="15">SUM(C77:C98)</f>
        <v>0</v>
      </c>
      <c r="D76" s="650">
        <f t="shared" si="15"/>
        <v>0</v>
      </c>
      <c r="E76" s="408">
        <f t="shared" si="15"/>
        <v>0</v>
      </c>
      <c r="F76" s="408">
        <f t="shared" si="15"/>
        <v>0</v>
      </c>
      <c r="G76" s="408">
        <f t="shared" si="15"/>
        <v>0</v>
      </c>
      <c r="H76" s="408">
        <f t="shared" si="15"/>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6">SUM(C100:C102)</f>
        <v>0</v>
      </c>
      <c r="D99" s="650">
        <f t="shared" si="16"/>
        <v>0</v>
      </c>
      <c r="E99" s="408">
        <f t="shared" si="16"/>
        <v>0</v>
      </c>
      <c r="F99" s="408">
        <f t="shared" si="16"/>
        <v>0</v>
      </c>
      <c r="G99" s="408">
        <f t="shared" si="16"/>
        <v>0</v>
      </c>
      <c r="H99" s="408">
        <f t="shared" si="16"/>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7">SUM(C104:C108)</f>
        <v>0</v>
      </c>
      <c r="D103" s="264">
        <f t="shared" si="17"/>
        <v>0</v>
      </c>
      <c r="E103" s="99">
        <f t="shared" si="17"/>
        <v>0</v>
      </c>
      <c r="F103" s="99">
        <f t="shared" si="17"/>
        <v>0</v>
      </c>
      <c r="G103" s="99">
        <f t="shared" si="17"/>
        <v>0</v>
      </c>
      <c r="H103" s="99">
        <f t="shared" si="17"/>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8">+C111+C114</f>
        <v>0</v>
      </c>
      <c r="D110" s="578">
        <f t="shared" si="18"/>
        <v>0</v>
      </c>
      <c r="E110" s="579">
        <f t="shared" si="18"/>
        <v>0</v>
      </c>
      <c r="F110" s="579">
        <f t="shared" si="18"/>
        <v>0</v>
      </c>
      <c r="G110" s="579">
        <f t="shared" si="18"/>
        <v>0</v>
      </c>
      <c r="H110" s="579">
        <f t="shared" si="18"/>
        <v>0</v>
      </c>
      <c r="I110" s="99">
        <f t="shared" si="1"/>
        <v>0</v>
      </c>
      <c r="J110" s="324" t="str">
        <f t="shared" si="2"/>
        <v/>
      </c>
      <c r="K110" s="581">
        <f>+K111+K114</f>
        <v>0</v>
      </c>
    </row>
    <row r="111" spans="1:11" ht="12.75" customHeight="1" x14ac:dyDescent="0.25">
      <c r="A111" s="518" t="s">
        <v>1307</v>
      </c>
      <c r="B111" s="169"/>
      <c r="C111" s="649">
        <f t="shared" ref="C111:H111" si="19">SUM(C112:C113)</f>
        <v>0</v>
      </c>
      <c r="D111" s="650">
        <f t="shared" si="19"/>
        <v>0</v>
      </c>
      <c r="E111" s="408">
        <f t="shared" si="19"/>
        <v>0</v>
      </c>
      <c r="F111" s="408">
        <f t="shared" si="19"/>
        <v>0</v>
      </c>
      <c r="G111" s="408">
        <f t="shared" si="19"/>
        <v>0</v>
      </c>
      <c r="H111" s="408">
        <f t="shared" si="19"/>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0">SUM(C115:C116)</f>
        <v>0</v>
      </c>
      <c r="D114" s="650">
        <f t="shared" si="20"/>
        <v>0</v>
      </c>
      <c r="E114" s="408">
        <f t="shared" si="20"/>
        <v>0</v>
      </c>
      <c r="F114" s="408">
        <f t="shared" si="20"/>
        <v>0</v>
      </c>
      <c r="G114" s="408">
        <f t="shared" si="20"/>
        <v>0</v>
      </c>
      <c r="H114" s="408">
        <f t="shared" si="20"/>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21">+C118+C130</f>
        <v>0</v>
      </c>
      <c r="D117" s="578">
        <f t="shared" si="21"/>
        <v>0</v>
      </c>
      <c r="E117" s="579">
        <f t="shared" si="21"/>
        <v>0</v>
      </c>
      <c r="F117" s="579">
        <f t="shared" si="21"/>
        <v>0</v>
      </c>
      <c r="G117" s="579">
        <f t="shared" si="21"/>
        <v>0</v>
      </c>
      <c r="H117" s="579">
        <f t="shared" si="21"/>
        <v>0</v>
      </c>
      <c r="I117" s="579">
        <f t="shared" si="1"/>
        <v>0</v>
      </c>
      <c r="J117" s="580" t="str">
        <f t="shared" si="2"/>
        <v/>
      </c>
      <c r="K117" s="581">
        <f>+K118+K130</f>
        <v>0</v>
      </c>
    </row>
    <row r="118" spans="1:11" ht="12.75" customHeight="1" x14ac:dyDescent="0.25">
      <c r="A118" s="518" t="s">
        <v>1311</v>
      </c>
      <c r="B118" s="169"/>
      <c r="C118" s="649">
        <f t="shared" ref="C118:H118" si="22">SUM(C119:C129)</f>
        <v>0</v>
      </c>
      <c r="D118" s="650">
        <f t="shared" si="22"/>
        <v>0</v>
      </c>
      <c r="E118" s="408">
        <f t="shared" si="22"/>
        <v>0</v>
      </c>
      <c r="F118" s="408">
        <f t="shared" si="22"/>
        <v>0</v>
      </c>
      <c r="G118" s="408">
        <f t="shared" si="22"/>
        <v>0</v>
      </c>
      <c r="H118" s="408">
        <f t="shared" si="22"/>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3">SUM(C131:C133)</f>
        <v>0</v>
      </c>
      <c r="D130" s="650">
        <f t="shared" si="23"/>
        <v>0</v>
      </c>
      <c r="E130" s="408">
        <f t="shared" si="23"/>
        <v>0</v>
      </c>
      <c r="F130" s="408">
        <f t="shared" si="23"/>
        <v>0</v>
      </c>
      <c r="G130" s="408">
        <f t="shared" si="23"/>
        <v>0</v>
      </c>
      <c r="H130" s="408">
        <f t="shared" si="23"/>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4">SUM(C136:C136)</f>
        <v>0</v>
      </c>
      <c r="D135" s="578">
        <f t="shared" si="24"/>
        <v>0</v>
      </c>
      <c r="E135" s="579">
        <f t="shared" si="24"/>
        <v>0</v>
      </c>
      <c r="F135" s="579">
        <f t="shared" si="24"/>
        <v>0</v>
      </c>
      <c r="G135" s="579">
        <f t="shared" si="24"/>
        <v>0</v>
      </c>
      <c r="H135" s="579">
        <f t="shared" si="24"/>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5">IF(I137=0,"",I137/H137)</f>
        <v/>
      </c>
      <c r="K137" s="144"/>
    </row>
    <row r="138" spans="1:11" s="100" customFormat="1" ht="12.75" customHeight="1" x14ac:dyDescent="0.25">
      <c r="A138" s="550" t="s">
        <v>1325</v>
      </c>
      <c r="B138" s="171"/>
      <c r="C138" s="941">
        <f t="shared" ref="C138:H138" si="26">SUM(C139:C140)</f>
        <v>0</v>
      </c>
      <c r="D138" s="942">
        <f t="shared" si="26"/>
        <v>0</v>
      </c>
      <c r="E138" s="943">
        <f t="shared" si="26"/>
        <v>0</v>
      </c>
      <c r="F138" s="943">
        <f t="shared" si="26"/>
        <v>0</v>
      </c>
      <c r="G138" s="943">
        <f t="shared" si="26"/>
        <v>0</v>
      </c>
      <c r="H138" s="943">
        <f t="shared" si="26"/>
        <v>0</v>
      </c>
      <c r="I138" s="943">
        <f t="shared" ref="I138:I146" si="27">H138-G138</f>
        <v>0</v>
      </c>
      <c r="J138" s="324" t="str">
        <f t="shared" si="25"/>
        <v/>
      </c>
      <c r="K138" s="944">
        <f>SUM(K139:K140)</f>
        <v>0</v>
      </c>
    </row>
    <row r="139" spans="1:11" ht="12.75" customHeight="1" x14ac:dyDescent="0.25">
      <c r="A139" s="517" t="s">
        <v>1326</v>
      </c>
      <c r="B139" s="169"/>
      <c r="C139" s="749"/>
      <c r="D139" s="754"/>
      <c r="E139" s="734"/>
      <c r="F139" s="734"/>
      <c r="G139" s="734"/>
      <c r="H139" s="734"/>
      <c r="I139" s="44">
        <f t="shared" si="27"/>
        <v>0</v>
      </c>
      <c r="J139" s="124" t="str">
        <f t="shared" si="25"/>
        <v/>
      </c>
      <c r="K139" s="736"/>
    </row>
    <row r="140" spans="1:11" ht="12.75" customHeight="1" x14ac:dyDescent="0.25">
      <c r="A140" s="517" t="s">
        <v>1327</v>
      </c>
      <c r="B140" s="169"/>
      <c r="C140" s="649">
        <f t="shared" ref="C140:H140" si="28">SUM(C141:C146)</f>
        <v>0</v>
      </c>
      <c r="D140" s="650">
        <f t="shared" si="28"/>
        <v>0</v>
      </c>
      <c r="E140" s="408">
        <f t="shared" si="28"/>
        <v>0</v>
      </c>
      <c r="F140" s="408">
        <f t="shared" si="28"/>
        <v>0</v>
      </c>
      <c r="G140" s="408">
        <f t="shared" si="28"/>
        <v>0</v>
      </c>
      <c r="H140" s="408">
        <f t="shared" si="28"/>
        <v>0</v>
      </c>
      <c r="I140" s="258">
        <f t="shared" si="27"/>
        <v>0</v>
      </c>
      <c r="J140" s="576" t="str">
        <f t="shared" si="25"/>
        <v/>
      </c>
      <c r="K140" s="643">
        <f>SUM(K141:K146)</f>
        <v>0</v>
      </c>
    </row>
    <row r="141" spans="1:11" ht="12.75" customHeight="1" x14ac:dyDescent="0.25">
      <c r="A141" s="575" t="s">
        <v>1328</v>
      </c>
      <c r="B141" s="169"/>
      <c r="C141" s="749"/>
      <c r="D141" s="754"/>
      <c r="E141" s="734"/>
      <c r="F141" s="734"/>
      <c r="G141" s="734"/>
      <c r="H141" s="734"/>
      <c r="I141" s="44">
        <f t="shared" si="27"/>
        <v>0</v>
      </c>
      <c r="J141" s="124" t="str">
        <f t="shared" si="25"/>
        <v/>
      </c>
      <c r="K141" s="736"/>
    </row>
    <row r="142" spans="1:11" ht="12.75" customHeight="1" x14ac:dyDescent="0.25">
      <c r="A142" s="575" t="s">
        <v>1329</v>
      </c>
      <c r="B142" s="169"/>
      <c r="C142" s="749"/>
      <c r="D142" s="754"/>
      <c r="E142" s="734"/>
      <c r="F142" s="734"/>
      <c r="G142" s="734"/>
      <c r="H142" s="734"/>
      <c r="I142" s="44">
        <f t="shared" si="27"/>
        <v>0</v>
      </c>
      <c r="J142" s="124" t="str">
        <f t="shared" si="25"/>
        <v/>
      </c>
      <c r="K142" s="736"/>
    </row>
    <row r="143" spans="1:11" ht="12.75" customHeight="1" x14ac:dyDescent="0.25">
      <c r="A143" s="575" t="s">
        <v>1330</v>
      </c>
      <c r="B143" s="169"/>
      <c r="C143" s="749"/>
      <c r="D143" s="754"/>
      <c r="E143" s="734"/>
      <c r="F143" s="734"/>
      <c r="G143" s="734"/>
      <c r="H143" s="734"/>
      <c r="I143" s="44">
        <f t="shared" si="27"/>
        <v>0</v>
      </c>
      <c r="J143" s="124" t="str">
        <f t="shared" si="25"/>
        <v/>
      </c>
      <c r="K143" s="736"/>
    </row>
    <row r="144" spans="1:11" ht="12.75" customHeight="1" x14ac:dyDescent="0.25">
      <c r="A144" s="575" t="s">
        <v>1331</v>
      </c>
      <c r="B144" s="169"/>
      <c r="C144" s="749"/>
      <c r="D144" s="754"/>
      <c r="E144" s="734"/>
      <c r="F144" s="734"/>
      <c r="G144" s="734"/>
      <c r="H144" s="734"/>
      <c r="I144" s="44">
        <f t="shared" si="27"/>
        <v>0</v>
      </c>
      <c r="J144" s="124" t="str">
        <f t="shared" si="25"/>
        <v/>
      </c>
      <c r="K144" s="736"/>
    </row>
    <row r="145" spans="1:12" ht="12.75" customHeight="1" x14ac:dyDescent="0.25">
      <c r="A145" s="575" t="s">
        <v>1332</v>
      </c>
      <c r="B145" s="169"/>
      <c r="C145" s="749"/>
      <c r="D145" s="754"/>
      <c r="E145" s="734"/>
      <c r="F145" s="734"/>
      <c r="G145" s="734"/>
      <c r="H145" s="734"/>
      <c r="I145" s="44">
        <f t="shared" si="27"/>
        <v>0</v>
      </c>
      <c r="J145" s="124" t="str">
        <f t="shared" si="25"/>
        <v/>
      </c>
      <c r="K145" s="736"/>
    </row>
    <row r="146" spans="1:12" ht="12.75" customHeight="1" x14ac:dyDescent="0.25">
      <c r="A146" s="575" t="s">
        <v>1333</v>
      </c>
      <c r="B146" s="169"/>
      <c r="C146" s="749"/>
      <c r="D146" s="754"/>
      <c r="E146" s="734"/>
      <c r="F146" s="734"/>
      <c r="G146" s="734"/>
      <c r="H146" s="734"/>
      <c r="I146" s="44">
        <f t="shared" si="27"/>
        <v>0</v>
      </c>
      <c r="J146" s="124" t="str">
        <f t="shared" si="25"/>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9">SUM(C149:C149)</f>
        <v>0</v>
      </c>
      <c r="D148" s="578">
        <f t="shared" si="29"/>
        <v>0</v>
      </c>
      <c r="E148" s="579">
        <f t="shared" si="29"/>
        <v>0</v>
      </c>
      <c r="F148" s="579">
        <f t="shared" si="29"/>
        <v>0</v>
      </c>
      <c r="G148" s="579">
        <f t="shared" si="29"/>
        <v>0</v>
      </c>
      <c r="H148" s="579">
        <f t="shared" si="29"/>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0">SUM(C152:C152)</f>
        <v>0</v>
      </c>
      <c r="D151" s="578">
        <f t="shared" si="30"/>
        <v>500000</v>
      </c>
      <c r="E151" s="579">
        <f t="shared" si="30"/>
        <v>500000</v>
      </c>
      <c r="F151" s="579">
        <f t="shared" si="30"/>
        <v>0</v>
      </c>
      <c r="G151" s="579">
        <f t="shared" si="30"/>
        <v>101438.72</v>
      </c>
      <c r="H151" s="579">
        <f t="shared" si="30"/>
        <v>458333.33333333331</v>
      </c>
      <c r="I151" s="579">
        <f>H151-G151</f>
        <v>356894.61333333328</v>
      </c>
      <c r="J151" s="324">
        <f>IF(I151=0,"",I151/H151)</f>
        <v>0.77867915636363627</v>
      </c>
      <c r="K151" s="581">
        <f>SUM(K152)</f>
        <v>500000</v>
      </c>
    </row>
    <row r="152" spans="1:12" ht="12.75" customHeight="1" x14ac:dyDescent="0.25">
      <c r="A152" s="518" t="s">
        <v>1335</v>
      </c>
      <c r="B152" s="169"/>
      <c r="C152" s="749"/>
      <c r="D152" s="754">
        <v>500000</v>
      </c>
      <c r="E152" s="734">
        <v>500000</v>
      </c>
      <c r="F152" s="734"/>
      <c r="G152" s="734">
        <v>101438.72</v>
      </c>
      <c r="H152" s="734">
        <f t="shared" ref="H152" si="31">E152/12*11</f>
        <v>458333.33333333331</v>
      </c>
      <c r="I152" s="44">
        <f>H152-G152</f>
        <v>356894.61333333328</v>
      </c>
      <c r="J152" s="124">
        <f>IF(I152=0,"",I152/H152)</f>
        <v>0.77867915636363627</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2">SUM(C155:C155)</f>
        <v>0</v>
      </c>
      <c r="D154" s="578">
        <f t="shared" si="32"/>
        <v>9431500</v>
      </c>
      <c r="E154" s="579">
        <f t="shared" si="32"/>
        <v>9431500</v>
      </c>
      <c r="F154" s="579">
        <f t="shared" si="32"/>
        <v>0</v>
      </c>
      <c r="G154" s="579">
        <f t="shared" si="32"/>
        <v>0</v>
      </c>
      <c r="H154" s="579">
        <f t="shared" si="32"/>
        <v>8645541.6666666679</v>
      </c>
      <c r="I154" s="579">
        <f>H154-G154</f>
        <v>8645541.6666666679</v>
      </c>
      <c r="J154" s="324">
        <f>IF(I154=0,"",I154/H154)</f>
        <v>1</v>
      </c>
      <c r="K154" s="581">
        <f>SUM(K155)</f>
        <v>9431500</v>
      </c>
    </row>
    <row r="155" spans="1:12" ht="12.75" customHeight="1" x14ac:dyDescent="0.25">
      <c r="A155" s="518" t="s">
        <v>1336</v>
      </c>
      <c r="B155" s="169"/>
      <c r="C155" s="749"/>
      <c r="D155" s="754">
        <v>9431500</v>
      </c>
      <c r="E155" s="734">
        <v>9431500</v>
      </c>
      <c r="F155" s="734"/>
      <c r="G155" s="734"/>
      <c r="H155" s="734">
        <f t="shared" ref="H155" si="33">E155/12*11</f>
        <v>8645541.6666666679</v>
      </c>
      <c r="I155" s="44">
        <f>H155-G155</f>
        <v>8645541.6666666679</v>
      </c>
      <c r="J155" s="124">
        <f>IF(I155=0,"",I155/H155)</f>
        <v>1</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4">SUM(C158:C158)</f>
        <v>0</v>
      </c>
      <c r="D157" s="578">
        <f t="shared" si="34"/>
        <v>0</v>
      </c>
      <c r="E157" s="579">
        <f t="shared" si="34"/>
        <v>0</v>
      </c>
      <c r="F157" s="579">
        <f t="shared" si="34"/>
        <v>0</v>
      </c>
      <c r="G157" s="579">
        <f t="shared" si="34"/>
        <v>0</v>
      </c>
      <c r="H157" s="579">
        <f t="shared" si="34"/>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5">SUM(C161:C161)</f>
        <v>0</v>
      </c>
      <c r="D160" s="578">
        <f t="shared" si="35"/>
        <v>0</v>
      </c>
      <c r="E160" s="579">
        <f t="shared" si="35"/>
        <v>0</v>
      </c>
      <c r="F160" s="579">
        <f t="shared" si="35"/>
        <v>0</v>
      </c>
      <c r="G160" s="579">
        <f t="shared" si="35"/>
        <v>0</v>
      </c>
      <c r="H160" s="579">
        <f t="shared" si="35"/>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6">SUM(C164:C164)</f>
        <v>0</v>
      </c>
      <c r="D163" s="578">
        <f t="shared" si="36"/>
        <v>0</v>
      </c>
      <c r="E163" s="579">
        <f t="shared" si="36"/>
        <v>0</v>
      </c>
      <c r="F163" s="579">
        <f t="shared" si="36"/>
        <v>0</v>
      </c>
      <c r="G163" s="579">
        <f t="shared" si="36"/>
        <v>0</v>
      </c>
      <c r="H163" s="579">
        <f t="shared" si="36"/>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7">C7+C75+C103+C110+C117+C135+C138+C148+C151+C154+C157+C160+C163</f>
        <v>0</v>
      </c>
      <c r="D166" s="271">
        <f t="shared" si="37"/>
        <v>19531500</v>
      </c>
      <c r="E166" s="55">
        <f t="shared" si="37"/>
        <v>19531500</v>
      </c>
      <c r="F166" s="55">
        <f t="shared" si="37"/>
        <v>0</v>
      </c>
      <c r="G166" s="55">
        <f t="shared" si="37"/>
        <v>101438.72</v>
      </c>
      <c r="H166" s="55">
        <f t="shared" si="37"/>
        <v>17903875</v>
      </c>
      <c r="I166" s="55">
        <f>H166-G166</f>
        <v>17802436.280000001</v>
      </c>
      <c r="J166" s="290">
        <f>IF(I166=0,"",I166/H166)</f>
        <v>0.99433425892439498</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5" activePane="bottomRight" state="frozen"/>
      <selection pane="topRight"/>
      <selection pane="bottomLeft"/>
      <selection pane="bottomRight" activeCell="F19" sqref="F19:G2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2" t="str">
        <f>muni&amp; " - "&amp;S71Sc&amp; " - "&amp;Head57</f>
        <v>KZN225 Msunduzi - Supporting Table SC13c Consolidated Monthly Budget Statement - expenditure on repairs and maintenance by asset class - M10 April</v>
      </c>
      <c r="B1" s="1042"/>
      <c r="C1" s="1042"/>
      <c r="D1" s="1042"/>
      <c r="E1" s="1042"/>
      <c r="F1" s="1042"/>
      <c r="G1" s="1042"/>
      <c r="H1" s="1042"/>
      <c r="I1" s="1042"/>
      <c r="J1" s="1042"/>
      <c r="K1" s="1042"/>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60146066</v>
      </c>
      <c r="F7" s="102">
        <f t="shared" si="0"/>
        <v>2285068.81</v>
      </c>
      <c r="G7" s="102">
        <f t="shared" si="0"/>
        <v>20124265.160000008</v>
      </c>
      <c r="H7" s="102">
        <f t="shared" si="0"/>
        <v>55133893.833333328</v>
      </c>
      <c r="I7" s="101">
        <f t="shared" ref="I7:I166" si="1">H7-G7</f>
        <v>35009628.673333317</v>
      </c>
      <c r="J7" s="580">
        <f t="shared" ref="J7:J166" si="2">IF(I7=0,"",I7/H7)</f>
        <v>0.63499285537795436</v>
      </c>
      <c r="K7" s="604">
        <f>K8+K13+K17+K27+K38+K45+K53+K63+K69</f>
        <v>60146066</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60146066</v>
      </c>
      <c r="F17" s="408">
        <f t="shared" si="5"/>
        <v>2285068.81</v>
      </c>
      <c r="G17" s="408">
        <f t="shared" si="5"/>
        <v>20124265.160000008</v>
      </c>
      <c r="H17" s="408">
        <f t="shared" si="5"/>
        <v>55133893.833333328</v>
      </c>
      <c r="I17" s="258">
        <f t="shared" si="1"/>
        <v>35009628.673333317</v>
      </c>
      <c r="J17" s="576">
        <f t="shared" si="2"/>
        <v>0.63499285537795436</v>
      </c>
      <c r="K17" s="643">
        <f>SUM(K18:K26)</f>
        <v>60146066</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17656717</v>
      </c>
      <c r="F19" s="734">
        <v>1984106.5699999998</v>
      </c>
      <c r="G19" s="734">
        <v>11700130.030000009</v>
      </c>
      <c r="H19" s="734">
        <f t="shared" ref="H19" si="6">E19/12*11</f>
        <v>16185323.916666666</v>
      </c>
      <c r="I19" s="258">
        <f t="shared" si="1"/>
        <v>4485193.8866666574</v>
      </c>
      <c r="J19" s="576">
        <f t="shared" si="2"/>
        <v>0.27711486713269151</v>
      </c>
      <c r="K19" s="736">
        <f>D19</f>
        <v>17656717</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1723795</v>
      </c>
      <c r="F22" s="734">
        <v>143351.26999999999</v>
      </c>
      <c r="G22" s="734">
        <v>224482.59</v>
      </c>
      <c r="H22" s="734">
        <f t="shared" ref="H22" si="7">E22/12*11</f>
        <v>1580145.4166666667</v>
      </c>
      <c r="I22" s="258">
        <f t="shared" si="1"/>
        <v>1355662.8266666667</v>
      </c>
      <c r="J22" s="576">
        <f t="shared" si="2"/>
        <v>0.85793548642279494</v>
      </c>
      <c r="K22" s="736">
        <f>D22</f>
        <v>1723795</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40765554</v>
      </c>
      <c r="F25" s="734">
        <v>157610.97000000003</v>
      </c>
      <c r="G25" s="734">
        <v>8199652.54</v>
      </c>
      <c r="H25" s="734">
        <f t="shared" ref="H25" si="8">E25/12*11</f>
        <v>37368424.5</v>
      </c>
      <c r="I25" s="258">
        <f t="shared" si="1"/>
        <v>29168771.960000001</v>
      </c>
      <c r="J25" s="576">
        <f t="shared" si="2"/>
        <v>0.78057269874998347</v>
      </c>
      <c r="K25" s="736">
        <f>D25</f>
        <v>40765554</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0</v>
      </c>
      <c r="E27" s="408">
        <f t="shared" si="9"/>
        <v>0</v>
      </c>
      <c r="F27" s="408">
        <f t="shared" si="9"/>
        <v>0</v>
      </c>
      <c r="G27" s="408">
        <f t="shared" si="9"/>
        <v>0</v>
      </c>
      <c r="H27" s="408">
        <f t="shared" si="9"/>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1">SUM(C46:C52)</f>
        <v>0</v>
      </c>
      <c r="D45" s="650">
        <f t="shared" si="11"/>
        <v>0</v>
      </c>
      <c r="E45" s="408">
        <f t="shared" si="11"/>
        <v>0</v>
      </c>
      <c r="F45" s="408">
        <f t="shared" si="11"/>
        <v>0</v>
      </c>
      <c r="G45" s="408">
        <f t="shared" si="11"/>
        <v>0</v>
      </c>
      <c r="H45" s="408">
        <f t="shared" si="11"/>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2">SUM(C54:C62)</f>
        <v>0</v>
      </c>
      <c r="D53" s="650">
        <f t="shared" si="12"/>
        <v>0</v>
      </c>
      <c r="E53" s="408">
        <f t="shared" si="12"/>
        <v>0</v>
      </c>
      <c r="F53" s="408">
        <f t="shared" si="12"/>
        <v>0</v>
      </c>
      <c r="G53" s="408">
        <f t="shared" si="12"/>
        <v>0</v>
      </c>
      <c r="H53" s="408">
        <f t="shared" si="12"/>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3">SUM(C64:C68)</f>
        <v>0</v>
      </c>
      <c r="D63" s="650">
        <f t="shared" si="13"/>
        <v>0</v>
      </c>
      <c r="E63" s="408">
        <f t="shared" si="13"/>
        <v>0</v>
      </c>
      <c r="F63" s="408">
        <f t="shared" si="13"/>
        <v>0</v>
      </c>
      <c r="G63" s="408">
        <f t="shared" si="13"/>
        <v>0</v>
      </c>
      <c r="H63" s="408">
        <f t="shared" si="13"/>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4">SUM(C70:C73)</f>
        <v>0</v>
      </c>
      <c r="D69" s="650">
        <f t="shared" si="14"/>
        <v>0</v>
      </c>
      <c r="E69" s="408">
        <f t="shared" si="14"/>
        <v>0</v>
      </c>
      <c r="F69" s="408">
        <f t="shared" si="14"/>
        <v>0</v>
      </c>
      <c r="G69" s="408">
        <f t="shared" si="14"/>
        <v>0</v>
      </c>
      <c r="H69" s="408">
        <f t="shared" si="14"/>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5">+C76+C99</f>
        <v>0</v>
      </c>
      <c r="D75" s="578">
        <f t="shared" si="15"/>
        <v>21490</v>
      </c>
      <c r="E75" s="579">
        <f t="shared" si="15"/>
        <v>21490</v>
      </c>
      <c r="F75" s="579">
        <f t="shared" si="15"/>
        <v>0</v>
      </c>
      <c r="G75" s="579">
        <f t="shared" si="15"/>
        <v>0</v>
      </c>
      <c r="H75" s="579">
        <f t="shared" si="15"/>
        <v>19699.166666666664</v>
      </c>
      <c r="I75" s="579">
        <f t="shared" si="1"/>
        <v>19699.166666666664</v>
      </c>
      <c r="J75" s="580">
        <f t="shared" si="2"/>
        <v>1</v>
      </c>
      <c r="K75" s="581">
        <f>+K76+K99</f>
        <v>21490</v>
      </c>
    </row>
    <row r="76" spans="1:11" ht="12.75" customHeight="1" x14ac:dyDescent="0.25">
      <c r="A76" s="518" t="s">
        <v>1281</v>
      </c>
      <c r="B76" s="169"/>
      <c r="C76" s="649">
        <f t="shared" ref="C76:H76" si="16">SUM(C77:C98)</f>
        <v>0</v>
      </c>
      <c r="D76" s="650">
        <f t="shared" si="16"/>
        <v>21490</v>
      </c>
      <c r="E76" s="408">
        <f t="shared" si="16"/>
        <v>21490</v>
      </c>
      <c r="F76" s="408">
        <f t="shared" si="16"/>
        <v>0</v>
      </c>
      <c r="G76" s="408">
        <f t="shared" si="16"/>
        <v>0</v>
      </c>
      <c r="H76" s="408">
        <f t="shared" si="16"/>
        <v>19699.166666666664</v>
      </c>
      <c r="I76" s="258">
        <f t="shared" si="1"/>
        <v>19699.166666666664</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 t="shared" ref="H96" si="17">E96/12*11</f>
        <v>19699.166666666664</v>
      </c>
      <c r="I96" s="44">
        <f t="shared" si="1"/>
        <v>19699.166666666664</v>
      </c>
      <c r="J96" s="124">
        <f t="shared" si="2"/>
        <v>1</v>
      </c>
      <c r="K96" s="736">
        <f>D96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8">SUM(C100:C102)</f>
        <v>0</v>
      </c>
      <c r="D99" s="650">
        <f t="shared" si="18"/>
        <v>0</v>
      </c>
      <c r="E99" s="408">
        <f t="shared" si="18"/>
        <v>0</v>
      </c>
      <c r="F99" s="408">
        <f t="shared" si="18"/>
        <v>0</v>
      </c>
      <c r="G99" s="408">
        <f t="shared" si="18"/>
        <v>0</v>
      </c>
      <c r="H99" s="408">
        <f t="shared" si="18"/>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9">SUM(C104:C108)</f>
        <v>0</v>
      </c>
      <c r="D103" s="264">
        <f t="shared" si="19"/>
        <v>0</v>
      </c>
      <c r="E103" s="99">
        <f t="shared" si="19"/>
        <v>0</v>
      </c>
      <c r="F103" s="99">
        <f t="shared" si="19"/>
        <v>0</v>
      </c>
      <c r="G103" s="99">
        <f t="shared" si="19"/>
        <v>0</v>
      </c>
      <c r="H103" s="99">
        <f t="shared" si="19"/>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20">+C111+C114</f>
        <v>0</v>
      </c>
      <c r="D110" s="578">
        <f t="shared" si="20"/>
        <v>0</v>
      </c>
      <c r="E110" s="579">
        <f t="shared" si="20"/>
        <v>0</v>
      </c>
      <c r="F110" s="579">
        <f t="shared" si="20"/>
        <v>0</v>
      </c>
      <c r="G110" s="579">
        <f t="shared" si="20"/>
        <v>0</v>
      </c>
      <c r="H110" s="579">
        <f t="shared" si="20"/>
        <v>0</v>
      </c>
      <c r="I110" s="99">
        <f t="shared" si="1"/>
        <v>0</v>
      </c>
      <c r="J110" s="324" t="str">
        <f t="shared" si="2"/>
        <v/>
      </c>
      <c r="K110" s="581">
        <f>+K111+K114</f>
        <v>0</v>
      </c>
    </row>
    <row r="111" spans="1:11" ht="12.75" customHeight="1" x14ac:dyDescent="0.25">
      <c r="A111" s="518" t="s">
        <v>1307</v>
      </c>
      <c r="B111" s="169"/>
      <c r="C111" s="649">
        <f t="shared" ref="C111:H111" si="21">SUM(C112:C113)</f>
        <v>0</v>
      </c>
      <c r="D111" s="650">
        <f t="shared" si="21"/>
        <v>0</v>
      </c>
      <c r="E111" s="408">
        <f t="shared" si="21"/>
        <v>0</v>
      </c>
      <c r="F111" s="408">
        <f t="shared" si="21"/>
        <v>0</v>
      </c>
      <c r="G111" s="408">
        <f t="shared" si="21"/>
        <v>0</v>
      </c>
      <c r="H111" s="408">
        <f t="shared" si="21"/>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2">SUM(C115:C116)</f>
        <v>0</v>
      </c>
      <c r="D114" s="650">
        <f t="shared" si="22"/>
        <v>0</v>
      </c>
      <c r="E114" s="408">
        <f t="shared" si="22"/>
        <v>0</v>
      </c>
      <c r="F114" s="408">
        <f t="shared" si="22"/>
        <v>0</v>
      </c>
      <c r="G114" s="408">
        <f t="shared" si="22"/>
        <v>0</v>
      </c>
      <c r="H114" s="408">
        <f t="shared" si="22"/>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23">+C118+C130</f>
        <v>0</v>
      </c>
      <c r="D117" s="578">
        <f t="shared" si="23"/>
        <v>20718629</v>
      </c>
      <c r="E117" s="579">
        <f t="shared" si="23"/>
        <v>20718629</v>
      </c>
      <c r="F117" s="579">
        <f t="shared" si="23"/>
        <v>543181.39</v>
      </c>
      <c r="G117" s="579">
        <f t="shared" si="23"/>
        <v>5528115.6800000006</v>
      </c>
      <c r="H117" s="579">
        <f t="shared" si="23"/>
        <v>18992076.583333336</v>
      </c>
      <c r="I117" s="579">
        <f t="shared" si="1"/>
        <v>13463960.903333336</v>
      </c>
      <c r="J117" s="580">
        <f t="shared" si="2"/>
        <v>0.70892515856579652</v>
      </c>
      <c r="K117" s="581">
        <f>+K118+K130</f>
        <v>20718629</v>
      </c>
    </row>
    <row r="118" spans="1:11" ht="12.75" customHeight="1" x14ac:dyDescent="0.25">
      <c r="A118" s="518" t="s">
        <v>1311</v>
      </c>
      <c r="B118" s="169"/>
      <c r="C118" s="649">
        <f t="shared" ref="C118:H118" si="24">SUM(C119:C129)</f>
        <v>0</v>
      </c>
      <c r="D118" s="650">
        <f t="shared" si="24"/>
        <v>20718629</v>
      </c>
      <c r="E118" s="408">
        <f t="shared" si="24"/>
        <v>20718629</v>
      </c>
      <c r="F118" s="408">
        <f t="shared" si="24"/>
        <v>543181.39</v>
      </c>
      <c r="G118" s="408">
        <f t="shared" si="24"/>
        <v>5528115.6800000006</v>
      </c>
      <c r="H118" s="408">
        <f t="shared" si="24"/>
        <v>18992076.583333336</v>
      </c>
      <c r="I118" s="258">
        <f t="shared" si="1"/>
        <v>13463960.903333336</v>
      </c>
      <c r="J118" s="576">
        <f t="shared" si="2"/>
        <v>0.70892515856579652</v>
      </c>
      <c r="K118" s="643">
        <f>SUM(K119:K129)</f>
        <v>20718629</v>
      </c>
    </row>
    <row r="119" spans="1:11" ht="12.75" customHeight="1" x14ac:dyDescent="0.25">
      <c r="A119" s="575" t="s">
        <v>1312</v>
      </c>
      <c r="B119" s="169"/>
      <c r="C119" s="749"/>
      <c r="D119" s="754">
        <v>20718629</v>
      </c>
      <c r="E119" s="734">
        <v>20718629</v>
      </c>
      <c r="F119" s="734">
        <v>543181.39</v>
      </c>
      <c r="G119" s="734">
        <v>5528115.6800000006</v>
      </c>
      <c r="H119" s="734">
        <f t="shared" ref="H119" si="25">E119/12*11</f>
        <v>18992076.583333336</v>
      </c>
      <c r="I119" s="44">
        <f t="shared" si="1"/>
        <v>13463960.903333336</v>
      </c>
      <c r="J119" s="124">
        <f t="shared" si="2"/>
        <v>0.70892515856579652</v>
      </c>
      <c r="K119" s="736">
        <f>D119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6">SUM(C131:C133)</f>
        <v>0</v>
      </c>
      <c r="D130" s="650">
        <f t="shared" si="26"/>
        <v>0</v>
      </c>
      <c r="E130" s="408">
        <f t="shared" si="26"/>
        <v>0</v>
      </c>
      <c r="F130" s="408">
        <f t="shared" si="26"/>
        <v>0</v>
      </c>
      <c r="G130" s="408">
        <f t="shared" si="26"/>
        <v>0</v>
      </c>
      <c r="H130" s="408">
        <f t="shared" si="26"/>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7">SUM(C136:C136)</f>
        <v>0</v>
      </c>
      <c r="D135" s="578">
        <f t="shared" si="27"/>
        <v>0</v>
      </c>
      <c r="E135" s="579">
        <f t="shared" si="27"/>
        <v>0</v>
      </c>
      <c r="F135" s="579">
        <f t="shared" si="27"/>
        <v>0</v>
      </c>
      <c r="G135" s="579">
        <f t="shared" si="27"/>
        <v>0</v>
      </c>
      <c r="H135" s="579">
        <f t="shared" si="27"/>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8">IF(I137=0,"",I137/H137)</f>
        <v/>
      </c>
      <c r="K137" s="144"/>
    </row>
    <row r="138" spans="1:11" s="100" customFormat="1" ht="12.75" customHeight="1" x14ac:dyDescent="0.25">
      <c r="A138" s="550" t="s">
        <v>1325</v>
      </c>
      <c r="B138" s="171"/>
      <c r="C138" s="941">
        <f t="shared" ref="C138:H138" si="29">SUM(C139:C140)</f>
        <v>0</v>
      </c>
      <c r="D138" s="942">
        <f t="shared" si="29"/>
        <v>0</v>
      </c>
      <c r="E138" s="943">
        <f t="shared" si="29"/>
        <v>0</v>
      </c>
      <c r="F138" s="943">
        <f t="shared" si="29"/>
        <v>0</v>
      </c>
      <c r="G138" s="943">
        <f t="shared" si="29"/>
        <v>0</v>
      </c>
      <c r="H138" s="943">
        <f t="shared" si="29"/>
        <v>0</v>
      </c>
      <c r="I138" s="943">
        <f t="shared" ref="I138:I146" si="30">H138-G138</f>
        <v>0</v>
      </c>
      <c r="J138" s="324" t="str">
        <f t="shared" si="28"/>
        <v/>
      </c>
      <c r="K138" s="944">
        <f>SUM(K139:K140)</f>
        <v>0</v>
      </c>
    </row>
    <row r="139" spans="1:11" ht="12.75" customHeight="1" x14ac:dyDescent="0.25">
      <c r="A139" s="517" t="s">
        <v>1326</v>
      </c>
      <c r="B139" s="169"/>
      <c r="C139" s="749"/>
      <c r="D139" s="754"/>
      <c r="E139" s="734"/>
      <c r="F139" s="734"/>
      <c r="G139" s="734"/>
      <c r="H139" s="734"/>
      <c r="I139" s="44">
        <f t="shared" si="30"/>
        <v>0</v>
      </c>
      <c r="J139" s="124" t="str">
        <f t="shared" si="28"/>
        <v/>
      </c>
      <c r="K139" s="736"/>
    </row>
    <row r="140" spans="1:11" ht="12.75" customHeight="1" x14ac:dyDescent="0.25">
      <c r="A140" s="517" t="s">
        <v>1327</v>
      </c>
      <c r="B140" s="169"/>
      <c r="C140" s="649">
        <f t="shared" ref="C140:H140" si="31">SUM(C141:C146)</f>
        <v>0</v>
      </c>
      <c r="D140" s="650">
        <f t="shared" si="31"/>
        <v>0</v>
      </c>
      <c r="E140" s="408">
        <f t="shared" si="31"/>
        <v>0</v>
      </c>
      <c r="F140" s="408">
        <f t="shared" si="31"/>
        <v>0</v>
      </c>
      <c r="G140" s="408">
        <f t="shared" si="31"/>
        <v>0</v>
      </c>
      <c r="H140" s="408">
        <f t="shared" si="31"/>
        <v>0</v>
      </c>
      <c r="I140" s="258">
        <f t="shared" si="30"/>
        <v>0</v>
      </c>
      <c r="J140" s="576" t="str">
        <f t="shared" si="28"/>
        <v/>
      </c>
      <c r="K140" s="643">
        <f>SUM(K141:K146)</f>
        <v>0</v>
      </c>
    </row>
    <row r="141" spans="1:11" ht="12.75" customHeight="1" x14ac:dyDescent="0.25">
      <c r="A141" s="575" t="s">
        <v>1328</v>
      </c>
      <c r="B141" s="169"/>
      <c r="C141" s="749"/>
      <c r="D141" s="754"/>
      <c r="E141" s="734"/>
      <c r="F141" s="734"/>
      <c r="G141" s="734"/>
      <c r="H141" s="734"/>
      <c r="I141" s="44">
        <f t="shared" si="30"/>
        <v>0</v>
      </c>
      <c r="J141" s="124" t="str">
        <f t="shared" si="28"/>
        <v/>
      </c>
      <c r="K141" s="736"/>
    </row>
    <row r="142" spans="1:11" ht="12.75" customHeight="1" x14ac:dyDescent="0.25">
      <c r="A142" s="575" t="s">
        <v>1329</v>
      </c>
      <c r="B142" s="169"/>
      <c r="C142" s="749"/>
      <c r="D142" s="754"/>
      <c r="E142" s="734"/>
      <c r="F142" s="734"/>
      <c r="G142" s="734"/>
      <c r="H142" s="734"/>
      <c r="I142" s="44">
        <f t="shared" si="30"/>
        <v>0</v>
      </c>
      <c r="J142" s="124" t="str">
        <f t="shared" si="28"/>
        <v/>
      </c>
      <c r="K142" s="736"/>
    </row>
    <row r="143" spans="1:11" ht="12.75" customHeight="1" x14ac:dyDescent="0.25">
      <c r="A143" s="575" t="s">
        <v>1330</v>
      </c>
      <c r="B143" s="169"/>
      <c r="C143" s="749"/>
      <c r="D143" s="754"/>
      <c r="E143" s="734"/>
      <c r="F143" s="734"/>
      <c r="G143" s="734"/>
      <c r="H143" s="734"/>
      <c r="I143" s="44">
        <f t="shared" si="30"/>
        <v>0</v>
      </c>
      <c r="J143" s="124" t="str">
        <f t="shared" si="28"/>
        <v/>
      </c>
      <c r="K143" s="736"/>
    </row>
    <row r="144" spans="1:11" ht="12.75" customHeight="1" x14ac:dyDescent="0.25">
      <c r="A144" s="575" t="s">
        <v>1331</v>
      </c>
      <c r="B144" s="169"/>
      <c r="C144" s="749"/>
      <c r="D144" s="754"/>
      <c r="E144" s="734"/>
      <c r="F144" s="734"/>
      <c r="G144" s="734"/>
      <c r="H144" s="734"/>
      <c r="I144" s="44">
        <f t="shared" si="30"/>
        <v>0</v>
      </c>
      <c r="J144" s="124" t="str">
        <f t="shared" si="28"/>
        <v/>
      </c>
      <c r="K144" s="736"/>
    </row>
    <row r="145" spans="1:12" ht="12.75" customHeight="1" x14ac:dyDescent="0.25">
      <c r="A145" s="575" t="s">
        <v>1332</v>
      </c>
      <c r="B145" s="169"/>
      <c r="C145" s="749"/>
      <c r="D145" s="754"/>
      <c r="E145" s="734"/>
      <c r="F145" s="734"/>
      <c r="G145" s="734"/>
      <c r="H145" s="734"/>
      <c r="I145" s="44">
        <f t="shared" si="30"/>
        <v>0</v>
      </c>
      <c r="J145" s="124" t="str">
        <f t="shared" si="28"/>
        <v/>
      </c>
      <c r="K145" s="736"/>
    </row>
    <row r="146" spans="1:12" ht="12.75" customHeight="1" x14ac:dyDescent="0.25">
      <c r="A146" s="575" t="s">
        <v>1333</v>
      </c>
      <c r="B146" s="169"/>
      <c r="C146" s="749"/>
      <c r="D146" s="754"/>
      <c r="E146" s="734"/>
      <c r="F146" s="734"/>
      <c r="G146" s="734"/>
      <c r="H146" s="734"/>
      <c r="I146" s="44">
        <f t="shared" si="30"/>
        <v>0</v>
      </c>
      <c r="J146" s="124" t="str">
        <f t="shared" si="2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2">SUM(C149:C149)</f>
        <v>0</v>
      </c>
      <c r="D148" s="578">
        <f t="shared" si="32"/>
        <v>0</v>
      </c>
      <c r="E148" s="579">
        <f t="shared" si="32"/>
        <v>0</v>
      </c>
      <c r="F148" s="579">
        <f t="shared" si="32"/>
        <v>0</v>
      </c>
      <c r="G148" s="579">
        <f t="shared" si="32"/>
        <v>0</v>
      </c>
      <c r="H148" s="579">
        <f t="shared" si="32"/>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3">SUM(C152:C152)</f>
        <v>0</v>
      </c>
      <c r="D151" s="578">
        <f t="shared" si="33"/>
        <v>0</v>
      </c>
      <c r="E151" s="579">
        <f t="shared" si="33"/>
        <v>0</v>
      </c>
      <c r="F151" s="579">
        <f t="shared" si="33"/>
        <v>0</v>
      </c>
      <c r="G151" s="579">
        <f t="shared" si="33"/>
        <v>0</v>
      </c>
      <c r="H151" s="579">
        <f t="shared" si="33"/>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4">SUM(C155:C155)</f>
        <v>0</v>
      </c>
      <c r="D154" s="578">
        <f t="shared" si="34"/>
        <v>16458444.169999998</v>
      </c>
      <c r="E154" s="579">
        <f t="shared" si="34"/>
        <v>16458444.169999998</v>
      </c>
      <c r="F154" s="579">
        <f t="shared" si="34"/>
        <v>800386.5</v>
      </c>
      <c r="G154" s="579">
        <f t="shared" si="34"/>
        <v>6558371.0100000016</v>
      </c>
      <c r="H154" s="579">
        <f t="shared" si="34"/>
        <v>15086907.15583333</v>
      </c>
      <c r="I154" s="579">
        <f>H154-G154</f>
        <v>8528536.1458333284</v>
      </c>
      <c r="J154" s="324">
        <f>IF(I154=0,"",I154/H154)</f>
        <v>0.56529387088696859</v>
      </c>
      <c r="K154" s="581">
        <f>SUM(K155)</f>
        <v>16458444.169999998</v>
      </c>
    </row>
    <row r="155" spans="1:12" ht="12.75" customHeight="1" x14ac:dyDescent="0.25">
      <c r="A155" s="518" t="s">
        <v>1336</v>
      </c>
      <c r="B155" s="169"/>
      <c r="C155" s="749"/>
      <c r="D155" s="754">
        <v>16458444.169999998</v>
      </c>
      <c r="E155" s="734">
        <v>16458444.169999998</v>
      </c>
      <c r="F155" s="734">
        <v>800386.5</v>
      </c>
      <c r="G155" s="734">
        <v>6558371.0100000016</v>
      </c>
      <c r="H155" s="734">
        <f t="shared" ref="H155" si="35">E155/12*11</f>
        <v>15086907.15583333</v>
      </c>
      <c r="I155" s="44">
        <f>H155-G155</f>
        <v>8528536.1458333284</v>
      </c>
      <c r="J155" s="124">
        <f>IF(I155=0,"",I155/H155)</f>
        <v>0.56529387088696859</v>
      </c>
      <c r="K155" s="736">
        <f>D155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6">SUM(C158:C158)</f>
        <v>0</v>
      </c>
      <c r="D157" s="578">
        <f t="shared" si="36"/>
        <v>0</v>
      </c>
      <c r="E157" s="579">
        <f t="shared" si="36"/>
        <v>0</v>
      </c>
      <c r="F157" s="579">
        <f t="shared" si="36"/>
        <v>0</v>
      </c>
      <c r="G157" s="579">
        <f t="shared" si="36"/>
        <v>0</v>
      </c>
      <c r="H157" s="579">
        <f t="shared" si="36"/>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7">SUM(C161:C161)</f>
        <v>0</v>
      </c>
      <c r="D160" s="578">
        <f t="shared" si="37"/>
        <v>0</v>
      </c>
      <c r="E160" s="579">
        <f t="shared" si="37"/>
        <v>0</v>
      </c>
      <c r="F160" s="579">
        <f t="shared" si="37"/>
        <v>0</v>
      </c>
      <c r="G160" s="579">
        <f t="shared" si="37"/>
        <v>0</v>
      </c>
      <c r="H160" s="579">
        <f t="shared" si="37"/>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8">SUM(C164:C164)</f>
        <v>0</v>
      </c>
      <c r="D163" s="578">
        <f t="shared" si="38"/>
        <v>0</v>
      </c>
      <c r="E163" s="579">
        <f t="shared" si="38"/>
        <v>0</v>
      </c>
      <c r="F163" s="579">
        <f t="shared" si="38"/>
        <v>0</v>
      </c>
      <c r="G163" s="579">
        <f t="shared" si="38"/>
        <v>0</v>
      </c>
      <c r="H163" s="579">
        <f t="shared" si="38"/>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9">C7+C75+C103+C110+C117+C135+C138+C148+C151+C154+C157+C160+C163</f>
        <v>0</v>
      </c>
      <c r="D166" s="271">
        <f t="shared" si="39"/>
        <v>97344629.170000002</v>
      </c>
      <c r="E166" s="55">
        <f t="shared" si="39"/>
        <v>97344629.170000002</v>
      </c>
      <c r="F166" s="55">
        <f t="shared" si="39"/>
        <v>3628636.7</v>
      </c>
      <c r="G166" s="55">
        <f t="shared" si="39"/>
        <v>32210751.850000009</v>
      </c>
      <c r="H166" s="55">
        <f t="shared" si="39"/>
        <v>89232576.739166662</v>
      </c>
      <c r="I166" s="55">
        <f t="shared" si="1"/>
        <v>57021824.889166653</v>
      </c>
      <c r="J166" s="290">
        <f t="shared" si="2"/>
        <v>0.63902474828050315</v>
      </c>
      <c r="K166" s="235">
        <f>K7+K75+K103+K110+K117+K135+K138+K148+K151+K154+K157+K160+K163</f>
        <v>97344629.170000002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34" activePane="bottomRight" state="frozen"/>
      <selection pane="topRight"/>
      <selection pane="bottomLeft"/>
      <selection pane="bottomRight" activeCell="G169" sqref="G16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2" t="str">
        <f>muni&amp; " - "&amp;S71Sd&amp; " - "&amp;Head57</f>
        <v>KZN225 Msunduzi - Supporting Table SC13d Consolidated Monthly Budget Statement - depreciation by asset class - M10 April</v>
      </c>
      <c r="B1" s="1042"/>
      <c r="C1" s="1042"/>
      <c r="D1" s="1042"/>
      <c r="E1" s="1042"/>
      <c r="F1" s="1042"/>
      <c r="G1" s="1042"/>
      <c r="H1" s="1042"/>
      <c r="I1" s="1042"/>
      <c r="J1" s="1042"/>
      <c r="K1" s="1042"/>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29758935.860000003</v>
      </c>
      <c r="G7" s="102">
        <f t="shared" si="0"/>
        <v>320521182.41000003</v>
      </c>
      <c r="H7" s="102">
        <f t="shared" si="0"/>
        <v>263583833.01249999</v>
      </c>
      <c r="I7" s="101">
        <f t="shared" ref="I7:I166" si="1">H7-G7</f>
        <v>-56937349.397500038</v>
      </c>
      <c r="J7" s="580">
        <f t="shared" ref="J7:J166" si="2">IF(I7=0,"",I7/H7)</f>
        <v>-0.21601229766925761</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12366421.170000002</v>
      </c>
      <c r="G8" s="609">
        <f t="shared" si="3"/>
        <v>133514062.11999999</v>
      </c>
      <c r="H8" s="609">
        <f t="shared" si="3"/>
        <v>23098087.512500003</v>
      </c>
      <c r="I8" s="258">
        <f t="shared" si="1"/>
        <v>-110415974.60749999</v>
      </c>
      <c r="J8" s="576">
        <f t="shared" si="2"/>
        <v>-4.7803080903449739</v>
      </c>
      <c r="K8" s="611">
        <f>SUM(K9:K12)</f>
        <v>25197913.650000002</v>
      </c>
    </row>
    <row r="9" spans="1:11" ht="12.75" customHeight="1" x14ac:dyDescent="0.25">
      <c r="A9" s="575" t="s">
        <v>174</v>
      </c>
      <c r="B9" s="169"/>
      <c r="C9" s="749"/>
      <c r="D9" s="746">
        <v>25197913.650000002</v>
      </c>
      <c r="E9" s="734">
        <v>25197913.650000002</v>
      </c>
      <c r="F9" s="734">
        <v>12366421.170000002</v>
      </c>
      <c r="G9" s="734">
        <v>133514062.11999999</v>
      </c>
      <c r="H9" s="734">
        <f t="shared" ref="H9" si="4">E9/12*11</f>
        <v>23098087.512500003</v>
      </c>
      <c r="I9" s="258">
        <f t="shared" si="1"/>
        <v>-110415974.60749999</v>
      </c>
      <c r="J9" s="576">
        <f t="shared" si="2"/>
        <v>-4.7803080903449739</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112464927.75000001</v>
      </c>
      <c r="E17" s="408">
        <f t="shared" si="6"/>
        <v>112464927.75000001</v>
      </c>
      <c r="F17" s="408">
        <f t="shared" si="6"/>
        <v>7829851.2299999995</v>
      </c>
      <c r="G17" s="408">
        <f t="shared" si="6"/>
        <v>84032939.500000015</v>
      </c>
      <c r="H17" s="408">
        <f t="shared" si="6"/>
        <v>103092850.43750001</v>
      </c>
      <c r="I17" s="258">
        <f t="shared" si="1"/>
        <v>19059910.9375</v>
      </c>
      <c r="J17" s="576">
        <f t="shared" si="2"/>
        <v>0.18488101606090579</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2790983.46</v>
      </c>
      <c r="G19" s="734">
        <v>29425685.310000002</v>
      </c>
      <c r="H19" s="734">
        <f t="shared" ref="H19:H21" si="7">E19/12*11</f>
        <v>33799663.975000001</v>
      </c>
      <c r="I19" s="258">
        <f t="shared" si="1"/>
        <v>4373978.6649999991</v>
      </c>
      <c r="J19" s="576">
        <f t="shared" si="2"/>
        <v>0.12940893933842723</v>
      </c>
      <c r="K19" s="736">
        <f>E19</f>
        <v>36872360.700000003</v>
      </c>
    </row>
    <row r="20" spans="1:11" ht="12.75" customHeight="1" x14ac:dyDescent="0.25">
      <c r="A20" s="575" t="s">
        <v>1240</v>
      </c>
      <c r="B20" s="169"/>
      <c r="C20" s="749"/>
      <c r="D20" s="746">
        <v>4062513.0000000005</v>
      </c>
      <c r="E20" s="734">
        <v>4062513.0000000005</v>
      </c>
      <c r="F20" s="734">
        <v>332171.96000000002</v>
      </c>
      <c r="G20" s="734">
        <v>3600321.94</v>
      </c>
      <c r="H20" s="734">
        <f t="shared" si="7"/>
        <v>3723970.2500000005</v>
      </c>
      <c r="I20" s="258">
        <f t="shared" si="1"/>
        <v>123648.31000000052</v>
      </c>
      <c r="J20" s="576">
        <f t="shared" si="2"/>
        <v>3.3203356014995154E-2</v>
      </c>
      <c r="K20" s="736">
        <f>E20</f>
        <v>4062513.0000000005</v>
      </c>
    </row>
    <row r="21" spans="1:11" ht="12.75" customHeight="1" x14ac:dyDescent="0.25">
      <c r="A21" s="575" t="s">
        <v>1241</v>
      </c>
      <c r="B21" s="169"/>
      <c r="C21" s="749"/>
      <c r="D21" s="746">
        <v>68185854.450000018</v>
      </c>
      <c r="E21" s="734">
        <v>68185854.450000018</v>
      </c>
      <c r="F21" s="734">
        <v>4532783.5</v>
      </c>
      <c r="G21" s="734">
        <v>49129523.220000006</v>
      </c>
      <c r="H21" s="734">
        <f t="shared" si="7"/>
        <v>62503699.912500016</v>
      </c>
      <c r="I21" s="258">
        <f t="shared" si="1"/>
        <v>13374176.69250001</v>
      </c>
      <c r="J21" s="576">
        <f t="shared" si="2"/>
        <v>0.21397416010928547</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173912.31</v>
      </c>
      <c r="G25" s="734">
        <v>1877409.0299999998</v>
      </c>
      <c r="H25" s="734">
        <f t="shared" ref="H25" si="8">E25/12*11</f>
        <v>3065516.3</v>
      </c>
      <c r="I25" s="258">
        <f t="shared" si="1"/>
        <v>1188107.27</v>
      </c>
      <c r="J25" s="576">
        <f t="shared" si="2"/>
        <v>0.38757166941177251</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9">SUM(C28:C37)</f>
        <v>0</v>
      </c>
      <c r="D27" s="650">
        <f t="shared" si="9"/>
        <v>99011193.75</v>
      </c>
      <c r="E27" s="408">
        <f t="shared" si="9"/>
        <v>99011193.75</v>
      </c>
      <c r="F27" s="408">
        <f t="shared" si="9"/>
        <v>7428467.1100000003</v>
      </c>
      <c r="G27" s="408">
        <f t="shared" si="9"/>
        <v>80052806.87000002</v>
      </c>
      <c r="H27" s="408">
        <f t="shared" si="9"/>
        <v>90760260.9375</v>
      </c>
      <c r="I27" s="258">
        <f t="shared" si="1"/>
        <v>10707454.06749998</v>
      </c>
      <c r="J27" s="576">
        <f t="shared" si="2"/>
        <v>0.11797513533895002</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7428467.1100000003</v>
      </c>
      <c r="G30" s="734">
        <v>80052806.87000002</v>
      </c>
      <c r="H30" s="734">
        <f t="shared" ref="H30" si="10">E30/12*11</f>
        <v>90760260.9375</v>
      </c>
      <c r="I30" s="258">
        <f t="shared" si="1"/>
        <v>10707454.06749998</v>
      </c>
      <c r="J30" s="576">
        <f t="shared" si="2"/>
        <v>0.11797513533895002</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1">SUM(C39:C44)</f>
        <v>0</v>
      </c>
      <c r="D38" s="650">
        <f t="shared" si="11"/>
        <v>43783387.200000003</v>
      </c>
      <c r="E38" s="408">
        <f t="shared" si="11"/>
        <v>43783387.200000003</v>
      </c>
      <c r="F38" s="408">
        <f t="shared" si="11"/>
        <v>1694275.33</v>
      </c>
      <c r="G38" s="408">
        <f t="shared" si="11"/>
        <v>18153197.719999999</v>
      </c>
      <c r="H38" s="408">
        <f t="shared" si="11"/>
        <v>40134771.600000001</v>
      </c>
      <c r="I38" s="258">
        <f t="shared" si="1"/>
        <v>21981573.880000003</v>
      </c>
      <c r="J38" s="576">
        <f t="shared" si="2"/>
        <v>0.54769400705895632</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1694275.33</v>
      </c>
      <c r="G40" s="734">
        <v>18153197.719999999</v>
      </c>
      <c r="H40" s="734">
        <f t="shared" ref="H40" si="12">E40/12*11</f>
        <v>40134771.600000001</v>
      </c>
      <c r="I40" s="258">
        <f t="shared" si="1"/>
        <v>21981573.880000003</v>
      </c>
      <c r="J40" s="576">
        <f t="shared" si="2"/>
        <v>0.54769400705895632</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3">SUM(C46:C52)</f>
        <v>0</v>
      </c>
      <c r="D45" s="650">
        <f t="shared" si="13"/>
        <v>7008422.4000000004</v>
      </c>
      <c r="E45" s="408">
        <f t="shared" si="13"/>
        <v>7008422.4000000004</v>
      </c>
      <c r="F45" s="408">
        <f t="shared" si="13"/>
        <v>428434.07</v>
      </c>
      <c r="G45" s="408">
        <f t="shared" si="13"/>
        <v>4643672.4000000004</v>
      </c>
      <c r="H45" s="408">
        <f t="shared" si="13"/>
        <v>6424387.2000000011</v>
      </c>
      <c r="I45" s="258">
        <f t="shared" si="1"/>
        <v>1780714.8000000007</v>
      </c>
      <c r="J45" s="576">
        <f t="shared" si="2"/>
        <v>0.27718049123813715</v>
      </c>
      <c r="K45" s="643">
        <f>SUM(K46:K52)</f>
        <v>7008422.4000000004</v>
      </c>
    </row>
    <row r="46" spans="1:11" ht="12.75" customHeight="1" x14ac:dyDescent="0.25">
      <c r="A46" s="575" t="s">
        <v>1262</v>
      </c>
      <c r="B46" s="169"/>
      <c r="C46" s="749"/>
      <c r="D46" s="746">
        <v>7008422.4000000004</v>
      </c>
      <c r="E46" s="734">
        <v>7008422.4000000004</v>
      </c>
      <c r="F46" s="734">
        <v>428434.07</v>
      </c>
      <c r="G46" s="734">
        <v>4643672.4000000004</v>
      </c>
      <c r="H46" s="734">
        <f t="shared" ref="H46" si="14">E46/12*11</f>
        <v>6424387.2000000011</v>
      </c>
      <c r="I46" s="258">
        <f t="shared" si="1"/>
        <v>1780714.8000000007</v>
      </c>
      <c r="J46" s="576">
        <f t="shared" si="2"/>
        <v>0.27718049123813715</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5">SUM(C54:C62)</f>
        <v>0</v>
      </c>
      <c r="D53" s="650">
        <f t="shared" si="15"/>
        <v>80154.900000000009</v>
      </c>
      <c r="E53" s="408">
        <f t="shared" si="15"/>
        <v>80154.900000000009</v>
      </c>
      <c r="F53" s="408">
        <f t="shared" si="15"/>
        <v>11486.949999999999</v>
      </c>
      <c r="G53" s="408">
        <f t="shared" si="15"/>
        <v>124503.8</v>
      </c>
      <c r="H53" s="408">
        <f t="shared" si="15"/>
        <v>73475.325000000012</v>
      </c>
      <c r="I53" s="258">
        <f t="shared" si="1"/>
        <v>-51028.474999999991</v>
      </c>
      <c r="J53" s="576">
        <f t="shared" si="2"/>
        <v>-0.69449811892631963</v>
      </c>
      <c r="K53" s="643">
        <f>SUM(K54:K62)</f>
        <v>80154.900000000009</v>
      </c>
    </row>
    <row r="54" spans="1:11" ht="12.75" customHeight="1" x14ac:dyDescent="0.25">
      <c r="A54" s="575" t="s">
        <v>1269</v>
      </c>
      <c r="B54" s="169"/>
      <c r="C54" s="749"/>
      <c r="D54" s="746">
        <v>80154.900000000009</v>
      </c>
      <c r="E54" s="734">
        <v>80154.900000000009</v>
      </c>
      <c r="F54" s="734">
        <v>11486.949999999999</v>
      </c>
      <c r="G54" s="734">
        <v>124503.8</v>
      </c>
      <c r="H54" s="734">
        <f t="shared" ref="H54" si="16">E54/12*11</f>
        <v>73475.325000000012</v>
      </c>
      <c r="I54" s="258">
        <f t="shared" si="1"/>
        <v>-51028.474999999991</v>
      </c>
      <c r="J54" s="576">
        <f t="shared" si="2"/>
        <v>-0.69449811892631963</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7">SUM(C64:C68)</f>
        <v>0</v>
      </c>
      <c r="D63" s="650">
        <f t="shared" si="17"/>
        <v>0</v>
      </c>
      <c r="E63" s="408">
        <f t="shared" si="17"/>
        <v>0</v>
      </c>
      <c r="F63" s="408">
        <f t="shared" si="17"/>
        <v>0</v>
      </c>
      <c r="G63" s="408">
        <f t="shared" si="17"/>
        <v>0</v>
      </c>
      <c r="H63" s="408">
        <f t="shared" si="17"/>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8">SUM(C70:C73)</f>
        <v>0</v>
      </c>
      <c r="D69" s="650">
        <f t="shared" si="18"/>
        <v>0</v>
      </c>
      <c r="E69" s="408">
        <f t="shared" si="18"/>
        <v>0</v>
      </c>
      <c r="F69" s="408">
        <f t="shared" si="18"/>
        <v>0</v>
      </c>
      <c r="G69" s="408">
        <f t="shared" si="18"/>
        <v>0</v>
      </c>
      <c r="H69" s="408">
        <f t="shared" si="18"/>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9">+C76+C99</f>
        <v>0</v>
      </c>
      <c r="D75" s="578">
        <f t="shared" si="19"/>
        <v>0</v>
      </c>
      <c r="E75" s="579">
        <f t="shared" si="19"/>
        <v>0</v>
      </c>
      <c r="F75" s="579">
        <f t="shared" si="19"/>
        <v>3192791.83</v>
      </c>
      <c r="G75" s="579">
        <f t="shared" si="19"/>
        <v>34273109.079999998</v>
      </c>
      <c r="H75" s="579">
        <f t="shared" si="19"/>
        <v>0</v>
      </c>
      <c r="I75" s="579">
        <f t="shared" si="1"/>
        <v>-34273109.079999998</v>
      </c>
      <c r="J75" s="580" t="e">
        <f t="shared" si="2"/>
        <v>#DIV/0!</v>
      </c>
      <c r="K75" s="581">
        <f>+K76+K99</f>
        <v>0</v>
      </c>
    </row>
    <row r="76" spans="1:11" ht="12.75" customHeight="1" x14ac:dyDescent="0.25">
      <c r="A76" s="518" t="s">
        <v>1281</v>
      </c>
      <c r="B76" s="169"/>
      <c r="C76" s="649">
        <f t="shared" ref="C76:H76" si="20">SUM(C77:C98)</f>
        <v>0</v>
      </c>
      <c r="D76" s="650">
        <f t="shared" si="20"/>
        <v>0</v>
      </c>
      <c r="E76" s="408">
        <f t="shared" si="20"/>
        <v>0</v>
      </c>
      <c r="F76" s="408">
        <f t="shared" si="20"/>
        <v>1779554.3</v>
      </c>
      <c r="G76" s="408">
        <f t="shared" si="20"/>
        <v>19111133.969999999</v>
      </c>
      <c r="H76" s="408">
        <f t="shared" si="20"/>
        <v>0</v>
      </c>
      <c r="I76" s="258">
        <f t="shared" si="1"/>
        <v>-19111133.969999999</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359711.17</v>
      </c>
      <c r="G78" s="734">
        <v>3723807.1399999997</v>
      </c>
      <c r="H78" s="734"/>
      <c r="I78" s="44">
        <f t="shared" si="1"/>
        <v>-3723807.1399999997</v>
      </c>
      <c r="J78" s="124" t="e">
        <f t="shared" si="2"/>
        <v>#DIV/0!</v>
      </c>
      <c r="K78" s="736"/>
    </row>
    <row r="79" spans="1:11" ht="12.75" customHeight="1" x14ac:dyDescent="0.25">
      <c r="A79" s="575" t="s">
        <v>1284</v>
      </c>
      <c r="B79" s="169"/>
      <c r="C79" s="749"/>
      <c r="D79" s="754"/>
      <c r="E79" s="734"/>
      <c r="F79" s="734">
        <v>54217.74</v>
      </c>
      <c r="G79" s="734">
        <v>587650.30999999994</v>
      </c>
      <c r="H79" s="734"/>
      <c r="I79" s="44">
        <f t="shared" si="1"/>
        <v>-587650.30999999994</v>
      </c>
      <c r="J79" s="124" t="e">
        <f t="shared" si="2"/>
        <v>#DIV/0!</v>
      </c>
      <c r="K79" s="736"/>
    </row>
    <row r="80" spans="1:11" ht="12.75" customHeight="1" x14ac:dyDescent="0.25">
      <c r="A80" s="575" t="s">
        <v>1285</v>
      </c>
      <c r="B80" s="169"/>
      <c r="C80" s="749"/>
      <c r="D80" s="754"/>
      <c r="E80" s="734"/>
      <c r="F80" s="734">
        <v>60048.209999999992</v>
      </c>
      <c r="G80" s="734">
        <v>650845.42000000004</v>
      </c>
      <c r="H80" s="734"/>
      <c r="I80" s="44">
        <f t="shared" si="1"/>
        <v>-650845.42000000004</v>
      </c>
      <c r="J80" s="124" t="e">
        <f t="shared" si="2"/>
        <v>#DIV/0!</v>
      </c>
      <c r="K80" s="736"/>
    </row>
    <row r="81" spans="1:11" ht="12.75" customHeight="1" x14ac:dyDescent="0.25">
      <c r="A81" s="575" t="s">
        <v>1286</v>
      </c>
      <c r="B81" s="169"/>
      <c r="C81" s="749"/>
      <c r="D81" s="754"/>
      <c r="E81" s="734"/>
      <c r="F81" s="734">
        <v>73249.56</v>
      </c>
      <c r="G81" s="734">
        <v>793930.71000000008</v>
      </c>
      <c r="H81" s="734"/>
      <c r="I81" s="44">
        <f t="shared" si="1"/>
        <v>-793930.71000000008</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37302.51</v>
      </c>
      <c r="G85" s="734">
        <v>404311.11</v>
      </c>
      <c r="H85" s="734"/>
      <c r="I85" s="44">
        <f t="shared" si="1"/>
        <v>-404311.11</v>
      </c>
      <c r="J85" s="124" t="e">
        <f t="shared" si="2"/>
        <v>#DIV/0!</v>
      </c>
      <c r="K85" s="736"/>
    </row>
    <row r="86" spans="1:11" ht="12.75" customHeight="1" x14ac:dyDescent="0.25">
      <c r="A86" s="575" t="s">
        <v>560</v>
      </c>
      <c r="B86" s="169"/>
      <c r="C86" s="749"/>
      <c r="D86" s="754"/>
      <c r="E86" s="734"/>
      <c r="F86" s="734">
        <v>201578.84999999998</v>
      </c>
      <c r="G86" s="734">
        <v>2184854.1</v>
      </c>
      <c r="H86" s="734"/>
      <c r="I86" s="44">
        <f t="shared" si="1"/>
        <v>-2184854.1</v>
      </c>
      <c r="J86" s="124" t="e">
        <f t="shared" si="2"/>
        <v>#DIV/0!</v>
      </c>
      <c r="K86" s="736"/>
    </row>
    <row r="87" spans="1:11" ht="12.75" customHeight="1" x14ac:dyDescent="0.25">
      <c r="A87" s="575" t="s">
        <v>1290</v>
      </c>
      <c r="B87" s="169"/>
      <c r="C87" s="749"/>
      <c r="D87" s="754"/>
      <c r="E87" s="734"/>
      <c r="F87" s="734">
        <v>58379.73</v>
      </c>
      <c r="G87" s="734">
        <v>632761.19000000006</v>
      </c>
      <c r="H87" s="734"/>
      <c r="I87" s="44">
        <f t="shared" si="1"/>
        <v>-632761.19000000006</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8173.8899999999994</v>
      </c>
      <c r="G90" s="734">
        <v>88594.290000000008</v>
      </c>
      <c r="H90" s="734"/>
      <c r="I90" s="44">
        <f t="shared" si="1"/>
        <v>-88594.290000000008</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132930.51</v>
      </c>
      <c r="G92" s="734">
        <v>1438854.0000000002</v>
      </c>
      <c r="H92" s="734"/>
      <c r="I92" s="44">
        <f t="shared" si="1"/>
        <v>-1438854.0000000002</v>
      </c>
      <c r="J92" s="124" t="e">
        <f t="shared" si="2"/>
        <v>#DIV/0!</v>
      </c>
      <c r="K92" s="736"/>
    </row>
    <row r="93" spans="1:11" ht="12.75" customHeight="1" x14ac:dyDescent="0.25">
      <c r="A93" s="575" t="s">
        <v>448</v>
      </c>
      <c r="B93" s="169"/>
      <c r="C93" s="749"/>
      <c r="D93" s="754"/>
      <c r="E93" s="734"/>
      <c r="F93" s="734">
        <v>733942.78</v>
      </c>
      <c r="G93" s="734">
        <v>7954992.9300000006</v>
      </c>
      <c r="H93" s="734"/>
      <c r="I93" s="44">
        <f t="shared" si="1"/>
        <v>-7954992.9300000006</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60019.35</v>
      </c>
      <c r="G96" s="734">
        <v>650532.77</v>
      </c>
      <c r="H96" s="734"/>
      <c r="I96" s="44">
        <f t="shared" si="1"/>
        <v>-650532.77</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21">SUM(C100:C102)</f>
        <v>0</v>
      </c>
      <c r="D99" s="650">
        <f t="shared" si="21"/>
        <v>0</v>
      </c>
      <c r="E99" s="408">
        <f t="shared" si="21"/>
        <v>0</v>
      </c>
      <c r="F99" s="408">
        <f t="shared" si="21"/>
        <v>1413237.5300000003</v>
      </c>
      <c r="G99" s="408">
        <f t="shared" si="21"/>
        <v>15161975.109999996</v>
      </c>
      <c r="H99" s="408">
        <f t="shared" si="21"/>
        <v>0</v>
      </c>
      <c r="I99" s="258">
        <f t="shared" si="1"/>
        <v>-15161975.109999996</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1413237.5300000003</v>
      </c>
      <c r="G101" s="734">
        <v>15161975.109999996</v>
      </c>
      <c r="H101" s="734"/>
      <c r="I101" s="44">
        <f>H101-G101</f>
        <v>-15161975.109999996</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22">SUM(C104:C108)</f>
        <v>0</v>
      </c>
      <c r="D103" s="264">
        <f t="shared" si="22"/>
        <v>0</v>
      </c>
      <c r="E103" s="99">
        <f t="shared" si="22"/>
        <v>0</v>
      </c>
      <c r="F103" s="99">
        <f t="shared" si="22"/>
        <v>0</v>
      </c>
      <c r="G103" s="99">
        <f t="shared" si="22"/>
        <v>0</v>
      </c>
      <c r="H103" s="99">
        <f t="shared" si="22"/>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23">+C111+C114</f>
        <v>0</v>
      </c>
      <c r="D110" s="578">
        <f t="shared" si="23"/>
        <v>0</v>
      </c>
      <c r="E110" s="579">
        <f t="shared" si="23"/>
        <v>0</v>
      </c>
      <c r="F110" s="579">
        <f t="shared" si="23"/>
        <v>0</v>
      </c>
      <c r="G110" s="579">
        <f t="shared" si="23"/>
        <v>0</v>
      </c>
      <c r="H110" s="579">
        <f t="shared" si="23"/>
        <v>0</v>
      </c>
      <c r="I110" s="99">
        <f t="shared" si="1"/>
        <v>0</v>
      </c>
      <c r="J110" s="324" t="str">
        <f t="shared" si="2"/>
        <v/>
      </c>
      <c r="K110" s="581">
        <f>+K111+K114</f>
        <v>0</v>
      </c>
    </row>
    <row r="111" spans="1:11" ht="12.75" customHeight="1" x14ac:dyDescent="0.25">
      <c r="A111" s="518" t="s">
        <v>1307</v>
      </c>
      <c r="B111" s="169"/>
      <c r="C111" s="649">
        <f t="shared" ref="C111:H111" si="24">SUM(C112:C113)</f>
        <v>0</v>
      </c>
      <c r="D111" s="650">
        <f t="shared" si="24"/>
        <v>0</v>
      </c>
      <c r="E111" s="408">
        <f t="shared" si="24"/>
        <v>0</v>
      </c>
      <c r="F111" s="408">
        <f t="shared" si="24"/>
        <v>0</v>
      </c>
      <c r="G111" s="408">
        <f t="shared" si="24"/>
        <v>0</v>
      </c>
      <c r="H111" s="408">
        <f t="shared" si="24"/>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5">SUM(C115:C116)</f>
        <v>0</v>
      </c>
      <c r="D114" s="650">
        <f t="shared" si="25"/>
        <v>0</v>
      </c>
      <c r="E114" s="408">
        <f t="shared" si="25"/>
        <v>0</v>
      </c>
      <c r="F114" s="408">
        <f t="shared" si="25"/>
        <v>0</v>
      </c>
      <c r="G114" s="408">
        <f t="shared" si="25"/>
        <v>0</v>
      </c>
      <c r="H114" s="408">
        <f t="shared" si="25"/>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26">+C118+C130</f>
        <v>0</v>
      </c>
      <c r="D117" s="578">
        <f t="shared" si="26"/>
        <v>93436805.599999964</v>
      </c>
      <c r="E117" s="579">
        <f t="shared" si="26"/>
        <v>93436805.599999964</v>
      </c>
      <c r="F117" s="579">
        <f t="shared" si="26"/>
        <v>2395265.9900000002</v>
      </c>
      <c r="G117" s="579">
        <f t="shared" si="26"/>
        <v>25850000.310000032</v>
      </c>
      <c r="H117" s="579">
        <f t="shared" si="26"/>
        <v>85650405.13333331</v>
      </c>
      <c r="I117" s="579">
        <f t="shared" si="1"/>
        <v>59800404.823333278</v>
      </c>
      <c r="J117" s="580">
        <f t="shared" si="2"/>
        <v>0.69819173336356155</v>
      </c>
      <c r="K117" s="581">
        <f>+K118+K130</f>
        <v>93436805.599999964</v>
      </c>
    </row>
    <row r="118" spans="1:11" ht="12.75" customHeight="1" x14ac:dyDescent="0.25">
      <c r="A118" s="518" t="s">
        <v>1311</v>
      </c>
      <c r="B118" s="169"/>
      <c r="C118" s="649">
        <f t="shared" ref="C118:H118" si="27">SUM(C119:C129)</f>
        <v>0</v>
      </c>
      <c r="D118" s="650">
        <f t="shared" si="27"/>
        <v>93436805.599999964</v>
      </c>
      <c r="E118" s="408">
        <f t="shared" si="27"/>
        <v>93436805.599999964</v>
      </c>
      <c r="F118" s="408">
        <f t="shared" si="27"/>
        <v>2379989.2200000002</v>
      </c>
      <c r="G118" s="408">
        <f t="shared" si="27"/>
        <v>25684419.600000031</v>
      </c>
      <c r="H118" s="408">
        <f t="shared" si="27"/>
        <v>85650405.13333331</v>
      </c>
      <c r="I118" s="258">
        <f t="shared" si="1"/>
        <v>59965985.533333279</v>
      </c>
      <c r="J118" s="576">
        <f t="shared" si="2"/>
        <v>0.70012494908790335</v>
      </c>
      <c r="K118" s="643">
        <f>SUM(K119:K129)</f>
        <v>93436805.599999964</v>
      </c>
    </row>
    <row r="119" spans="1:11" ht="12.75" customHeight="1" x14ac:dyDescent="0.25">
      <c r="A119" s="575" t="s">
        <v>1312</v>
      </c>
      <c r="B119" s="169"/>
      <c r="C119" s="749"/>
      <c r="D119" s="754">
        <v>93436805.599999964</v>
      </c>
      <c r="E119" s="734">
        <v>93436805.599999964</v>
      </c>
      <c r="F119" s="734">
        <v>2297295.06</v>
      </c>
      <c r="G119" s="734">
        <v>24788121.73000003</v>
      </c>
      <c r="H119" s="734">
        <f t="shared" ref="H119" si="28">E119/12*11</f>
        <v>85650405.13333331</v>
      </c>
      <c r="I119" s="44">
        <f t="shared" si="1"/>
        <v>60862283.403333277</v>
      </c>
      <c r="J119" s="124">
        <f t="shared" si="2"/>
        <v>0.7105895565652961</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82694.16</v>
      </c>
      <c r="G122" s="734">
        <v>896297.86999999988</v>
      </c>
      <c r="H122" s="734"/>
      <c r="I122" s="44">
        <f t="shared" si="1"/>
        <v>-896297.86999999988</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9">SUM(C131:C133)</f>
        <v>0</v>
      </c>
      <c r="D130" s="650">
        <f t="shared" si="29"/>
        <v>0</v>
      </c>
      <c r="E130" s="408">
        <f t="shared" si="29"/>
        <v>0</v>
      </c>
      <c r="F130" s="408">
        <f t="shared" si="29"/>
        <v>15276.769999999999</v>
      </c>
      <c r="G130" s="408">
        <f t="shared" si="29"/>
        <v>165580.70999999996</v>
      </c>
      <c r="H130" s="408">
        <f t="shared" si="29"/>
        <v>0</v>
      </c>
      <c r="I130" s="258">
        <f t="shared" si="1"/>
        <v>-165580.70999999996</v>
      </c>
      <c r="J130" s="576" t="e">
        <f t="shared" si="2"/>
        <v>#DIV/0!</v>
      </c>
      <c r="K130" s="643">
        <f>SUM(K131:K133)</f>
        <v>0</v>
      </c>
    </row>
    <row r="131" spans="1:11" ht="12.75" customHeight="1" x14ac:dyDescent="0.25">
      <c r="A131" s="575" t="s">
        <v>1322</v>
      </c>
      <c r="B131" s="169"/>
      <c r="C131" s="749"/>
      <c r="D131" s="754"/>
      <c r="E131" s="734"/>
      <c r="F131" s="734">
        <v>3079.17</v>
      </c>
      <c r="G131" s="734">
        <v>33374.44</v>
      </c>
      <c r="H131" s="734"/>
      <c r="I131" s="44">
        <f t="shared" si="1"/>
        <v>-33374.44</v>
      </c>
      <c r="J131" s="124" t="e">
        <f t="shared" si="2"/>
        <v>#DIV/0!</v>
      </c>
      <c r="K131" s="736"/>
    </row>
    <row r="132" spans="1:11" ht="12.75" customHeight="1" x14ac:dyDescent="0.25">
      <c r="A132" s="575" t="s">
        <v>1323</v>
      </c>
      <c r="B132" s="169"/>
      <c r="C132" s="749"/>
      <c r="D132" s="754"/>
      <c r="E132" s="734"/>
      <c r="F132" s="734">
        <v>12197.599999999999</v>
      </c>
      <c r="G132" s="734">
        <v>132206.26999999996</v>
      </c>
      <c r="H132" s="734"/>
      <c r="I132" s="44">
        <f t="shared" si="1"/>
        <v>-132206.26999999996</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30">SUM(C136:C136)</f>
        <v>0</v>
      </c>
      <c r="D135" s="578">
        <f t="shared" si="30"/>
        <v>0</v>
      </c>
      <c r="E135" s="579">
        <f t="shared" si="30"/>
        <v>0</v>
      </c>
      <c r="F135" s="579">
        <f t="shared" si="30"/>
        <v>0</v>
      </c>
      <c r="G135" s="579">
        <f t="shared" si="30"/>
        <v>0</v>
      </c>
      <c r="H135" s="579">
        <f t="shared" si="30"/>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31">IF(I137=0,"",I137/H137)</f>
        <v/>
      </c>
      <c r="K137" s="144"/>
    </row>
    <row r="138" spans="1:11" s="100" customFormat="1" ht="12.75" customHeight="1" x14ac:dyDescent="0.25">
      <c r="A138" s="550" t="s">
        <v>1325</v>
      </c>
      <c r="B138" s="171"/>
      <c r="C138" s="941">
        <f t="shared" ref="C138:H138" si="32">SUM(C139:C140)</f>
        <v>0</v>
      </c>
      <c r="D138" s="942">
        <f t="shared" si="32"/>
        <v>16465275.750000004</v>
      </c>
      <c r="E138" s="943">
        <f t="shared" si="32"/>
        <v>16465275.750000004</v>
      </c>
      <c r="F138" s="943">
        <f t="shared" si="32"/>
        <v>-52289460.300000004</v>
      </c>
      <c r="G138" s="943">
        <f t="shared" si="32"/>
        <v>-42247031.579999998</v>
      </c>
      <c r="H138" s="943">
        <f t="shared" si="32"/>
        <v>15093169.437500002</v>
      </c>
      <c r="I138" s="943">
        <f t="shared" ref="I138:I146" si="33">H138-G138</f>
        <v>57340201.017499998</v>
      </c>
      <c r="J138" s="324">
        <f t="shared" si="31"/>
        <v>3.7990828404161676</v>
      </c>
      <c r="K138" s="944">
        <f>SUM(K139:K140)</f>
        <v>16465275.750000004</v>
      </c>
    </row>
    <row r="139" spans="1:11" ht="12.75" customHeight="1" x14ac:dyDescent="0.25">
      <c r="A139" s="517" t="s">
        <v>1326</v>
      </c>
      <c r="B139" s="169"/>
      <c r="C139" s="749"/>
      <c r="D139" s="754"/>
      <c r="E139" s="734"/>
      <c r="F139" s="734"/>
      <c r="G139" s="734"/>
      <c r="H139" s="734"/>
      <c r="I139" s="44">
        <f t="shared" si="33"/>
        <v>0</v>
      </c>
      <c r="J139" s="124" t="str">
        <f t="shared" si="31"/>
        <v/>
      </c>
      <c r="K139" s="736"/>
    </row>
    <row r="140" spans="1:11" ht="12.75" customHeight="1" x14ac:dyDescent="0.25">
      <c r="A140" s="517" t="s">
        <v>1327</v>
      </c>
      <c r="B140" s="169"/>
      <c r="C140" s="649">
        <f t="shared" ref="C140:H140" si="34">SUM(C141:C146)</f>
        <v>0</v>
      </c>
      <c r="D140" s="650">
        <f t="shared" si="34"/>
        <v>16465275.750000004</v>
      </c>
      <c r="E140" s="408">
        <f t="shared" si="34"/>
        <v>16465275.750000004</v>
      </c>
      <c r="F140" s="408">
        <f t="shared" si="34"/>
        <v>-52289460.300000004</v>
      </c>
      <c r="G140" s="408">
        <f t="shared" si="34"/>
        <v>-42247031.579999998</v>
      </c>
      <c r="H140" s="408">
        <f t="shared" si="34"/>
        <v>15093169.437500002</v>
      </c>
      <c r="I140" s="258">
        <f t="shared" si="33"/>
        <v>57340201.017499998</v>
      </c>
      <c r="J140" s="576">
        <f t="shared" si="31"/>
        <v>3.7990828404161676</v>
      </c>
      <c r="K140" s="643">
        <f>SUM(K141:K146)</f>
        <v>16465275.750000004</v>
      </c>
    </row>
    <row r="141" spans="1:11" ht="12.75" customHeight="1" x14ac:dyDescent="0.25">
      <c r="A141" s="575" t="s">
        <v>1328</v>
      </c>
      <c r="B141" s="169"/>
      <c r="C141" s="749"/>
      <c r="D141" s="754"/>
      <c r="E141" s="734"/>
      <c r="F141" s="734"/>
      <c r="G141" s="734"/>
      <c r="H141" s="734"/>
      <c r="I141" s="44">
        <f t="shared" si="33"/>
        <v>0</v>
      </c>
      <c r="J141" s="124" t="str">
        <f t="shared" si="31"/>
        <v/>
      </c>
      <c r="K141" s="736"/>
    </row>
    <row r="142" spans="1:11" ht="12.75" customHeight="1" x14ac:dyDescent="0.25">
      <c r="A142" s="575" t="s">
        <v>1329</v>
      </c>
      <c r="B142" s="169"/>
      <c r="C142" s="749"/>
      <c r="D142" s="754"/>
      <c r="E142" s="734"/>
      <c r="F142" s="734"/>
      <c r="G142" s="734"/>
      <c r="H142" s="734"/>
      <c r="I142" s="44">
        <f t="shared" si="33"/>
        <v>0</v>
      </c>
      <c r="J142" s="124" t="str">
        <f t="shared" si="31"/>
        <v/>
      </c>
      <c r="K142" s="736"/>
    </row>
    <row r="143" spans="1:11" ht="12.75" customHeight="1" x14ac:dyDescent="0.25">
      <c r="A143" s="575" t="s">
        <v>1330</v>
      </c>
      <c r="B143" s="169"/>
      <c r="C143" s="749"/>
      <c r="D143" s="754"/>
      <c r="E143" s="734"/>
      <c r="F143" s="734"/>
      <c r="G143" s="734"/>
      <c r="H143" s="734"/>
      <c r="I143" s="44">
        <f t="shared" si="33"/>
        <v>0</v>
      </c>
      <c r="J143" s="124" t="str">
        <f t="shared" si="31"/>
        <v/>
      </c>
      <c r="K143" s="736"/>
    </row>
    <row r="144" spans="1:11" ht="12.75" customHeight="1" x14ac:dyDescent="0.25">
      <c r="A144" s="575" t="s">
        <v>1331</v>
      </c>
      <c r="B144" s="169"/>
      <c r="C144" s="749"/>
      <c r="D144" s="754">
        <v>16465275.750000004</v>
      </c>
      <c r="E144" s="734">
        <v>16465275.750000004</v>
      </c>
      <c r="F144" s="734">
        <v>-52289460.300000004</v>
      </c>
      <c r="G144" s="734">
        <v>-42247031.579999998</v>
      </c>
      <c r="H144" s="734">
        <f t="shared" ref="H144" si="35">E144/12*11</f>
        <v>15093169.437500002</v>
      </c>
      <c r="I144" s="44">
        <f t="shared" si="33"/>
        <v>57340201.017499998</v>
      </c>
      <c r="J144" s="124">
        <f t="shared" si="31"/>
        <v>3.7990828404161676</v>
      </c>
      <c r="K144" s="736">
        <f>E144</f>
        <v>16465275.750000004</v>
      </c>
    </row>
    <row r="145" spans="1:12" ht="12.75" customHeight="1" x14ac:dyDescent="0.25">
      <c r="A145" s="575" t="s">
        <v>1332</v>
      </c>
      <c r="B145" s="169"/>
      <c r="C145" s="749"/>
      <c r="D145" s="754"/>
      <c r="E145" s="734"/>
      <c r="F145" s="734"/>
      <c r="G145" s="734"/>
      <c r="H145" s="734"/>
      <c r="I145" s="44">
        <f t="shared" si="33"/>
        <v>0</v>
      </c>
      <c r="J145" s="124" t="str">
        <f t="shared" si="31"/>
        <v/>
      </c>
      <c r="K145" s="736"/>
    </row>
    <row r="146" spans="1:12" ht="12.75" customHeight="1" x14ac:dyDescent="0.25">
      <c r="A146" s="575" t="s">
        <v>1333</v>
      </c>
      <c r="B146" s="169"/>
      <c r="C146" s="749"/>
      <c r="D146" s="754"/>
      <c r="E146" s="734"/>
      <c r="F146" s="734"/>
      <c r="G146" s="734"/>
      <c r="H146" s="734"/>
      <c r="I146" s="44">
        <f t="shared" si="33"/>
        <v>0</v>
      </c>
      <c r="J146" s="124" t="str">
        <f t="shared" si="31"/>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6235493.2899999982</v>
      </c>
      <c r="E148" s="579">
        <f t="shared" si="36"/>
        <v>6235493.2899999982</v>
      </c>
      <c r="F148" s="579">
        <f t="shared" si="36"/>
        <v>1020380.6299999999</v>
      </c>
      <c r="G148" s="579">
        <f t="shared" si="36"/>
        <v>11421718.270000003</v>
      </c>
      <c r="H148" s="579">
        <f t="shared" si="36"/>
        <v>5715868.8491666652</v>
      </c>
      <c r="I148" s="579">
        <f>H148-G148</f>
        <v>-5705849.4208333381</v>
      </c>
      <c r="J148" s="324">
        <f>IF(I148=0,"",I148/H148)</f>
        <v>-0.99824708568413223</v>
      </c>
      <c r="K148" s="581">
        <f>SUM(K149)</f>
        <v>6235493.2899999982</v>
      </c>
    </row>
    <row r="149" spans="1:12" ht="12.75" customHeight="1" x14ac:dyDescent="0.25">
      <c r="A149" s="518" t="s">
        <v>1334</v>
      </c>
      <c r="B149" s="169"/>
      <c r="C149" s="749"/>
      <c r="D149" s="754">
        <v>6235493.2899999982</v>
      </c>
      <c r="E149" s="734">
        <v>6235493.2899999982</v>
      </c>
      <c r="F149" s="734">
        <v>1020380.6299999999</v>
      </c>
      <c r="G149" s="734">
        <v>11421718.270000003</v>
      </c>
      <c r="H149" s="734">
        <f t="shared" ref="H149" si="37">E149/12*11</f>
        <v>5715868.8491666652</v>
      </c>
      <c r="I149" s="44">
        <f>H149-G149</f>
        <v>-5705849.4208333381</v>
      </c>
      <c r="J149" s="124">
        <f>IF(I149=0,"",I149/H149)</f>
        <v>-0.99824708568413223</v>
      </c>
      <c r="K149" s="736">
        <f>E149</f>
        <v>6235493.2899999982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8">SUM(C152:C152)</f>
        <v>0</v>
      </c>
      <c r="D151" s="578">
        <f t="shared" si="38"/>
        <v>5314007.6100000003</v>
      </c>
      <c r="E151" s="579">
        <f t="shared" si="38"/>
        <v>5314007.6100000003</v>
      </c>
      <c r="F151" s="579">
        <f t="shared" si="38"/>
        <v>173935.91999999993</v>
      </c>
      <c r="G151" s="579">
        <f t="shared" si="38"/>
        <v>1917034.2999999991</v>
      </c>
      <c r="H151" s="579">
        <f t="shared" si="38"/>
        <v>4871173.6425000001</v>
      </c>
      <c r="I151" s="579">
        <f>H151-G151</f>
        <v>2954139.3425000012</v>
      </c>
      <c r="J151" s="324">
        <f>IF(I151=0,"",I151/H151)</f>
        <v>0.60645330249074592</v>
      </c>
      <c r="K151" s="581">
        <f>SUM(K152)</f>
        <v>5314007.6100000003</v>
      </c>
    </row>
    <row r="152" spans="1:12" ht="12.75" customHeight="1" x14ac:dyDescent="0.25">
      <c r="A152" s="518" t="s">
        <v>1335</v>
      </c>
      <c r="B152" s="169"/>
      <c r="C152" s="749"/>
      <c r="D152" s="754">
        <v>5314007.6100000003</v>
      </c>
      <c r="E152" s="734">
        <v>5314007.6100000003</v>
      </c>
      <c r="F152" s="734">
        <v>173935.91999999993</v>
      </c>
      <c r="G152" s="734">
        <v>1917034.2999999991</v>
      </c>
      <c r="H152" s="734">
        <f t="shared" ref="H152" si="39">E152/12*11</f>
        <v>4871173.6425000001</v>
      </c>
      <c r="I152" s="44">
        <f>H152-G152</f>
        <v>2954139.3425000012</v>
      </c>
      <c r="J152" s="124">
        <f>IF(I152=0,"",I152/H152)</f>
        <v>0.60645330249074592</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40">SUM(C155:C155)</f>
        <v>0</v>
      </c>
      <c r="D154" s="578">
        <f t="shared" si="40"/>
        <v>83027498.35000062</v>
      </c>
      <c r="E154" s="579">
        <f t="shared" si="40"/>
        <v>83027498.35000062</v>
      </c>
      <c r="F154" s="579">
        <f t="shared" si="40"/>
        <v>910939.51000000047</v>
      </c>
      <c r="G154" s="579">
        <f t="shared" si="40"/>
        <v>10194684.880000005</v>
      </c>
      <c r="H154" s="579">
        <f t="shared" si="40"/>
        <v>76108540.154167235</v>
      </c>
      <c r="I154" s="579">
        <f>H154-G154</f>
        <v>65913855.274167232</v>
      </c>
      <c r="J154" s="324">
        <f>IF(I154=0,"",I154/H154)</f>
        <v>0.8660507104807238</v>
      </c>
      <c r="K154" s="581">
        <f>SUM(K155)</f>
        <v>83027498.35000062</v>
      </c>
    </row>
    <row r="155" spans="1:12" ht="12.75" customHeight="1" x14ac:dyDescent="0.25">
      <c r="A155" s="518" t="s">
        <v>1336</v>
      </c>
      <c r="B155" s="169"/>
      <c r="C155" s="749"/>
      <c r="D155" s="754">
        <v>83027498.35000062</v>
      </c>
      <c r="E155" s="734">
        <v>83027498.35000062</v>
      </c>
      <c r="F155" s="734">
        <v>910939.51000000047</v>
      </c>
      <c r="G155" s="734">
        <v>10194684.880000005</v>
      </c>
      <c r="H155" s="734">
        <f t="shared" ref="H155" si="41">E155/12*11</f>
        <v>76108540.154167235</v>
      </c>
      <c r="I155" s="44">
        <f>H155-G155</f>
        <v>65913855.274167232</v>
      </c>
      <c r="J155" s="124">
        <f>IF(I155=0,"",I155/H155)</f>
        <v>0.8660507104807238</v>
      </c>
      <c r="K155" s="736">
        <f>E155</f>
        <v>83027498.35000062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42">SUM(C158:C158)</f>
        <v>0</v>
      </c>
      <c r="D157" s="578">
        <f t="shared" si="42"/>
        <v>0</v>
      </c>
      <c r="E157" s="579">
        <f t="shared" si="42"/>
        <v>0</v>
      </c>
      <c r="F157" s="579">
        <f t="shared" si="42"/>
        <v>1422764.6599999995</v>
      </c>
      <c r="G157" s="579">
        <f t="shared" si="42"/>
        <v>15357765.739999996</v>
      </c>
      <c r="H157" s="579">
        <f t="shared" si="42"/>
        <v>0</v>
      </c>
      <c r="I157" s="579">
        <f>H157-G157</f>
        <v>-15357765.739999996</v>
      </c>
      <c r="J157" s="324" t="e">
        <f>IF(I157=0,"",I157/H157)</f>
        <v>#DIV/0!</v>
      </c>
      <c r="K157" s="581">
        <f>SUM(K158)</f>
        <v>0</v>
      </c>
    </row>
    <row r="158" spans="1:12" ht="12.75" customHeight="1" x14ac:dyDescent="0.25">
      <c r="A158" s="518" t="s">
        <v>1337</v>
      </c>
      <c r="B158" s="169"/>
      <c r="C158" s="749"/>
      <c r="D158" s="754"/>
      <c r="E158" s="734"/>
      <c r="F158" s="734">
        <v>1422764.6599999995</v>
      </c>
      <c r="G158" s="734">
        <v>15357765.739999996</v>
      </c>
      <c r="H158" s="734"/>
      <c r="I158" s="44">
        <f>H158-G158</f>
        <v>-15357765.739999996</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3">SUM(C161:C161)</f>
        <v>0</v>
      </c>
      <c r="D160" s="578">
        <f t="shared" si="43"/>
        <v>0</v>
      </c>
      <c r="E160" s="579">
        <f t="shared" si="43"/>
        <v>0</v>
      </c>
      <c r="F160" s="579">
        <f t="shared" si="43"/>
        <v>0</v>
      </c>
      <c r="G160" s="579">
        <f t="shared" si="43"/>
        <v>0</v>
      </c>
      <c r="H160" s="579">
        <f t="shared" si="43"/>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4">SUM(C164:C164)</f>
        <v>0</v>
      </c>
      <c r="D163" s="578">
        <f t="shared" si="44"/>
        <v>0</v>
      </c>
      <c r="E163" s="579">
        <f t="shared" si="44"/>
        <v>0</v>
      </c>
      <c r="F163" s="579">
        <f t="shared" si="44"/>
        <v>0</v>
      </c>
      <c r="G163" s="579">
        <f t="shared" si="44"/>
        <v>0</v>
      </c>
      <c r="H163" s="579">
        <f t="shared" si="44"/>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45">C7+C75+C103+C110+C117+C135+C138+C148+C151+C154+C157+C160+C163</f>
        <v>0</v>
      </c>
      <c r="D166" s="271">
        <f t="shared" si="45"/>
        <v>492025080.2500006</v>
      </c>
      <c r="E166" s="55">
        <f t="shared" si="45"/>
        <v>492025080.2500006</v>
      </c>
      <c r="F166" s="55">
        <f t="shared" si="45"/>
        <v>-13414445.899999999</v>
      </c>
      <c r="G166" s="55">
        <f t="shared" si="45"/>
        <v>377288463.41000009</v>
      </c>
      <c r="H166" s="55">
        <f t="shared" si="45"/>
        <v>451022990.22916722</v>
      </c>
      <c r="I166" s="55">
        <f t="shared" si="1"/>
        <v>73734526.819167137</v>
      </c>
      <c r="J166" s="290">
        <f t="shared" si="2"/>
        <v>0.16348285656503281</v>
      </c>
      <c r="K166" s="235">
        <f>K7+K75+K103+K110+K117+K135+K138+K148+K151+K154+K157+K160+K163</f>
        <v>492025080.2500006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tabSelected="1" workbookViewId="0">
      <pane xSplit="2" ySplit="4" topLeftCell="C5" activePane="bottomRight" state="frozen"/>
      <selection pane="topRight"/>
      <selection pane="bottomLeft"/>
      <selection pane="bottomRight" activeCell="D120" sqref="D12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2" t="str">
        <f>muni&amp; " - "&amp;S71Se&amp; " - "&amp;Head57</f>
        <v>KZN225 Msunduzi - Supporting Table SC13e Monthly Budget Statement - capital expenditure on upgrading of existing assets by asset class - M10 April</v>
      </c>
      <c r="B1" s="1042"/>
      <c r="C1" s="1042"/>
      <c r="D1" s="1042"/>
      <c r="E1" s="1042"/>
      <c r="F1" s="1042"/>
      <c r="G1" s="1042"/>
      <c r="H1" s="1042"/>
      <c r="I1" s="1042"/>
      <c r="J1" s="1042"/>
      <c r="K1" s="1042"/>
    </row>
    <row r="2" spans="1:11" x14ac:dyDescent="0.25">
      <c r="A2" s="1027" t="str">
        <f>desc</f>
        <v>Description</v>
      </c>
      <c r="B2" s="1020" t="str">
        <f>head27</f>
        <v>Ref</v>
      </c>
      <c r="C2" s="139" t="str">
        <f>Head1</f>
        <v>2018/19</v>
      </c>
      <c r="D2" s="245" t="str">
        <f>Head2</f>
        <v>Budget Year 2019/20</v>
      </c>
      <c r="E2" s="229"/>
      <c r="F2" s="229"/>
      <c r="G2" s="229"/>
      <c r="H2" s="229"/>
      <c r="I2" s="229"/>
      <c r="J2" s="229"/>
      <c r="K2" s="230"/>
    </row>
    <row r="3" spans="1:11" ht="25.5" x14ac:dyDescent="0.25">
      <c r="A3" s="1028"/>
      <c r="B3" s="1031"/>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198346244.40000001</v>
      </c>
      <c r="F7" s="102">
        <f t="shared" si="0"/>
        <v>0</v>
      </c>
      <c r="G7" s="102">
        <f t="shared" si="0"/>
        <v>0</v>
      </c>
      <c r="H7" s="102">
        <f t="shared" si="0"/>
        <v>181817390.69999999</v>
      </c>
      <c r="I7" s="101">
        <f t="shared" ref="I7:I133" si="1">H7-G7</f>
        <v>181817390.69999999</v>
      </c>
      <c r="J7" s="580">
        <f t="shared" ref="J7:J136" si="2">IF(I7=0,"",I7/H7)</f>
        <v>1</v>
      </c>
      <c r="K7" s="604">
        <f>K8+K13+K17+K27+K38+K45+K53+K63+K69</f>
        <v>198346244.40000001</v>
      </c>
    </row>
    <row r="8" spans="1:11" ht="12.75" customHeight="1" x14ac:dyDescent="0.25">
      <c r="A8" s="518" t="s">
        <v>1229</v>
      </c>
      <c r="B8" s="169"/>
      <c r="C8" s="678">
        <f t="shared" ref="C8:H8" si="3">SUM(C9:C12)</f>
        <v>0</v>
      </c>
      <c r="D8" s="610">
        <f t="shared" si="3"/>
        <v>108700000.40000001</v>
      </c>
      <c r="E8" s="609">
        <f t="shared" si="3"/>
        <v>108700000.40000001</v>
      </c>
      <c r="F8" s="609">
        <f t="shared" si="3"/>
        <v>0</v>
      </c>
      <c r="G8" s="609">
        <f t="shared" si="3"/>
        <v>0</v>
      </c>
      <c r="H8" s="609">
        <f t="shared" si="3"/>
        <v>99641667.033333331</v>
      </c>
      <c r="I8" s="258">
        <f t="shared" si="1"/>
        <v>99641667.033333331</v>
      </c>
      <c r="J8" s="576">
        <f t="shared" si="2"/>
        <v>1</v>
      </c>
      <c r="K8" s="611">
        <f>SUM(K9:K12)</f>
        <v>108700000.40000001</v>
      </c>
    </row>
    <row r="9" spans="1:11" ht="12.75" customHeight="1" x14ac:dyDescent="0.25">
      <c r="A9" s="575" t="s">
        <v>174</v>
      </c>
      <c r="B9" s="169"/>
      <c r="C9" s="749"/>
      <c r="D9" s="746">
        <v>108700000.40000001</v>
      </c>
      <c r="E9" s="734">
        <v>108700000.40000001</v>
      </c>
      <c r="F9" s="734"/>
      <c r="G9" s="734"/>
      <c r="H9" s="734">
        <f t="shared" ref="H9" si="4">E9/12*11</f>
        <v>99641667.033333331</v>
      </c>
      <c r="I9" s="258">
        <f t="shared" si="1"/>
        <v>99641667.033333331</v>
      </c>
      <c r="J9" s="576">
        <f t="shared" si="2"/>
        <v>1</v>
      </c>
      <c r="K9" s="736">
        <f>E9</f>
        <v>108700000.40000001</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5">SUM(C14:C16)</f>
        <v>0</v>
      </c>
      <c r="D13" s="650">
        <f t="shared" si="5"/>
        <v>0</v>
      </c>
      <c r="E13" s="408">
        <f t="shared" si="5"/>
        <v>0</v>
      </c>
      <c r="F13" s="408">
        <f t="shared" si="5"/>
        <v>0</v>
      </c>
      <c r="G13" s="408">
        <f t="shared" si="5"/>
        <v>0</v>
      </c>
      <c r="H13" s="408">
        <f t="shared" si="5"/>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6">SUM(C18:C26)</f>
        <v>0</v>
      </c>
      <c r="D17" s="650">
        <f t="shared" si="6"/>
        <v>56290000</v>
      </c>
      <c r="E17" s="408">
        <f t="shared" si="6"/>
        <v>56290000</v>
      </c>
      <c r="F17" s="408">
        <f t="shared" si="6"/>
        <v>0</v>
      </c>
      <c r="G17" s="408">
        <f t="shared" si="6"/>
        <v>0</v>
      </c>
      <c r="H17" s="408">
        <f t="shared" si="6"/>
        <v>51599166.666666664</v>
      </c>
      <c r="I17" s="258">
        <f t="shared" si="1"/>
        <v>51599166.666666664</v>
      </c>
      <c r="J17" s="576">
        <f t="shared" si="2"/>
        <v>1</v>
      </c>
      <c r="K17" s="643">
        <f>SUM(K18:K26)</f>
        <v>56290000</v>
      </c>
    </row>
    <row r="18" spans="1:11" ht="12.75" customHeight="1" x14ac:dyDescent="0.25">
      <c r="A18" s="575" t="s">
        <v>1238</v>
      </c>
      <c r="B18" s="169"/>
      <c r="C18" s="749"/>
      <c r="D18" s="746">
        <v>56290000</v>
      </c>
      <c r="E18" s="734">
        <v>56290000</v>
      </c>
      <c r="F18" s="734"/>
      <c r="G18" s="734"/>
      <c r="H18" s="734">
        <f t="shared" ref="H18" si="7">E18/12*11</f>
        <v>51599166.666666664</v>
      </c>
      <c r="I18" s="258">
        <f t="shared" si="1"/>
        <v>51599166.666666664</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8">SUM(C28:C37)</f>
        <v>0</v>
      </c>
      <c r="D27" s="650">
        <f t="shared" si="8"/>
        <v>19000000</v>
      </c>
      <c r="E27" s="408">
        <f t="shared" si="8"/>
        <v>19000000</v>
      </c>
      <c r="F27" s="408">
        <f t="shared" si="8"/>
        <v>0</v>
      </c>
      <c r="G27" s="408">
        <f t="shared" si="8"/>
        <v>0</v>
      </c>
      <c r="H27" s="408">
        <f t="shared" si="8"/>
        <v>17416666.666666664</v>
      </c>
      <c r="I27" s="258">
        <f t="shared" si="1"/>
        <v>17416666.666666664</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 t="shared" ref="H30" si="9">E30/12*11</f>
        <v>17416666.666666664</v>
      </c>
      <c r="I30" s="258">
        <f t="shared" si="1"/>
        <v>17416666.666666664</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10">SUM(C39:C44)</f>
        <v>0</v>
      </c>
      <c r="D38" s="650">
        <f t="shared" si="10"/>
        <v>0</v>
      </c>
      <c r="E38" s="408">
        <f t="shared" si="10"/>
        <v>0</v>
      </c>
      <c r="F38" s="408">
        <f t="shared" si="10"/>
        <v>0</v>
      </c>
      <c r="G38" s="408">
        <f t="shared" si="10"/>
        <v>0</v>
      </c>
      <c r="H38" s="408">
        <f t="shared" si="10"/>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11">SUM(C46:C52)</f>
        <v>0</v>
      </c>
      <c r="D45" s="650">
        <f t="shared" si="11"/>
        <v>14356244</v>
      </c>
      <c r="E45" s="408">
        <f t="shared" si="11"/>
        <v>14356244</v>
      </c>
      <c r="F45" s="408">
        <f t="shared" si="11"/>
        <v>0</v>
      </c>
      <c r="G45" s="408">
        <f t="shared" si="11"/>
        <v>0</v>
      </c>
      <c r="H45" s="408">
        <f t="shared" si="11"/>
        <v>13159890.333333334</v>
      </c>
      <c r="I45" s="258">
        <f t="shared" si="1"/>
        <v>13159890.333333334</v>
      </c>
      <c r="J45" s="576">
        <f t="shared" si="2"/>
        <v>1</v>
      </c>
      <c r="K45" s="643">
        <f>SUM(K46:K52)</f>
        <v>14356244</v>
      </c>
    </row>
    <row r="46" spans="1:11" ht="12.75" customHeight="1" x14ac:dyDescent="0.25">
      <c r="A46" s="575" t="s">
        <v>1262</v>
      </c>
      <c r="B46" s="169"/>
      <c r="C46" s="749"/>
      <c r="D46" s="746">
        <v>14356244</v>
      </c>
      <c r="E46" s="734">
        <v>14356244</v>
      </c>
      <c r="F46" s="734"/>
      <c r="G46" s="734"/>
      <c r="H46" s="734">
        <f t="shared" ref="H46" si="12">E46/12*11</f>
        <v>13159890.333333334</v>
      </c>
      <c r="I46" s="258">
        <f t="shared" si="1"/>
        <v>13159890.333333334</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6">+C76+C99</f>
        <v>0</v>
      </c>
      <c r="D75" s="578">
        <f t="shared" si="16"/>
        <v>0</v>
      </c>
      <c r="E75" s="579">
        <f t="shared" si="16"/>
        <v>0</v>
      </c>
      <c r="F75" s="579">
        <f t="shared" si="16"/>
        <v>0</v>
      </c>
      <c r="G75" s="579">
        <f t="shared" si="16"/>
        <v>0</v>
      </c>
      <c r="H75" s="579">
        <f t="shared" si="16"/>
        <v>0</v>
      </c>
      <c r="I75" s="579">
        <f t="shared" si="1"/>
        <v>0</v>
      </c>
      <c r="J75" s="580" t="str">
        <f t="shared" si="2"/>
        <v/>
      </c>
      <c r="K75" s="581">
        <f>+K76+K99</f>
        <v>0</v>
      </c>
    </row>
    <row r="76" spans="1:11" ht="12.75" customHeight="1" x14ac:dyDescent="0.25">
      <c r="A76" s="518" t="s">
        <v>1281</v>
      </c>
      <c r="B76" s="169"/>
      <c r="C76" s="649">
        <f t="shared" ref="C76:H76" si="17">SUM(C77:C98)</f>
        <v>0</v>
      </c>
      <c r="D76" s="650">
        <f t="shared" si="17"/>
        <v>0</v>
      </c>
      <c r="E76" s="408">
        <f t="shared" si="17"/>
        <v>0</v>
      </c>
      <c r="F76" s="408">
        <f t="shared" si="17"/>
        <v>0</v>
      </c>
      <c r="G76" s="408">
        <f t="shared" si="17"/>
        <v>0</v>
      </c>
      <c r="H76" s="408">
        <f t="shared" si="17"/>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8">SUM(C100:C102)</f>
        <v>0</v>
      </c>
      <c r="D99" s="650">
        <f t="shared" si="18"/>
        <v>0</v>
      </c>
      <c r="E99" s="408">
        <f t="shared" si="18"/>
        <v>0</v>
      </c>
      <c r="F99" s="408">
        <f t="shared" si="18"/>
        <v>0</v>
      </c>
      <c r="G99" s="408">
        <f t="shared" si="18"/>
        <v>0</v>
      </c>
      <c r="H99" s="408">
        <f t="shared" si="18"/>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9">SUM(C104:C108)</f>
        <v>0</v>
      </c>
      <c r="D103" s="264">
        <f t="shared" si="19"/>
        <v>14143500</v>
      </c>
      <c r="E103" s="99">
        <f t="shared" si="19"/>
        <v>14143500</v>
      </c>
      <c r="F103" s="99">
        <f t="shared" si="19"/>
        <v>0</v>
      </c>
      <c r="G103" s="99">
        <f t="shared" si="19"/>
        <v>0</v>
      </c>
      <c r="H103" s="99">
        <f t="shared" si="19"/>
        <v>12964875</v>
      </c>
      <c r="I103" s="99">
        <f t="shared" si="1"/>
        <v>12964875</v>
      </c>
      <c r="J103" s="324">
        <f t="shared" si="2"/>
        <v>1</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c r="G108" s="734"/>
      <c r="H108" s="734">
        <f t="shared" ref="H108" si="20">E108/12*11</f>
        <v>12964875</v>
      </c>
      <c r="I108" s="44">
        <f t="shared" si="1"/>
        <v>12964875</v>
      </c>
      <c r="J108" s="124">
        <f t="shared" si="2"/>
        <v>1</v>
      </c>
      <c r="K108" s="736">
        <f>E108</f>
        <v>14143500</v>
      </c>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21">+C111+C114</f>
        <v>0</v>
      </c>
      <c r="D110" s="578">
        <f t="shared" si="21"/>
        <v>0</v>
      </c>
      <c r="E110" s="579">
        <f t="shared" si="21"/>
        <v>0</v>
      </c>
      <c r="F110" s="579">
        <f t="shared" si="21"/>
        <v>0</v>
      </c>
      <c r="G110" s="579">
        <f t="shared" si="21"/>
        <v>0</v>
      </c>
      <c r="H110" s="579">
        <f t="shared" si="21"/>
        <v>0</v>
      </c>
      <c r="I110" s="99">
        <f t="shared" si="1"/>
        <v>0</v>
      </c>
      <c r="J110" s="324" t="str">
        <f t="shared" si="2"/>
        <v/>
      </c>
      <c r="K110" s="581">
        <f>+K111+K114</f>
        <v>0</v>
      </c>
    </row>
    <row r="111" spans="1:11" ht="12.75" customHeight="1" x14ac:dyDescent="0.25">
      <c r="A111" s="518" t="s">
        <v>1307</v>
      </c>
      <c r="B111" s="169"/>
      <c r="C111" s="649">
        <f t="shared" ref="C111:H111" si="22">SUM(C112:C113)</f>
        <v>0</v>
      </c>
      <c r="D111" s="650">
        <f t="shared" si="22"/>
        <v>0</v>
      </c>
      <c r="E111" s="408">
        <f t="shared" si="22"/>
        <v>0</v>
      </c>
      <c r="F111" s="408">
        <f t="shared" si="22"/>
        <v>0</v>
      </c>
      <c r="G111" s="408">
        <f t="shared" si="22"/>
        <v>0</v>
      </c>
      <c r="H111" s="408">
        <f t="shared" si="22"/>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23">SUM(C115:C116)</f>
        <v>0</v>
      </c>
      <c r="D114" s="650">
        <f t="shared" si="23"/>
        <v>0</v>
      </c>
      <c r="E114" s="408">
        <f t="shared" si="23"/>
        <v>0</v>
      </c>
      <c r="F114" s="408">
        <f t="shared" si="23"/>
        <v>0</v>
      </c>
      <c r="G114" s="408">
        <f t="shared" si="23"/>
        <v>0</v>
      </c>
      <c r="H114" s="408">
        <f t="shared" si="23"/>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24">+C118+C130</f>
        <v>0</v>
      </c>
      <c r="D117" s="578">
        <f t="shared" si="24"/>
        <v>0</v>
      </c>
      <c r="E117" s="579">
        <f t="shared" si="24"/>
        <v>0</v>
      </c>
      <c r="F117" s="579">
        <f t="shared" si="24"/>
        <v>0</v>
      </c>
      <c r="G117" s="579">
        <f t="shared" si="24"/>
        <v>0</v>
      </c>
      <c r="H117" s="579">
        <f t="shared" si="24"/>
        <v>0</v>
      </c>
      <c r="I117" s="579">
        <f t="shared" si="1"/>
        <v>0</v>
      </c>
      <c r="J117" s="580" t="str">
        <f t="shared" si="2"/>
        <v/>
      </c>
      <c r="K117" s="581">
        <f>+K118+K130</f>
        <v>0</v>
      </c>
    </row>
    <row r="118" spans="1:11" ht="12.75" customHeight="1" x14ac:dyDescent="0.25">
      <c r="A118" s="518" t="s">
        <v>1311</v>
      </c>
      <c r="B118" s="169"/>
      <c r="C118" s="649">
        <f t="shared" ref="C118:H118" si="25">SUM(C119:C129)</f>
        <v>0</v>
      </c>
      <c r="D118" s="650">
        <f t="shared" si="25"/>
        <v>0</v>
      </c>
      <c r="E118" s="408">
        <f t="shared" si="25"/>
        <v>0</v>
      </c>
      <c r="F118" s="408">
        <f t="shared" si="25"/>
        <v>0</v>
      </c>
      <c r="G118" s="408">
        <f t="shared" si="25"/>
        <v>0</v>
      </c>
      <c r="H118" s="408">
        <f t="shared" si="25"/>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6">SUM(C131:C133)</f>
        <v>0</v>
      </c>
      <c r="D130" s="650">
        <f t="shared" si="26"/>
        <v>0</v>
      </c>
      <c r="E130" s="408">
        <f t="shared" si="26"/>
        <v>0</v>
      </c>
      <c r="F130" s="408">
        <f t="shared" si="26"/>
        <v>0</v>
      </c>
      <c r="G130" s="408">
        <f t="shared" si="26"/>
        <v>0</v>
      </c>
      <c r="H130" s="408">
        <f t="shared" si="26"/>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7">SUM(C136:C136)</f>
        <v>0</v>
      </c>
      <c r="D135" s="578">
        <f t="shared" si="27"/>
        <v>0</v>
      </c>
      <c r="E135" s="579">
        <f t="shared" si="27"/>
        <v>0</v>
      </c>
      <c r="F135" s="579">
        <f t="shared" si="27"/>
        <v>0</v>
      </c>
      <c r="G135" s="579">
        <f t="shared" si="27"/>
        <v>0</v>
      </c>
      <c r="H135" s="579">
        <f t="shared" si="27"/>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8">IF(I137=0,"",I137/H137)</f>
        <v/>
      </c>
      <c r="K137" s="144"/>
    </row>
    <row r="138" spans="1:11" s="100" customFormat="1" ht="12.75" customHeight="1" x14ac:dyDescent="0.25">
      <c r="A138" s="550" t="s">
        <v>1325</v>
      </c>
      <c r="B138" s="171"/>
      <c r="C138" s="941">
        <f t="shared" ref="C138:H138" si="29">SUM(C139:C140)</f>
        <v>0</v>
      </c>
      <c r="D138" s="942">
        <f t="shared" si="29"/>
        <v>0</v>
      </c>
      <c r="E138" s="943">
        <f t="shared" si="29"/>
        <v>0</v>
      </c>
      <c r="F138" s="943">
        <f t="shared" si="29"/>
        <v>0</v>
      </c>
      <c r="G138" s="943">
        <f t="shared" si="29"/>
        <v>0</v>
      </c>
      <c r="H138" s="943">
        <f t="shared" si="29"/>
        <v>0</v>
      </c>
      <c r="I138" s="943">
        <f t="shared" ref="I138:I146" si="30">H138-G138</f>
        <v>0</v>
      </c>
      <c r="J138" s="324" t="str">
        <f t="shared" si="28"/>
        <v/>
      </c>
      <c r="K138" s="944">
        <f>SUM(K139:K140)</f>
        <v>0</v>
      </c>
    </row>
    <row r="139" spans="1:11" ht="12.75" customHeight="1" x14ac:dyDescent="0.25">
      <c r="A139" s="517" t="s">
        <v>1326</v>
      </c>
      <c r="B139" s="169"/>
      <c r="C139" s="749"/>
      <c r="D139" s="754"/>
      <c r="E139" s="734"/>
      <c r="F139" s="734"/>
      <c r="G139" s="734"/>
      <c r="H139" s="734"/>
      <c r="I139" s="44">
        <f t="shared" si="30"/>
        <v>0</v>
      </c>
      <c r="J139" s="124" t="str">
        <f t="shared" si="28"/>
        <v/>
      </c>
      <c r="K139" s="736"/>
    </row>
    <row r="140" spans="1:11" ht="12.75" customHeight="1" x14ac:dyDescent="0.25">
      <c r="A140" s="517" t="s">
        <v>1327</v>
      </c>
      <c r="B140" s="169"/>
      <c r="C140" s="649">
        <f t="shared" ref="C140:H140" si="31">SUM(C141:C146)</f>
        <v>0</v>
      </c>
      <c r="D140" s="650">
        <f t="shared" si="31"/>
        <v>0</v>
      </c>
      <c r="E140" s="408">
        <f t="shared" si="31"/>
        <v>0</v>
      </c>
      <c r="F140" s="408">
        <f t="shared" si="31"/>
        <v>0</v>
      </c>
      <c r="G140" s="408">
        <f t="shared" si="31"/>
        <v>0</v>
      </c>
      <c r="H140" s="408">
        <f t="shared" si="31"/>
        <v>0</v>
      </c>
      <c r="I140" s="258">
        <f t="shared" si="30"/>
        <v>0</v>
      </c>
      <c r="J140" s="576" t="str">
        <f t="shared" si="28"/>
        <v/>
      </c>
      <c r="K140" s="643">
        <f>SUM(K141:K146)</f>
        <v>0</v>
      </c>
    </row>
    <row r="141" spans="1:11" ht="12.75" customHeight="1" x14ac:dyDescent="0.25">
      <c r="A141" s="575" t="s">
        <v>1328</v>
      </c>
      <c r="B141" s="169"/>
      <c r="C141" s="749"/>
      <c r="D141" s="754"/>
      <c r="E141" s="734"/>
      <c r="F141" s="734"/>
      <c r="G141" s="734"/>
      <c r="H141" s="734"/>
      <c r="I141" s="44">
        <f t="shared" si="30"/>
        <v>0</v>
      </c>
      <c r="J141" s="124" t="str">
        <f t="shared" si="28"/>
        <v/>
      </c>
      <c r="K141" s="736"/>
    </row>
    <row r="142" spans="1:11" ht="12.75" customHeight="1" x14ac:dyDescent="0.25">
      <c r="A142" s="575" t="s">
        <v>1329</v>
      </c>
      <c r="B142" s="169"/>
      <c r="C142" s="749"/>
      <c r="D142" s="754"/>
      <c r="E142" s="734"/>
      <c r="F142" s="734"/>
      <c r="G142" s="734"/>
      <c r="H142" s="734"/>
      <c r="I142" s="44">
        <f t="shared" si="30"/>
        <v>0</v>
      </c>
      <c r="J142" s="124" t="str">
        <f t="shared" si="28"/>
        <v/>
      </c>
      <c r="K142" s="736"/>
    </row>
    <row r="143" spans="1:11" ht="12.75" customHeight="1" x14ac:dyDescent="0.25">
      <c r="A143" s="575" t="s">
        <v>1330</v>
      </c>
      <c r="B143" s="169"/>
      <c r="C143" s="749"/>
      <c r="D143" s="754"/>
      <c r="E143" s="734"/>
      <c r="F143" s="734"/>
      <c r="G143" s="734"/>
      <c r="H143" s="734"/>
      <c r="I143" s="44">
        <f t="shared" si="30"/>
        <v>0</v>
      </c>
      <c r="J143" s="124" t="str">
        <f t="shared" si="28"/>
        <v/>
      </c>
      <c r="K143" s="736"/>
    </row>
    <row r="144" spans="1:11" ht="12.75" customHeight="1" x14ac:dyDescent="0.25">
      <c r="A144" s="575" t="s">
        <v>1331</v>
      </c>
      <c r="B144" s="169"/>
      <c r="C144" s="749"/>
      <c r="D144" s="754"/>
      <c r="E144" s="734"/>
      <c r="F144" s="734"/>
      <c r="G144" s="734"/>
      <c r="H144" s="734"/>
      <c r="I144" s="44">
        <f t="shared" si="30"/>
        <v>0</v>
      </c>
      <c r="J144" s="124" t="str">
        <f t="shared" si="28"/>
        <v/>
      </c>
      <c r="K144" s="736"/>
    </row>
    <row r="145" spans="1:12" ht="12.75" customHeight="1" x14ac:dyDescent="0.25">
      <c r="A145" s="575" t="s">
        <v>1332</v>
      </c>
      <c r="B145" s="169"/>
      <c r="C145" s="749"/>
      <c r="D145" s="754"/>
      <c r="E145" s="734"/>
      <c r="F145" s="734"/>
      <c r="G145" s="734"/>
      <c r="H145" s="734"/>
      <c r="I145" s="44">
        <f t="shared" si="30"/>
        <v>0</v>
      </c>
      <c r="J145" s="124" t="str">
        <f t="shared" si="28"/>
        <v/>
      </c>
      <c r="K145" s="736"/>
    </row>
    <row r="146" spans="1:12" ht="12.75" customHeight="1" x14ac:dyDescent="0.25">
      <c r="A146" s="575" t="s">
        <v>1333</v>
      </c>
      <c r="B146" s="169"/>
      <c r="C146" s="749"/>
      <c r="D146" s="754"/>
      <c r="E146" s="734"/>
      <c r="F146" s="734"/>
      <c r="G146" s="734"/>
      <c r="H146" s="734"/>
      <c r="I146" s="44">
        <f t="shared" si="30"/>
        <v>0</v>
      </c>
      <c r="J146" s="124" t="str">
        <f t="shared" si="28"/>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2">SUM(C149:C149)</f>
        <v>0</v>
      </c>
      <c r="D148" s="578">
        <f t="shared" si="32"/>
        <v>600000</v>
      </c>
      <c r="E148" s="579">
        <f t="shared" si="32"/>
        <v>600000</v>
      </c>
      <c r="F148" s="579">
        <f t="shared" si="32"/>
        <v>0</v>
      </c>
      <c r="G148" s="579">
        <f t="shared" si="32"/>
        <v>0</v>
      </c>
      <c r="H148" s="579">
        <f t="shared" si="32"/>
        <v>550000</v>
      </c>
      <c r="I148" s="579">
        <f>H148-G148</f>
        <v>550000</v>
      </c>
      <c r="J148" s="324">
        <f>IF(I148=0,"",I148/H148)</f>
        <v>1</v>
      </c>
      <c r="K148" s="581">
        <f>SUM(K149)</f>
        <v>600000</v>
      </c>
    </row>
    <row r="149" spans="1:12" ht="12.75" customHeight="1" x14ac:dyDescent="0.25">
      <c r="A149" s="518" t="s">
        <v>1334</v>
      </c>
      <c r="B149" s="169"/>
      <c r="C149" s="749"/>
      <c r="D149" s="754">
        <v>600000</v>
      </c>
      <c r="E149" s="734">
        <v>600000</v>
      </c>
      <c r="F149" s="734"/>
      <c r="G149" s="734"/>
      <c r="H149" s="734">
        <f t="shared" ref="H149" si="33">E149/12*11</f>
        <v>550000</v>
      </c>
      <c r="I149" s="44">
        <f>H149-G149</f>
        <v>550000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4">SUM(C152:C152)</f>
        <v>0</v>
      </c>
      <c r="D151" s="578">
        <f t="shared" si="34"/>
        <v>100000</v>
      </c>
      <c r="E151" s="579">
        <f t="shared" si="34"/>
        <v>100000</v>
      </c>
      <c r="F151" s="579">
        <f t="shared" si="34"/>
        <v>18839.8</v>
      </c>
      <c r="G151" s="579">
        <f t="shared" si="34"/>
        <v>62789.8</v>
      </c>
      <c r="H151" s="579">
        <f t="shared" si="34"/>
        <v>91666.666666666672</v>
      </c>
      <c r="I151" s="579">
        <f>H151-G151</f>
        <v>28876.866666666669</v>
      </c>
      <c r="J151" s="324">
        <f>IF(I151=0,"",I151/H151)</f>
        <v>0.31502036363636365</v>
      </c>
      <c r="K151" s="581">
        <f>SUM(K152)</f>
        <v>100000</v>
      </c>
    </row>
    <row r="152" spans="1:12" ht="12.75" customHeight="1" x14ac:dyDescent="0.25">
      <c r="A152" s="518" t="s">
        <v>1335</v>
      </c>
      <c r="B152" s="169"/>
      <c r="C152" s="749"/>
      <c r="D152" s="754">
        <v>100000</v>
      </c>
      <c r="E152" s="734">
        <v>100000</v>
      </c>
      <c r="F152" s="734">
        <v>18839.8</v>
      </c>
      <c r="G152" s="734">
        <v>62789.8</v>
      </c>
      <c r="H152" s="734">
        <f t="shared" ref="H152" si="35">E152/12*11</f>
        <v>91666.666666666672</v>
      </c>
      <c r="I152" s="44">
        <f>H152-G152</f>
        <v>28876.866666666669</v>
      </c>
      <c r="J152" s="124">
        <f>IF(I152=0,"",I152/H152)</f>
        <v>0.31502036363636365</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6">SUM(C155:C155)</f>
        <v>0</v>
      </c>
      <c r="D154" s="578">
        <f t="shared" si="36"/>
        <v>0</v>
      </c>
      <c r="E154" s="579">
        <f t="shared" si="36"/>
        <v>0</v>
      </c>
      <c r="F154" s="579">
        <f t="shared" si="36"/>
        <v>0</v>
      </c>
      <c r="G154" s="579">
        <f t="shared" si="36"/>
        <v>697456.01</v>
      </c>
      <c r="H154" s="579">
        <f t="shared" si="36"/>
        <v>0</v>
      </c>
      <c r="I154" s="579">
        <f>H154-G154</f>
        <v>-697456.01</v>
      </c>
      <c r="J154" s="324" t="e">
        <f>IF(I154=0,"",I154/H154)</f>
        <v>#DIV/0!</v>
      </c>
      <c r="K154" s="581">
        <f>SUM(K155)</f>
        <v>0</v>
      </c>
    </row>
    <row r="155" spans="1:12" ht="12.75" customHeight="1" x14ac:dyDescent="0.25">
      <c r="A155" s="518" t="s">
        <v>1336</v>
      </c>
      <c r="B155" s="169"/>
      <c r="C155" s="749"/>
      <c r="D155" s="754"/>
      <c r="E155" s="734"/>
      <c r="F155" s="734"/>
      <c r="G155" s="734">
        <v>697456.01</v>
      </c>
      <c r="H155" s="734"/>
      <c r="I155" s="44">
        <f>H155-G155</f>
        <v>-697456.01</v>
      </c>
      <c r="J155" s="124" t="e">
        <f>IF(I155=0,"",I155/H155)</f>
        <v>#DIV/0!</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7">SUM(C158:C158)</f>
        <v>0</v>
      </c>
      <c r="D157" s="578">
        <f t="shared" si="37"/>
        <v>167714800</v>
      </c>
      <c r="E157" s="579">
        <f t="shared" si="37"/>
        <v>167714800</v>
      </c>
      <c r="F157" s="579">
        <f t="shared" si="37"/>
        <v>1834352.4</v>
      </c>
      <c r="G157" s="579">
        <f t="shared" si="37"/>
        <v>4066927.78</v>
      </c>
      <c r="H157" s="579">
        <f t="shared" si="37"/>
        <v>153738566.66666669</v>
      </c>
      <c r="I157" s="579">
        <f>H157-G157</f>
        <v>149671638.88666669</v>
      </c>
      <c r="J157" s="324">
        <f>IF(I157=0,"",I157/H157)</f>
        <v>0.97354647003560368</v>
      </c>
      <c r="K157" s="581">
        <f>SUM(K158)</f>
        <v>167714800</v>
      </c>
    </row>
    <row r="158" spans="1:12" ht="12.75" customHeight="1" x14ac:dyDescent="0.25">
      <c r="A158" s="518" t="s">
        <v>1337</v>
      </c>
      <c r="B158" s="169"/>
      <c r="C158" s="749"/>
      <c r="D158" s="754">
        <v>167714800</v>
      </c>
      <c r="E158" s="734">
        <v>167714800</v>
      </c>
      <c r="F158" s="734">
        <v>1834352.4</v>
      </c>
      <c r="G158" s="734">
        <v>4066927.78</v>
      </c>
      <c r="H158" s="734">
        <f t="shared" ref="H158" si="38">E158/12*11</f>
        <v>153738566.66666669</v>
      </c>
      <c r="I158" s="44">
        <f>H158-G158</f>
        <v>149671638.88666669</v>
      </c>
      <c r="J158" s="124">
        <f>IF(I158=0,"",I158/H158)</f>
        <v>0.97354647003560368</v>
      </c>
      <c r="K158" s="736">
        <f>E158</f>
        <v>167714800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9">SUM(C161:C161)</f>
        <v>0</v>
      </c>
      <c r="D160" s="578">
        <f t="shared" si="39"/>
        <v>0</v>
      </c>
      <c r="E160" s="579">
        <f t="shared" si="39"/>
        <v>0</v>
      </c>
      <c r="F160" s="579">
        <f t="shared" si="39"/>
        <v>0</v>
      </c>
      <c r="G160" s="579">
        <f t="shared" si="39"/>
        <v>0</v>
      </c>
      <c r="H160" s="579">
        <f t="shared" si="39"/>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40">SUM(C164:C164)</f>
        <v>0</v>
      </c>
      <c r="D163" s="578">
        <f t="shared" si="40"/>
        <v>0</v>
      </c>
      <c r="E163" s="579">
        <f t="shared" si="40"/>
        <v>0</v>
      </c>
      <c r="F163" s="579">
        <f t="shared" si="40"/>
        <v>0</v>
      </c>
      <c r="G163" s="579">
        <f t="shared" si="40"/>
        <v>0</v>
      </c>
      <c r="H163" s="579">
        <f t="shared" si="40"/>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41">C7+C75+C103+C110+C117+C135+C138+C148+C151+C154+C157+C160+C163</f>
        <v>0</v>
      </c>
      <c r="D166" s="271">
        <f t="shared" si="41"/>
        <v>380904544.39999998</v>
      </c>
      <c r="E166" s="55">
        <f t="shared" si="41"/>
        <v>380904544.39999998</v>
      </c>
      <c r="F166" s="55">
        <f t="shared" si="41"/>
        <v>1853192.2</v>
      </c>
      <c r="G166" s="55">
        <f t="shared" si="41"/>
        <v>4827173.59</v>
      </c>
      <c r="H166" s="55">
        <f t="shared" si="41"/>
        <v>349162499.0333333</v>
      </c>
      <c r="I166" s="55">
        <f>H166-G166</f>
        <v>344335325.44333333</v>
      </c>
      <c r="J166" s="290">
        <f>IF(I166=0,"",I166/H166)</f>
        <v>0.98617499415497323</v>
      </c>
      <c r="K166" s="235">
        <f>K7+K75+K103+K110+K117+K135+K138+K148+K151+K154+K157+K160+K163</f>
        <v>380904544.39999998</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100" workbookViewId="0">
      <selection activeCell="B103" sqref="B103"/>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51123878.416666664</v>
      </c>
      <c r="C3" s="43">
        <f>'SC12'!C6</f>
        <v>62228094.725833334</v>
      </c>
      <c r="D3" s="43">
        <f>'SC12'!D6</f>
        <v>58394184.533333331</v>
      </c>
      <c r="E3" s="45">
        <f>'SC12'!E6</f>
        <v>-2354849.52</v>
      </c>
      <c r="F3" s="43"/>
      <c r="G3" s="43"/>
      <c r="H3" s="43"/>
      <c r="I3" s="43"/>
      <c r="J3" s="43"/>
      <c r="K3" s="43"/>
    </row>
    <row r="4" spans="1:11" x14ac:dyDescent="0.25">
      <c r="A4" s="42" t="str">
        <f>LEFT('SC12'!A7,3)</f>
        <v>Aug</v>
      </c>
      <c r="B4" s="43">
        <f>'SC12'!B7</f>
        <v>51123878.416666664</v>
      </c>
      <c r="C4" s="43">
        <f>'SC12'!C7</f>
        <v>62228094.725833334</v>
      </c>
      <c r="D4" s="43">
        <f>'SC12'!D7</f>
        <v>58394184.533333331</v>
      </c>
      <c r="E4" s="45">
        <f>'SC12'!E7</f>
        <v>27946048.879999999</v>
      </c>
      <c r="F4" s="43"/>
      <c r="G4" s="43"/>
      <c r="H4" s="43"/>
      <c r="I4" s="43"/>
      <c r="J4" s="43"/>
      <c r="K4" s="43"/>
    </row>
    <row r="5" spans="1:11" x14ac:dyDescent="0.25">
      <c r="A5" s="42" t="str">
        <f>LEFT('SC12'!A8,3)</f>
        <v>Sep</v>
      </c>
      <c r="B5" s="43">
        <f>'SC12'!B8</f>
        <v>51123878.416666664</v>
      </c>
      <c r="C5" s="43">
        <f>'SC12'!C8</f>
        <v>62228094.725833334</v>
      </c>
      <c r="D5" s="43">
        <f>'SC12'!D8</f>
        <v>58394184.533333331</v>
      </c>
      <c r="E5" s="45">
        <f>'SC12'!E8</f>
        <v>44802722.43</v>
      </c>
      <c r="F5" s="43"/>
      <c r="G5" s="43"/>
      <c r="H5" s="43"/>
      <c r="I5" s="43"/>
      <c r="J5" s="43"/>
      <c r="K5" s="43"/>
    </row>
    <row r="6" spans="1:11" x14ac:dyDescent="0.25">
      <c r="A6" s="42" t="str">
        <f>LEFT('SC12'!A9,3)</f>
        <v>Oct</v>
      </c>
      <c r="B6" s="43">
        <f>'SC12'!B9</f>
        <v>51123878.416666664</v>
      </c>
      <c r="C6" s="43">
        <f>'SC12'!C9</f>
        <v>62228094.725833334</v>
      </c>
      <c r="D6" s="43">
        <f>'SC12'!D9</f>
        <v>58394184.533333331</v>
      </c>
      <c r="E6" s="45">
        <f>'SC12'!E9</f>
        <v>34585671.620000005</v>
      </c>
      <c r="F6" s="43"/>
      <c r="G6" s="43"/>
      <c r="H6" s="43"/>
      <c r="I6" s="43"/>
      <c r="J6" s="43"/>
      <c r="K6" s="43"/>
    </row>
    <row r="7" spans="1:11" x14ac:dyDescent="0.25">
      <c r="A7" s="42" t="str">
        <f>LEFT('SC12'!A10,3)</f>
        <v>Nov</v>
      </c>
      <c r="B7" s="43">
        <f>'SC12'!B10</f>
        <v>51123878.416666664</v>
      </c>
      <c r="C7" s="43">
        <f>'SC12'!C10</f>
        <v>62228094.725833334</v>
      </c>
      <c r="D7" s="43">
        <f>'SC12'!D10</f>
        <v>58394184.533333331</v>
      </c>
      <c r="E7" s="45">
        <f>'SC12'!E10</f>
        <v>30698547.059999999</v>
      </c>
      <c r="F7" s="43"/>
      <c r="G7" s="43"/>
      <c r="H7" s="43"/>
      <c r="I7" s="43"/>
      <c r="J7" s="43"/>
      <c r="K7" s="43"/>
    </row>
    <row r="8" spans="1:11" x14ac:dyDescent="0.25">
      <c r="A8" s="42" t="str">
        <f>LEFT('SC12'!A11,3)</f>
        <v>Dec</v>
      </c>
      <c r="B8" s="43">
        <f>'SC12'!B11</f>
        <v>51123878.416666664</v>
      </c>
      <c r="C8" s="43">
        <f>'SC12'!C11</f>
        <v>62228094.725833334</v>
      </c>
      <c r="D8" s="43">
        <f>'SC12'!D11</f>
        <v>58394184.533333331</v>
      </c>
      <c r="E8" s="45">
        <f>'SC12'!E11</f>
        <v>49297719.75</v>
      </c>
      <c r="F8" s="43"/>
      <c r="G8" s="43"/>
      <c r="H8" s="43"/>
      <c r="I8" s="43"/>
      <c r="J8" s="43"/>
      <c r="K8" s="43"/>
    </row>
    <row r="9" spans="1:11" x14ac:dyDescent="0.25">
      <c r="A9" s="42" t="str">
        <f>LEFT('SC12'!A12,3)</f>
        <v>Jan</v>
      </c>
      <c r="B9" s="43">
        <f>'SC12'!B12</f>
        <v>51123878.416666664</v>
      </c>
      <c r="C9" s="43">
        <f>'SC12'!C12</f>
        <v>62228094.725833334</v>
      </c>
      <c r="D9" s="43">
        <f>'SC12'!D12</f>
        <v>58394184.533333331</v>
      </c>
      <c r="E9" s="45">
        <f>'SC12'!E12</f>
        <v>18669297.100000001</v>
      </c>
      <c r="F9" s="43"/>
      <c r="G9" s="43"/>
      <c r="H9" s="43"/>
      <c r="I9" s="43"/>
      <c r="J9" s="43"/>
      <c r="K9" s="43"/>
    </row>
    <row r="10" spans="1:11" x14ac:dyDescent="0.25">
      <c r="A10" s="42" t="str">
        <f>LEFT('SC12'!A13,3)</f>
        <v>Feb</v>
      </c>
      <c r="B10" s="43">
        <f>'SC12'!B13</f>
        <v>51123878.416666664</v>
      </c>
      <c r="C10" s="43">
        <f>'SC12'!C13</f>
        <v>62228094.725833334</v>
      </c>
      <c r="D10" s="43">
        <f>'SC12'!D13</f>
        <v>58394184.533333331</v>
      </c>
      <c r="E10" s="45">
        <f>'SC12'!E13</f>
        <v>22500413.449999999</v>
      </c>
      <c r="F10" s="43"/>
      <c r="G10" s="43"/>
      <c r="H10" s="43"/>
      <c r="I10" s="43"/>
      <c r="J10" s="43"/>
      <c r="K10" s="43"/>
    </row>
    <row r="11" spans="1:11" x14ac:dyDescent="0.25">
      <c r="A11" s="42" t="str">
        <f>LEFT('SC12'!A14,3)</f>
        <v>Mar</v>
      </c>
      <c r="B11" s="43">
        <f>'SC12'!B14</f>
        <v>51123878.416666664</v>
      </c>
      <c r="C11" s="43">
        <f>'SC12'!C14</f>
        <v>62228094.725833334</v>
      </c>
      <c r="D11" s="43">
        <f>'SC12'!D14</f>
        <v>58394184.533333331</v>
      </c>
      <c r="E11" s="45">
        <f>'SC12'!E14</f>
        <v>23150031.019999996</v>
      </c>
      <c r="F11" s="43"/>
      <c r="G11" s="43"/>
      <c r="H11" s="43"/>
      <c r="I11" s="43"/>
      <c r="J11" s="43"/>
      <c r="K11" s="43"/>
    </row>
    <row r="12" spans="1:11" x14ac:dyDescent="0.25">
      <c r="A12" s="42" t="str">
        <f>LEFT('SC12'!A15,3)</f>
        <v>Apr</v>
      </c>
      <c r="B12" s="43">
        <f>'SC12'!B15</f>
        <v>51123878.416666664</v>
      </c>
      <c r="C12" s="43">
        <f>'SC12'!C15</f>
        <v>62228094.725833334</v>
      </c>
      <c r="D12" s="43">
        <f>'SC12'!D15</f>
        <v>58394184.533333331</v>
      </c>
      <c r="E12" s="45">
        <f>'SC12'!E15</f>
        <v>13147302.030000001</v>
      </c>
      <c r="F12" s="43"/>
      <c r="G12" s="43"/>
      <c r="H12" s="43"/>
      <c r="I12" s="43"/>
      <c r="J12" s="43"/>
      <c r="K12" s="43"/>
    </row>
    <row r="13" spans="1:11" x14ac:dyDescent="0.25">
      <c r="A13" s="42" t="str">
        <f>LEFT('SC12'!A16,3)</f>
        <v>May</v>
      </c>
      <c r="B13" s="43">
        <f>'SC12'!B16</f>
        <v>51123878.416666664</v>
      </c>
      <c r="C13" s="43">
        <f>'SC12'!C16</f>
        <v>62228094.725833334</v>
      </c>
      <c r="D13" s="43">
        <f>'SC12'!D16</f>
        <v>58394184.533333331</v>
      </c>
      <c r="E13" s="45">
        <f>'SC12'!E16</f>
        <v>25696555.780000001</v>
      </c>
      <c r="F13" s="43"/>
      <c r="G13" s="43"/>
      <c r="H13" s="43"/>
      <c r="I13" s="43"/>
      <c r="J13" s="43"/>
      <c r="K13" s="43"/>
    </row>
    <row r="14" spans="1:11" x14ac:dyDescent="0.25">
      <c r="A14" s="91" t="str">
        <f>LEFT('SC12'!A17,3)</f>
        <v>Jun</v>
      </c>
      <c r="B14" s="356">
        <f>'SC12'!B17</f>
        <v>51123878.416666664</v>
      </c>
      <c r="C14" s="356">
        <f>'SC12'!C17</f>
        <v>62228094.725833334</v>
      </c>
      <c r="D14" s="356">
        <f>'SC12'!D17</f>
        <v>58394184.533333331</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t="str">
        <f>'SC12'!F6</f>
        <v/>
      </c>
      <c r="C28" s="362">
        <f>'SC12'!G6</f>
        <v>58394184.533333331</v>
      </c>
      <c r="D28" s="43"/>
      <c r="E28" s="43"/>
      <c r="F28" s="43"/>
      <c r="G28" s="43"/>
      <c r="H28" s="43"/>
      <c r="I28" s="43"/>
    </row>
    <row r="29" spans="1:10" x14ac:dyDescent="0.25">
      <c r="A29" s="42" t="str">
        <f>LEFT('SC12'!A7,3)</f>
        <v>Aug</v>
      </c>
      <c r="B29" s="43" t="e">
        <f>'SC12'!F7</f>
        <v>#VALUE!</v>
      </c>
      <c r="C29" s="45">
        <f>'SC12'!G7</f>
        <v>116788369.06666666</v>
      </c>
      <c r="D29" s="43"/>
      <c r="E29" s="43"/>
      <c r="F29" s="43"/>
      <c r="G29" s="43"/>
      <c r="H29" s="43"/>
      <c r="I29" s="43"/>
    </row>
    <row r="30" spans="1:10" x14ac:dyDescent="0.25">
      <c r="A30" s="42" t="str">
        <f>LEFT('SC12'!A8,3)</f>
        <v>Sep</v>
      </c>
      <c r="B30" s="43" t="e">
        <f>'SC12'!F8</f>
        <v>#VALUE!</v>
      </c>
      <c r="C30" s="45">
        <f>'SC12'!G8</f>
        <v>175182553.59999999</v>
      </c>
      <c r="D30" s="43"/>
      <c r="E30" s="43"/>
      <c r="F30" s="43"/>
      <c r="G30" s="43"/>
      <c r="H30" s="43"/>
      <c r="I30" s="43"/>
    </row>
    <row r="31" spans="1:10" x14ac:dyDescent="0.25">
      <c r="A31" s="42" t="str">
        <f>LEFT('SC12'!A9,3)</f>
        <v>Oct</v>
      </c>
      <c r="B31" s="43" t="e">
        <f>'SC12'!F9</f>
        <v>#VALUE!</v>
      </c>
      <c r="C31" s="45">
        <f>'SC12'!G9</f>
        <v>233576738.13333333</v>
      </c>
      <c r="D31" s="43"/>
      <c r="E31" s="43"/>
      <c r="F31" s="43"/>
      <c r="G31" s="43"/>
      <c r="H31" s="43"/>
      <c r="I31" s="43"/>
    </row>
    <row r="32" spans="1:10" x14ac:dyDescent="0.25">
      <c r="A32" s="42" t="str">
        <f>LEFT('SC12'!A10,3)</f>
        <v>Nov</v>
      </c>
      <c r="B32" s="43" t="e">
        <f>'SC12'!F10</f>
        <v>#VALUE!</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e">
        <f>'SC12'!F14</f>
        <v>#VALUE!</v>
      </c>
      <c r="C36" s="45">
        <f>'SC12'!G14</f>
        <v>525547660.79999983</v>
      </c>
      <c r="D36" s="43"/>
      <c r="E36" s="43"/>
      <c r="F36" s="43"/>
      <c r="G36" s="43"/>
      <c r="H36" s="43"/>
      <c r="I36" s="43"/>
    </row>
    <row r="37" spans="1:9" x14ac:dyDescent="0.25">
      <c r="A37" s="42" t="str">
        <f>LEFT('SC12'!A15,3)</f>
        <v>Apr</v>
      </c>
      <c r="B37" s="43" t="e">
        <f>'SC12'!F15</f>
        <v>#VALUE!</v>
      </c>
      <c r="C37" s="45">
        <f>'SC12'!G15</f>
        <v>583941845.33333313</v>
      </c>
      <c r="D37" s="43"/>
      <c r="E37" s="43"/>
      <c r="F37" s="43"/>
      <c r="G37" s="43"/>
      <c r="H37" s="43"/>
      <c r="I37" s="43"/>
    </row>
    <row r="38" spans="1:9" x14ac:dyDescent="0.25">
      <c r="A38" s="42" t="str">
        <f>LEFT('SC12'!A16,3)</f>
        <v>May</v>
      </c>
      <c r="B38" s="43" t="e">
        <f>'SC12'!F16</f>
        <v>#VALUE!</v>
      </c>
      <c r="C38" s="45">
        <f>'SC12'!G16</f>
        <v>642336029.86666644</v>
      </c>
      <c r="D38" s="43"/>
      <c r="E38" s="43"/>
      <c r="F38" s="43"/>
      <c r="G38" s="43"/>
      <c r="H38" s="43"/>
      <c r="I38" s="43"/>
    </row>
    <row r="39" spans="1:9" x14ac:dyDescent="0.25">
      <c r="A39" s="91" t="str">
        <f>LEFT('SC12'!A17,3)</f>
        <v>Jun</v>
      </c>
      <c r="B39" s="356" t="str">
        <f>'SC12'!F17</f>
        <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544796088.12999988</v>
      </c>
      <c r="C53" s="43">
        <f>'SC3'!D14</f>
        <v>134082105.61000001</v>
      </c>
      <c r="D53" s="43">
        <f>'SC3'!E14</f>
        <v>107816829.06</v>
      </c>
      <c r="E53" s="43">
        <f>'SC3'!F14</f>
        <v>104195684.89</v>
      </c>
      <c r="F53" s="43">
        <f>'SC3'!G14</f>
        <v>93072838.600000009</v>
      </c>
      <c r="G53" s="43">
        <f>'SC3'!H14</f>
        <v>122498073.30000001</v>
      </c>
      <c r="H53" s="43">
        <f>'SC3'!I14</f>
        <v>494026774.62</v>
      </c>
      <c r="I53" s="43">
        <f>'SC3'!J14</f>
        <v>2751479564.2600002</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639374287.71339989</v>
      </c>
      <c r="C78" s="43">
        <f>'SC3'!K17</f>
        <v>659148750.21999991</v>
      </c>
      <c r="D78" s="43"/>
      <c r="E78" s="43"/>
      <c r="F78" s="43"/>
      <c r="G78" s="43"/>
      <c r="H78" s="43"/>
      <c r="I78" s="43"/>
      <c r="J78" s="43"/>
    </row>
    <row r="79" spans="1:10" x14ac:dyDescent="0.25">
      <c r="A79" s="61" t="str">
        <f>'SC3'!A18</f>
        <v>Commercial</v>
      </c>
      <c r="B79" s="43">
        <f>C79*0.97</f>
        <v>199837523.72899997</v>
      </c>
      <c r="C79" s="43">
        <f>'SC3'!K18</f>
        <v>206018065.69999999</v>
      </c>
      <c r="D79" s="43"/>
      <c r="E79" s="43"/>
      <c r="F79" s="43"/>
      <c r="G79" s="43"/>
      <c r="H79" s="43"/>
      <c r="I79" s="43"/>
      <c r="J79" s="43"/>
    </row>
    <row r="80" spans="1:10" x14ac:dyDescent="0.25">
      <c r="A80" s="61" t="str">
        <f>'SC3'!A19</f>
        <v>Households</v>
      </c>
      <c r="B80" s="43">
        <f>C80*0.97</f>
        <v>3103413163.1725998</v>
      </c>
      <c r="C80" s="43">
        <f>'SC3'!K19</f>
        <v>3199395013.5799999</v>
      </c>
    </row>
    <row r="81" spans="1:3" x14ac:dyDescent="0.25">
      <c r="A81" s="61" t="str">
        <f>'SC3'!A20</f>
        <v>Other</v>
      </c>
      <c r="B81" s="43">
        <f>C81*0.97</f>
        <v>278783945.10089999</v>
      </c>
      <c r="C81" s="43">
        <f>'SC3'!K20</f>
        <v>287406128.97000003</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209470837</v>
      </c>
      <c r="C103" s="405">
        <f>'SC4'!L7</f>
        <v>77149902</v>
      </c>
      <c r="D103" s="405">
        <f>'SC4'!L8</f>
        <v>0</v>
      </c>
      <c r="E103" s="405">
        <f>'SC4'!L9</f>
        <v>145670375</v>
      </c>
      <c r="F103" s="405">
        <f>'SC4'!L10</f>
        <v>0</v>
      </c>
      <c r="G103" s="405">
        <f>'SC4'!L11</f>
        <v>0</v>
      </c>
      <c r="H103" s="405">
        <f>'SC4'!L12</f>
        <v>201489432</v>
      </c>
      <c r="I103" s="405">
        <f>'SC4'!L13</f>
        <v>0</v>
      </c>
      <c r="J103" s="405">
        <f>'SC4'!L14</f>
        <v>356936386</v>
      </c>
    </row>
    <row r="104" spans="1:10" x14ac:dyDescent="0.25">
      <c r="A104" s="61" t="str">
        <f>A53</f>
        <v>Budget Year 2019/20</v>
      </c>
      <c r="B104" s="43">
        <f>'SC4'!K6</f>
        <v>164560536.94999999</v>
      </c>
      <c r="C104" s="43">
        <f>'SC4'!K7</f>
        <v>123702041.89</v>
      </c>
      <c r="D104" s="43">
        <f>'SC4'!K8</f>
        <v>0</v>
      </c>
      <c r="E104" s="43">
        <f>'SC4'!K9</f>
        <v>212743550.15000001</v>
      </c>
      <c r="F104" s="43">
        <f>'SC4'!K10</f>
        <v>0</v>
      </c>
      <c r="G104" s="43">
        <f>'SC4'!K11</f>
        <v>0</v>
      </c>
      <c r="H104" s="43">
        <f>'SC4'!K12</f>
        <v>80150338.99000001</v>
      </c>
      <c r="I104" s="43">
        <f>'SC4'!K13</f>
        <v>0</v>
      </c>
      <c r="J104" s="43">
        <f>'SC4'!K14</f>
        <v>228302380.55000001</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6" t="s">
        <v>189</v>
      </c>
      <c r="C28" s="1" t="s">
        <v>190</v>
      </c>
    </row>
    <row r="29" spans="1:3" ht="12.75" x14ac:dyDescent="0.2">
      <c r="B29" s="922" t="s">
        <v>1080</v>
      </c>
      <c r="C29" s="945" t="s">
        <v>1349</v>
      </c>
    </row>
    <row r="30" spans="1:3" ht="12.75" x14ac:dyDescent="0.2">
      <c r="B30" s="922" t="s">
        <v>1081</v>
      </c>
      <c r="C30" s="946" t="s">
        <v>1349</v>
      </c>
    </row>
    <row r="31" spans="1:3" ht="12.75" x14ac:dyDescent="0.2">
      <c r="B31" s="922" t="s">
        <v>1350</v>
      </c>
      <c r="C31" s="945" t="s">
        <v>1349</v>
      </c>
    </row>
    <row r="32" spans="1:3" ht="12.75" x14ac:dyDescent="0.2">
      <c r="B32" s="922" t="s">
        <v>225</v>
      </c>
      <c r="C32" s="945" t="s">
        <v>1349</v>
      </c>
    </row>
    <row r="33" spans="2:3" ht="12.75" x14ac:dyDescent="0.2">
      <c r="B33" s="922" t="s">
        <v>226</v>
      </c>
      <c r="C33" s="945" t="s">
        <v>1349</v>
      </c>
    </row>
    <row r="34" spans="2:3" ht="12.75" x14ac:dyDescent="0.2">
      <c r="B34" s="922" t="s">
        <v>227</v>
      </c>
      <c r="C34" s="945" t="s">
        <v>1349</v>
      </c>
    </row>
    <row r="35" spans="2:3" ht="12.75" x14ac:dyDescent="0.2">
      <c r="B35" s="922" t="s">
        <v>228</v>
      </c>
      <c r="C35" s="945" t="s">
        <v>1349</v>
      </c>
    </row>
    <row r="36" spans="2:3" ht="12.75" x14ac:dyDescent="0.2">
      <c r="B36" s="922" t="s">
        <v>229</v>
      </c>
      <c r="C36" s="946" t="s">
        <v>1349</v>
      </c>
    </row>
    <row r="37" spans="2:3" ht="12.75" x14ac:dyDescent="0.2">
      <c r="B37" s="922" t="s">
        <v>989</v>
      </c>
      <c r="C37" s="945" t="s">
        <v>1349</v>
      </c>
    </row>
    <row r="38" spans="2:3" ht="12.75" x14ac:dyDescent="0.2">
      <c r="B38" s="922" t="s">
        <v>1115</v>
      </c>
      <c r="C38" s="920" t="s">
        <v>1349</v>
      </c>
    </row>
    <row r="39" spans="2:3" ht="12.75" x14ac:dyDescent="0.2">
      <c r="B39" s="922" t="s">
        <v>230</v>
      </c>
      <c r="C39" s="920" t="s">
        <v>1349</v>
      </c>
    </row>
    <row r="40" spans="2:3" ht="12.75" x14ac:dyDescent="0.2">
      <c r="B40" s="922" t="s">
        <v>231</v>
      </c>
      <c r="C40" s="892" t="s">
        <v>1349</v>
      </c>
    </row>
    <row r="41" spans="2:3" ht="12.75" x14ac:dyDescent="0.2">
      <c r="B41" s="922" t="s">
        <v>232</v>
      </c>
      <c r="C41" s="892" t="s">
        <v>1349</v>
      </c>
    </row>
    <row r="42" spans="2:3" ht="12.75" x14ac:dyDescent="0.2">
      <c r="B42" s="922" t="s">
        <v>233</v>
      </c>
      <c r="C42" s="892" t="s">
        <v>1349</v>
      </c>
    </row>
    <row r="43" spans="2:3" ht="12.75" x14ac:dyDescent="0.2">
      <c r="B43" s="922" t="s">
        <v>234</v>
      </c>
      <c r="C43" s="892" t="s">
        <v>1349</v>
      </c>
    </row>
    <row r="44" spans="2:3" ht="12.75" x14ac:dyDescent="0.2">
      <c r="B44" s="947" t="s">
        <v>1119</v>
      </c>
      <c r="C44" s="892" t="s">
        <v>1349</v>
      </c>
    </row>
    <row r="45" spans="2:3" ht="12.75" x14ac:dyDescent="0.2">
      <c r="B45" s="922" t="s">
        <v>192</v>
      </c>
      <c r="C45" s="892" t="s">
        <v>1349</v>
      </c>
    </row>
    <row r="46" spans="2:3" ht="12.75" x14ac:dyDescent="0.2">
      <c r="B46" s="922" t="s">
        <v>235</v>
      </c>
      <c r="C46" s="892" t="s">
        <v>1349</v>
      </c>
    </row>
    <row r="47" spans="2:3" ht="12.75" x14ac:dyDescent="0.2">
      <c r="B47" s="922" t="s">
        <v>236</v>
      </c>
      <c r="C47" s="892" t="s">
        <v>1349</v>
      </c>
    </row>
    <row r="48" spans="2:3" ht="12.75" x14ac:dyDescent="0.2">
      <c r="B48" s="922" t="s">
        <v>237</v>
      </c>
      <c r="C48" s="892" t="s">
        <v>1349</v>
      </c>
    </row>
    <row r="49" spans="2:3" ht="12.75" x14ac:dyDescent="0.2">
      <c r="B49" s="922" t="s">
        <v>238</v>
      </c>
      <c r="C49" s="892" t="s">
        <v>1349</v>
      </c>
    </row>
    <row r="50" spans="2:3" ht="12.75" x14ac:dyDescent="0.2">
      <c r="B50" s="922" t="s">
        <v>239</v>
      </c>
      <c r="C50" s="920" t="s">
        <v>1349</v>
      </c>
    </row>
    <row r="51" spans="2:3" ht="12.75" x14ac:dyDescent="0.2">
      <c r="B51" s="947" t="s">
        <v>1120</v>
      </c>
      <c r="C51" s="920" t="s">
        <v>1349</v>
      </c>
    </row>
    <row r="52" spans="2:3" ht="12.75" x14ac:dyDescent="0.2">
      <c r="B52" s="922" t="s">
        <v>193</v>
      </c>
      <c r="C52" s="920" t="s">
        <v>1349</v>
      </c>
    </row>
    <row r="53" spans="2:3" ht="12.75" x14ac:dyDescent="0.2">
      <c r="B53" s="922" t="s">
        <v>240</v>
      </c>
      <c r="C53" s="920" t="s">
        <v>1349</v>
      </c>
    </row>
    <row r="54" spans="2:3" ht="12.75" x14ac:dyDescent="0.2">
      <c r="B54" s="922" t="s">
        <v>241</v>
      </c>
      <c r="C54" s="920" t="s">
        <v>1349</v>
      </c>
    </row>
    <row r="55" spans="2:3" ht="12.75" x14ac:dyDescent="0.2">
      <c r="B55" s="947" t="s">
        <v>1121</v>
      </c>
      <c r="C55" s="920" t="s">
        <v>1349</v>
      </c>
    </row>
    <row r="56" spans="2:3" ht="12.75" x14ac:dyDescent="0.2">
      <c r="B56" s="922" t="s">
        <v>987</v>
      </c>
      <c r="C56" s="920" t="s">
        <v>1349</v>
      </c>
    </row>
    <row r="57" spans="2:3" ht="12.75" x14ac:dyDescent="0.2">
      <c r="B57" s="922" t="s">
        <v>242</v>
      </c>
      <c r="C57" s="647" t="s">
        <v>1349</v>
      </c>
    </row>
    <row r="58" spans="2:3" ht="12.75" x14ac:dyDescent="0.2">
      <c r="B58" s="922" t="s">
        <v>243</v>
      </c>
      <c r="C58" s="647" t="s">
        <v>1349</v>
      </c>
    </row>
    <row r="59" spans="2:3" ht="12.75" x14ac:dyDescent="0.2">
      <c r="B59" s="922" t="s">
        <v>244</v>
      </c>
      <c r="C59" s="920" t="s">
        <v>1349</v>
      </c>
    </row>
    <row r="60" spans="2:3" ht="12.75" x14ac:dyDescent="0.2">
      <c r="B60" s="922" t="s">
        <v>245</v>
      </c>
      <c r="C60" s="920" t="s">
        <v>1349</v>
      </c>
    </row>
    <row r="61" spans="2:3" ht="12.75" x14ac:dyDescent="0.2">
      <c r="B61" s="922" t="s">
        <v>246</v>
      </c>
      <c r="C61" s="920" t="s">
        <v>1349</v>
      </c>
    </row>
    <row r="62" spans="2:3" ht="12.75" x14ac:dyDescent="0.2">
      <c r="B62" s="922" t="s">
        <v>194</v>
      </c>
      <c r="C62" s="920" t="s">
        <v>1349</v>
      </c>
    </row>
    <row r="63" spans="2:3" ht="12.75" x14ac:dyDescent="0.2">
      <c r="B63" s="922" t="s">
        <v>247</v>
      </c>
      <c r="C63" s="892" t="s">
        <v>1349</v>
      </c>
    </row>
    <row r="64" spans="2:3" ht="12.75" x14ac:dyDescent="0.2">
      <c r="B64" s="922" t="s">
        <v>248</v>
      </c>
      <c r="C64" s="920" t="s">
        <v>1349</v>
      </c>
    </row>
    <row r="65" spans="2:3" ht="12.75" x14ac:dyDescent="0.2">
      <c r="B65" s="922" t="s">
        <v>1075</v>
      </c>
      <c r="C65" s="920" t="s">
        <v>1349</v>
      </c>
    </row>
    <row r="66" spans="2:3" ht="12.75" x14ac:dyDescent="0.2">
      <c r="B66" s="922" t="s">
        <v>1076</v>
      </c>
      <c r="C66" s="920" t="s">
        <v>1349</v>
      </c>
    </row>
    <row r="67" spans="2:3" ht="12.75" x14ac:dyDescent="0.2">
      <c r="B67" s="922" t="s">
        <v>220</v>
      </c>
      <c r="C67" s="920" t="s">
        <v>1349</v>
      </c>
    </row>
    <row r="68" spans="2:3" ht="12.75" x14ac:dyDescent="0.2">
      <c r="B68" s="922" t="s">
        <v>1082</v>
      </c>
      <c r="C68" s="920" t="s">
        <v>1351</v>
      </c>
    </row>
    <row r="69" spans="2:3" ht="12.75" x14ac:dyDescent="0.2">
      <c r="B69" s="922" t="s">
        <v>249</v>
      </c>
      <c r="C69" s="920" t="s">
        <v>1351</v>
      </c>
    </row>
    <row r="70" spans="2:3" ht="12.75" x14ac:dyDescent="0.2">
      <c r="B70" s="922" t="s">
        <v>250</v>
      </c>
      <c r="C70" s="920" t="s">
        <v>1351</v>
      </c>
    </row>
    <row r="71" spans="2:3" ht="12.75" x14ac:dyDescent="0.2">
      <c r="B71" s="922" t="s">
        <v>251</v>
      </c>
      <c r="C71" s="920" t="s">
        <v>1351</v>
      </c>
    </row>
    <row r="72" spans="2:3" ht="12.75" x14ac:dyDescent="0.2">
      <c r="B72" s="922" t="s">
        <v>195</v>
      </c>
      <c r="C72" s="920" t="s">
        <v>1351</v>
      </c>
    </row>
    <row r="73" spans="2:3" ht="12.75" x14ac:dyDescent="0.2">
      <c r="B73" s="922" t="s">
        <v>252</v>
      </c>
      <c r="C73" s="920" t="s">
        <v>1351</v>
      </c>
    </row>
    <row r="74" spans="2:3" ht="12.75" x14ac:dyDescent="0.2">
      <c r="B74" s="922" t="s">
        <v>253</v>
      </c>
      <c r="C74" s="920" t="s">
        <v>1351</v>
      </c>
    </row>
    <row r="75" spans="2:3" ht="12.75" x14ac:dyDescent="0.2">
      <c r="B75" s="922" t="s">
        <v>254</v>
      </c>
      <c r="C75" s="920" t="s">
        <v>1351</v>
      </c>
    </row>
    <row r="76" spans="2:3" ht="12.75" x14ac:dyDescent="0.2">
      <c r="B76" s="922" t="s">
        <v>255</v>
      </c>
      <c r="C76" s="920" t="s">
        <v>1351</v>
      </c>
    </row>
    <row r="77" spans="2:3" ht="12.75" x14ac:dyDescent="0.2">
      <c r="B77" s="922" t="s">
        <v>256</v>
      </c>
      <c r="C77" s="920" t="s">
        <v>1351</v>
      </c>
    </row>
    <row r="78" spans="2:3" ht="12.75" x14ac:dyDescent="0.2">
      <c r="B78" s="922" t="s">
        <v>196</v>
      </c>
      <c r="C78" s="920" t="s">
        <v>1351</v>
      </c>
    </row>
    <row r="79" spans="2:3" ht="12.75" x14ac:dyDescent="0.2">
      <c r="B79" s="922" t="s">
        <v>257</v>
      </c>
      <c r="C79" s="920" t="s">
        <v>1351</v>
      </c>
    </row>
    <row r="80" spans="2:3" ht="12.75" x14ac:dyDescent="0.2">
      <c r="B80" s="922" t="s">
        <v>258</v>
      </c>
      <c r="C80" s="920" t="s">
        <v>1351</v>
      </c>
    </row>
    <row r="81" spans="2:3" ht="12.75" x14ac:dyDescent="0.2">
      <c r="B81" s="922" t="s">
        <v>259</v>
      </c>
      <c r="C81" s="920" t="s">
        <v>1351</v>
      </c>
    </row>
    <row r="82" spans="2:3" ht="12.75" x14ac:dyDescent="0.2">
      <c r="B82" s="922" t="s">
        <v>260</v>
      </c>
      <c r="C82" s="920" t="s">
        <v>1351</v>
      </c>
    </row>
    <row r="83" spans="2:3" ht="12.75" x14ac:dyDescent="0.2">
      <c r="B83" s="922" t="s">
        <v>261</v>
      </c>
      <c r="C83" s="920" t="s">
        <v>1351</v>
      </c>
    </row>
    <row r="84" spans="2:3" ht="12.75" x14ac:dyDescent="0.2">
      <c r="B84" s="922" t="s">
        <v>1077</v>
      </c>
      <c r="C84" s="920" t="s">
        <v>1351</v>
      </c>
    </row>
    <row r="85" spans="2:3" ht="12.75" x14ac:dyDescent="0.2">
      <c r="B85" s="922" t="s">
        <v>197</v>
      </c>
      <c r="C85" s="920" t="s">
        <v>1351</v>
      </c>
    </row>
    <row r="86" spans="2:3" ht="12.75" x14ac:dyDescent="0.2">
      <c r="B86" s="922" t="s">
        <v>262</v>
      </c>
      <c r="C86" s="920" t="s">
        <v>1351</v>
      </c>
    </row>
    <row r="87" spans="2:3" ht="12.75" x14ac:dyDescent="0.2">
      <c r="B87" s="922" t="s">
        <v>263</v>
      </c>
      <c r="C87" s="920" t="s">
        <v>1351</v>
      </c>
    </row>
    <row r="88" spans="2:3" ht="12.75" x14ac:dyDescent="0.2">
      <c r="B88" s="922" t="s">
        <v>264</v>
      </c>
      <c r="C88" s="920" t="s">
        <v>1351</v>
      </c>
    </row>
    <row r="89" spans="2:3" ht="12.75" x14ac:dyDescent="0.2">
      <c r="B89" s="922" t="s">
        <v>265</v>
      </c>
      <c r="C89" s="920" t="s">
        <v>1351</v>
      </c>
    </row>
    <row r="90" spans="2:3" ht="12.75" x14ac:dyDescent="0.2">
      <c r="B90" s="922" t="s">
        <v>198</v>
      </c>
      <c r="C90" s="920" t="s">
        <v>1351</v>
      </c>
    </row>
    <row r="91" spans="2:3" ht="12.75" x14ac:dyDescent="0.2">
      <c r="B91" s="922" t="s">
        <v>1352</v>
      </c>
      <c r="C91" s="920" t="s">
        <v>1353</v>
      </c>
    </row>
    <row r="92" spans="2:3" ht="12.75" x14ac:dyDescent="0.2">
      <c r="B92" s="922" t="s">
        <v>1083</v>
      </c>
      <c r="C92" s="920" t="s">
        <v>1353</v>
      </c>
    </row>
    <row r="93" spans="2:3" ht="12.75" x14ac:dyDescent="0.2">
      <c r="B93" s="922" t="s">
        <v>1084</v>
      </c>
      <c r="C93" s="920" t="s">
        <v>1353</v>
      </c>
    </row>
    <row r="94" spans="2:3" ht="12.75" x14ac:dyDescent="0.2">
      <c r="B94" s="922" t="s">
        <v>266</v>
      </c>
      <c r="C94" s="920" t="s">
        <v>1353</v>
      </c>
    </row>
    <row r="95" spans="2:3" ht="12.75" x14ac:dyDescent="0.2">
      <c r="B95" s="922" t="s">
        <v>267</v>
      </c>
      <c r="C95" s="920" t="s">
        <v>1353</v>
      </c>
    </row>
    <row r="96" spans="2:3" ht="12.75" x14ac:dyDescent="0.2">
      <c r="B96" s="922" t="s">
        <v>268</v>
      </c>
      <c r="C96" s="920" t="s">
        <v>1353</v>
      </c>
    </row>
    <row r="97" spans="2:3" ht="12.75" x14ac:dyDescent="0.2">
      <c r="B97" s="922" t="s">
        <v>219</v>
      </c>
      <c r="C97" s="920" t="s">
        <v>1353</v>
      </c>
    </row>
    <row r="98" spans="2:3" ht="12.75" x14ac:dyDescent="0.2">
      <c r="B98" s="922" t="s">
        <v>269</v>
      </c>
      <c r="C98" s="920" t="s">
        <v>1353</v>
      </c>
    </row>
    <row r="99" spans="2:3" ht="12.75" x14ac:dyDescent="0.2">
      <c r="B99" s="922" t="s">
        <v>990</v>
      </c>
      <c r="C99" s="920" t="s">
        <v>1353</v>
      </c>
    </row>
    <row r="100" spans="2:3" ht="12.75" x14ac:dyDescent="0.2">
      <c r="B100" s="947" t="s">
        <v>1354</v>
      </c>
      <c r="C100" s="920" t="s">
        <v>1353</v>
      </c>
    </row>
    <row r="101" spans="2:3" ht="12.75" x14ac:dyDescent="0.2">
      <c r="B101" s="922" t="s">
        <v>221</v>
      </c>
      <c r="C101" s="920" t="s">
        <v>1353</v>
      </c>
    </row>
    <row r="102" spans="2:3" ht="12.75" x14ac:dyDescent="0.2">
      <c r="B102" s="922" t="s">
        <v>1085</v>
      </c>
      <c r="C102" s="920" t="s">
        <v>1355</v>
      </c>
    </row>
    <row r="103" spans="2:3" ht="12.75" x14ac:dyDescent="0.2">
      <c r="B103" s="922" t="s">
        <v>270</v>
      </c>
      <c r="C103" s="920" t="s">
        <v>1355</v>
      </c>
    </row>
    <row r="104" spans="2:3" ht="12.75" x14ac:dyDescent="0.2">
      <c r="B104" s="922" t="s">
        <v>271</v>
      </c>
      <c r="C104" s="945" t="s">
        <v>1355</v>
      </c>
    </row>
    <row r="105" spans="2:3" ht="12.75" x14ac:dyDescent="0.2">
      <c r="B105" s="922" t="s">
        <v>272</v>
      </c>
      <c r="C105" s="945" t="s">
        <v>1355</v>
      </c>
    </row>
    <row r="106" spans="2:3" ht="12.75" x14ac:dyDescent="0.2">
      <c r="B106" s="922" t="s">
        <v>1127</v>
      </c>
      <c r="C106" s="945" t="s">
        <v>1355</v>
      </c>
    </row>
    <row r="107" spans="2:3" ht="12.75" x14ac:dyDescent="0.2">
      <c r="B107" s="922" t="s">
        <v>199</v>
      </c>
      <c r="C107" s="945" t="s">
        <v>1355</v>
      </c>
    </row>
    <row r="108" spans="2:3" ht="12.75" x14ac:dyDescent="0.2">
      <c r="B108" s="922" t="s">
        <v>273</v>
      </c>
      <c r="C108" s="945" t="s">
        <v>1355</v>
      </c>
    </row>
    <row r="109" spans="2:3" ht="12.75" x14ac:dyDescent="0.2">
      <c r="B109" s="922" t="s">
        <v>274</v>
      </c>
      <c r="C109" s="945" t="s">
        <v>1355</v>
      </c>
    </row>
    <row r="110" spans="2:3" ht="12.75" x14ac:dyDescent="0.2">
      <c r="B110" s="922" t="s">
        <v>275</v>
      </c>
      <c r="C110" s="945" t="s">
        <v>1355</v>
      </c>
    </row>
    <row r="111" spans="2:3" ht="12.75" x14ac:dyDescent="0.2">
      <c r="B111" s="922" t="s">
        <v>276</v>
      </c>
      <c r="C111" s="945" t="s">
        <v>1355</v>
      </c>
    </row>
    <row r="112" spans="2:3" ht="12.75" x14ac:dyDescent="0.2">
      <c r="B112" s="922" t="s">
        <v>277</v>
      </c>
      <c r="C112" s="945" t="s">
        <v>1355</v>
      </c>
    </row>
    <row r="113" spans="2:3" ht="12.75" x14ac:dyDescent="0.2">
      <c r="B113" s="922" t="s">
        <v>278</v>
      </c>
      <c r="C113" s="945" t="s">
        <v>1355</v>
      </c>
    </row>
    <row r="114" spans="2:3" ht="12.75" x14ac:dyDescent="0.2">
      <c r="B114" s="922" t="s">
        <v>279</v>
      </c>
      <c r="C114" s="945" t="s">
        <v>1355</v>
      </c>
    </row>
    <row r="115" spans="2:3" ht="12.75" x14ac:dyDescent="0.2">
      <c r="B115" s="922" t="s">
        <v>200</v>
      </c>
      <c r="C115" s="945" t="s">
        <v>1355</v>
      </c>
    </row>
    <row r="116" spans="2:3" ht="12.75" x14ac:dyDescent="0.2">
      <c r="B116" s="922" t="s">
        <v>280</v>
      </c>
      <c r="C116" s="945" t="s">
        <v>1355</v>
      </c>
    </row>
    <row r="117" spans="2:3" ht="12.75" x14ac:dyDescent="0.2">
      <c r="B117" s="947" t="s">
        <v>1122</v>
      </c>
      <c r="C117" s="945" t="s">
        <v>1355</v>
      </c>
    </row>
    <row r="118" spans="2:3" ht="12.75" x14ac:dyDescent="0.2">
      <c r="B118" s="947" t="s">
        <v>1123</v>
      </c>
      <c r="C118" s="945" t="s">
        <v>1355</v>
      </c>
    </row>
    <row r="119" spans="2:3" ht="12.75" x14ac:dyDescent="0.2">
      <c r="B119" s="922" t="s">
        <v>201</v>
      </c>
      <c r="C119" s="945" t="s">
        <v>1355</v>
      </c>
    </row>
    <row r="120" spans="2:3" ht="12.75" x14ac:dyDescent="0.2">
      <c r="B120" s="922" t="s">
        <v>281</v>
      </c>
      <c r="C120" s="945" t="s">
        <v>1355</v>
      </c>
    </row>
    <row r="121" spans="2:3" ht="12.75" x14ac:dyDescent="0.2">
      <c r="B121" s="922" t="s">
        <v>282</v>
      </c>
      <c r="C121" s="945" t="s">
        <v>1355</v>
      </c>
    </row>
    <row r="122" spans="2:3" ht="12.75" x14ac:dyDescent="0.2">
      <c r="B122" s="922" t="s">
        <v>283</v>
      </c>
      <c r="C122" s="945" t="s">
        <v>1355</v>
      </c>
    </row>
    <row r="123" spans="2:3" ht="12.75" x14ac:dyDescent="0.2">
      <c r="B123" s="922" t="s">
        <v>285</v>
      </c>
      <c r="C123" s="945" t="s">
        <v>1355</v>
      </c>
    </row>
    <row r="124" spans="2:3" ht="12.75" x14ac:dyDescent="0.2">
      <c r="B124" s="922" t="s">
        <v>202</v>
      </c>
      <c r="C124" s="920" t="s">
        <v>1355</v>
      </c>
    </row>
    <row r="125" spans="2:3" ht="12.75" x14ac:dyDescent="0.2">
      <c r="B125" s="922" t="s">
        <v>286</v>
      </c>
      <c r="C125" s="920" t="s">
        <v>1355</v>
      </c>
    </row>
    <row r="126" spans="2:3" ht="12.75" x14ac:dyDescent="0.2">
      <c r="B126" s="922" t="s">
        <v>1356</v>
      </c>
      <c r="C126" s="920" t="s">
        <v>1355</v>
      </c>
    </row>
    <row r="127" spans="2:3" ht="12.75" x14ac:dyDescent="0.2">
      <c r="B127" s="922" t="s">
        <v>287</v>
      </c>
      <c r="C127" s="920" t="s">
        <v>1355</v>
      </c>
    </row>
    <row r="128" spans="2:3" ht="12.75" x14ac:dyDescent="0.2">
      <c r="B128" s="922" t="s">
        <v>203</v>
      </c>
      <c r="C128" s="920" t="s">
        <v>1355</v>
      </c>
    </row>
    <row r="129" spans="2:3" ht="12.75" x14ac:dyDescent="0.2">
      <c r="B129" s="922" t="s">
        <v>288</v>
      </c>
      <c r="C129" s="920" t="s">
        <v>1355</v>
      </c>
    </row>
    <row r="130" spans="2:3" ht="12.75" x14ac:dyDescent="0.2">
      <c r="B130" s="922" t="s">
        <v>289</v>
      </c>
      <c r="C130" s="920" t="s">
        <v>1355</v>
      </c>
    </row>
    <row r="131" spans="2:3" ht="12.75" x14ac:dyDescent="0.2">
      <c r="B131" s="922" t="s">
        <v>290</v>
      </c>
      <c r="C131" s="920" t="s">
        <v>1355</v>
      </c>
    </row>
    <row r="132" spans="2:3" ht="12.75" x14ac:dyDescent="0.2">
      <c r="B132" s="922" t="s">
        <v>291</v>
      </c>
      <c r="C132" s="920" t="s">
        <v>1355</v>
      </c>
    </row>
    <row r="133" spans="2:3" ht="12.75" x14ac:dyDescent="0.2">
      <c r="B133" s="922" t="s">
        <v>292</v>
      </c>
      <c r="C133" s="920" t="s">
        <v>1355</v>
      </c>
    </row>
    <row r="134" spans="2:3" ht="12.75" x14ac:dyDescent="0.2">
      <c r="B134" s="922" t="s">
        <v>204</v>
      </c>
      <c r="C134" s="892" t="s">
        <v>1355</v>
      </c>
    </row>
    <row r="135" spans="2:3" ht="12.75" x14ac:dyDescent="0.2">
      <c r="B135" s="922" t="s">
        <v>293</v>
      </c>
      <c r="C135" s="892" t="s">
        <v>1355</v>
      </c>
    </row>
    <row r="136" spans="2:3" ht="12.75" x14ac:dyDescent="0.2">
      <c r="B136" s="922" t="s">
        <v>294</v>
      </c>
      <c r="C136" s="892" t="s">
        <v>1355</v>
      </c>
    </row>
    <row r="137" spans="2:3" ht="12.75" x14ac:dyDescent="0.2">
      <c r="B137" s="922" t="s">
        <v>295</v>
      </c>
      <c r="C137" s="892" t="s">
        <v>1355</v>
      </c>
    </row>
    <row r="138" spans="2:3" ht="12.75" x14ac:dyDescent="0.2">
      <c r="B138" s="947" t="s">
        <v>1357</v>
      </c>
      <c r="C138" s="892" t="s">
        <v>1355</v>
      </c>
    </row>
    <row r="139" spans="2:3" ht="12.75" x14ac:dyDescent="0.2">
      <c r="B139" s="922" t="s">
        <v>205</v>
      </c>
      <c r="C139" s="892" t="s">
        <v>1355</v>
      </c>
    </row>
    <row r="140" spans="2:3" ht="12.75" x14ac:dyDescent="0.2">
      <c r="B140" s="922" t="s">
        <v>991</v>
      </c>
      <c r="C140" s="892" t="s">
        <v>1355</v>
      </c>
    </row>
    <row r="141" spans="2:3" ht="12.75" x14ac:dyDescent="0.2">
      <c r="B141" s="922" t="s">
        <v>296</v>
      </c>
      <c r="C141" s="892" t="s">
        <v>1355</v>
      </c>
    </row>
    <row r="142" spans="2:3" ht="12.75" x14ac:dyDescent="0.2">
      <c r="B142" s="922" t="s">
        <v>992</v>
      </c>
      <c r="C142" s="892" t="s">
        <v>1355</v>
      </c>
    </row>
    <row r="143" spans="2:3" ht="12.75" x14ac:dyDescent="0.2">
      <c r="B143" s="922" t="s">
        <v>297</v>
      </c>
      <c r="C143" s="892" t="s">
        <v>1355</v>
      </c>
    </row>
    <row r="144" spans="2:3" ht="12.75" x14ac:dyDescent="0.2">
      <c r="B144" s="922" t="s">
        <v>298</v>
      </c>
      <c r="C144" s="892" t="s">
        <v>1355</v>
      </c>
    </row>
    <row r="145" spans="2:3" ht="12.75" x14ac:dyDescent="0.2">
      <c r="B145" s="922" t="s">
        <v>1124</v>
      </c>
      <c r="C145" s="892" t="s">
        <v>1355</v>
      </c>
    </row>
    <row r="146" spans="2:3" ht="12.75" x14ac:dyDescent="0.2">
      <c r="B146" s="922" t="s">
        <v>299</v>
      </c>
      <c r="C146" s="892" t="s">
        <v>1355</v>
      </c>
    </row>
    <row r="147" spans="2:3" ht="12.75" x14ac:dyDescent="0.2">
      <c r="B147" s="922" t="s">
        <v>300</v>
      </c>
      <c r="C147" s="892" t="s">
        <v>1355</v>
      </c>
    </row>
    <row r="148" spans="2:3" ht="12.75" x14ac:dyDescent="0.2">
      <c r="B148" s="922" t="s">
        <v>301</v>
      </c>
      <c r="C148" s="892" t="s">
        <v>1355</v>
      </c>
    </row>
    <row r="149" spans="2:3" ht="12.75" x14ac:dyDescent="0.2">
      <c r="B149" s="922" t="s">
        <v>302</v>
      </c>
      <c r="C149" s="892" t="s">
        <v>1355</v>
      </c>
    </row>
    <row r="150" spans="2:3" ht="12.75" x14ac:dyDescent="0.2">
      <c r="B150" s="922" t="s">
        <v>206</v>
      </c>
      <c r="C150" s="892" t="s">
        <v>1355</v>
      </c>
    </row>
    <row r="151" spans="2:3" ht="12.75" x14ac:dyDescent="0.2">
      <c r="B151" s="922" t="s">
        <v>303</v>
      </c>
      <c r="C151" s="892" t="s">
        <v>1355</v>
      </c>
    </row>
    <row r="152" spans="2:3" ht="12.75" x14ac:dyDescent="0.2">
      <c r="B152" s="922" t="s">
        <v>304</v>
      </c>
      <c r="C152" s="892" t="s">
        <v>1355</v>
      </c>
    </row>
    <row r="153" spans="2:3" ht="12.75" x14ac:dyDescent="0.2">
      <c r="B153" s="922" t="s">
        <v>305</v>
      </c>
      <c r="C153" s="892" t="s">
        <v>1355</v>
      </c>
    </row>
    <row r="154" spans="2:3" ht="12.75" x14ac:dyDescent="0.2">
      <c r="B154" s="947" t="s">
        <v>1125</v>
      </c>
      <c r="C154" s="892" t="s">
        <v>1355</v>
      </c>
    </row>
    <row r="155" spans="2:3" ht="12.75" x14ac:dyDescent="0.2">
      <c r="B155" s="922" t="s">
        <v>1116</v>
      </c>
      <c r="C155" s="892" t="s">
        <v>1355</v>
      </c>
    </row>
    <row r="156" spans="2:3" ht="12.75" x14ac:dyDescent="0.2">
      <c r="B156" s="922" t="s">
        <v>306</v>
      </c>
      <c r="C156" s="892" t="s">
        <v>1358</v>
      </c>
    </row>
    <row r="157" spans="2:3" ht="12.75" x14ac:dyDescent="0.2">
      <c r="B157" s="922" t="s">
        <v>307</v>
      </c>
      <c r="C157" s="892" t="s">
        <v>1358</v>
      </c>
    </row>
    <row r="158" spans="2:3" ht="12.75" x14ac:dyDescent="0.2">
      <c r="B158" s="922" t="s">
        <v>308</v>
      </c>
      <c r="C158" s="892" t="s">
        <v>1358</v>
      </c>
    </row>
    <row r="159" spans="2:3" ht="12.75" x14ac:dyDescent="0.2">
      <c r="B159" s="922" t="s">
        <v>309</v>
      </c>
      <c r="C159" s="892" t="s">
        <v>1358</v>
      </c>
    </row>
    <row r="160" spans="2:3" ht="12.75" x14ac:dyDescent="0.2">
      <c r="B160" s="922" t="s">
        <v>310</v>
      </c>
      <c r="C160" s="892" t="s">
        <v>1358</v>
      </c>
    </row>
    <row r="161" spans="2:3" ht="12.75" x14ac:dyDescent="0.2">
      <c r="B161" s="922" t="s">
        <v>211</v>
      </c>
      <c r="C161" s="892" t="s">
        <v>1358</v>
      </c>
    </row>
    <row r="162" spans="2:3" ht="12.75" x14ac:dyDescent="0.2">
      <c r="B162" s="922" t="s">
        <v>311</v>
      </c>
      <c r="C162" s="892" t="s">
        <v>1358</v>
      </c>
    </row>
    <row r="163" spans="2:3" ht="12.75" x14ac:dyDescent="0.2">
      <c r="B163" s="922" t="s">
        <v>312</v>
      </c>
      <c r="C163" s="892" t="s">
        <v>1358</v>
      </c>
    </row>
    <row r="164" spans="2:3" ht="12.75" x14ac:dyDescent="0.2">
      <c r="B164" s="922" t="s">
        <v>313</v>
      </c>
      <c r="C164" s="892" t="s">
        <v>1358</v>
      </c>
    </row>
    <row r="165" spans="2:3" ht="12.75" x14ac:dyDescent="0.2">
      <c r="B165" s="947" t="s">
        <v>1359</v>
      </c>
      <c r="C165" s="892" t="s">
        <v>1358</v>
      </c>
    </row>
    <row r="166" spans="2:3" ht="12.75" x14ac:dyDescent="0.2">
      <c r="B166" s="922" t="s">
        <v>212</v>
      </c>
      <c r="C166" s="892" t="s">
        <v>1358</v>
      </c>
    </row>
    <row r="167" spans="2:3" ht="12.75" x14ac:dyDescent="0.2">
      <c r="B167" s="922" t="s">
        <v>314</v>
      </c>
      <c r="C167" s="892" t="s">
        <v>1358</v>
      </c>
    </row>
    <row r="168" spans="2:3" ht="12.75" x14ac:dyDescent="0.2">
      <c r="B168" s="922" t="s">
        <v>315</v>
      </c>
      <c r="C168" s="892" t="s">
        <v>1358</v>
      </c>
    </row>
    <row r="169" spans="2:3" ht="12.75" x14ac:dyDescent="0.2">
      <c r="B169" s="922" t="s">
        <v>316</v>
      </c>
      <c r="C169" s="892" t="s">
        <v>1358</v>
      </c>
    </row>
    <row r="170" spans="2:3" ht="12.75" x14ac:dyDescent="0.2">
      <c r="B170" s="922" t="s">
        <v>317</v>
      </c>
      <c r="C170" s="892" t="s">
        <v>1358</v>
      </c>
    </row>
    <row r="171" spans="2:3" ht="12.75" x14ac:dyDescent="0.2">
      <c r="B171" s="922" t="s">
        <v>213</v>
      </c>
      <c r="C171" s="892" t="s">
        <v>1358</v>
      </c>
    </row>
    <row r="172" spans="2:3" ht="12.75" x14ac:dyDescent="0.2">
      <c r="B172" s="922" t="s">
        <v>318</v>
      </c>
      <c r="C172" s="892" t="s">
        <v>1358</v>
      </c>
    </row>
    <row r="173" spans="2:3" ht="12.75" x14ac:dyDescent="0.2">
      <c r="B173" s="922" t="s">
        <v>319</v>
      </c>
      <c r="C173" s="892" t="s">
        <v>1358</v>
      </c>
    </row>
    <row r="174" spans="2:3" ht="12.75" x14ac:dyDescent="0.2">
      <c r="B174" s="922" t="s">
        <v>320</v>
      </c>
      <c r="C174" s="892" t="s">
        <v>1358</v>
      </c>
    </row>
    <row r="175" spans="2:3" ht="12.75" x14ac:dyDescent="0.2">
      <c r="B175" s="922" t="s">
        <v>321</v>
      </c>
      <c r="C175" s="892" t="s">
        <v>1358</v>
      </c>
    </row>
    <row r="176" spans="2:3" ht="12.75" x14ac:dyDescent="0.2">
      <c r="B176" s="947" t="s">
        <v>1360</v>
      </c>
      <c r="C176" s="892" t="s">
        <v>1358</v>
      </c>
    </row>
    <row r="177" spans="2:3" ht="12.75" x14ac:dyDescent="0.2">
      <c r="B177" s="922" t="s">
        <v>214</v>
      </c>
      <c r="C177" s="892" t="s">
        <v>1358</v>
      </c>
    </row>
    <row r="178" spans="2:3" ht="12.75" x14ac:dyDescent="0.2">
      <c r="B178" s="922" t="s">
        <v>993</v>
      </c>
      <c r="C178" s="920" t="s">
        <v>1358</v>
      </c>
    </row>
    <row r="179" spans="2:3" ht="12.75" x14ac:dyDescent="0.2">
      <c r="B179" s="922" t="s">
        <v>322</v>
      </c>
      <c r="C179" s="920" t="s">
        <v>1358</v>
      </c>
    </row>
    <row r="180" spans="2:3" ht="12.75" x14ac:dyDescent="0.2">
      <c r="B180" s="922" t="s">
        <v>994</v>
      </c>
      <c r="C180" s="920" t="s">
        <v>1358</v>
      </c>
    </row>
    <row r="181" spans="2:3" ht="12.75" x14ac:dyDescent="0.2">
      <c r="B181" s="947" t="s">
        <v>1361</v>
      </c>
      <c r="C181" s="920" t="s">
        <v>1358</v>
      </c>
    </row>
    <row r="182" spans="2:3" ht="12.75" x14ac:dyDescent="0.2">
      <c r="B182" s="922" t="s">
        <v>1073</v>
      </c>
      <c r="C182" s="920" t="s">
        <v>1358</v>
      </c>
    </row>
    <row r="183" spans="2:3" ht="12.75" x14ac:dyDescent="0.2">
      <c r="B183" s="922" t="s">
        <v>323</v>
      </c>
      <c r="C183" s="920" t="s">
        <v>1362</v>
      </c>
    </row>
    <row r="184" spans="2:3" ht="12.75" x14ac:dyDescent="0.2">
      <c r="B184" s="922" t="s">
        <v>324</v>
      </c>
      <c r="C184" s="920" t="s">
        <v>1362</v>
      </c>
    </row>
    <row r="185" spans="2:3" ht="12.75" x14ac:dyDescent="0.2">
      <c r="B185" s="922" t="s">
        <v>325</v>
      </c>
      <c r="C185" s="920" t="s">
        <v>1362</v>
      </c>
    </row>
    <row r="186" spans="2:3" ht="12.75" x14ac:dyDescent="0.2">
      <c r="B186" s="922" t="s">
        <v>995</v>
      </c>
      <c r="C186" s="920" t="s">
        <v>1362</v>
      </c>
    </row>
    <row r="187" spans="2:3" ht="12.75" x14ac:dyDescent="0.2">
      <c r="B187" s="922" t="s">
        <v>326</v>
      </c>
      <c r="C187" s="920" t="s">
        <v>1362</v>
      </c>
    </row>
    <row r="188" spans="2:3" ht="12.75" x14ac:dyDescent="0.2">
      <c r="B188" s="922" t="s">
        <v>327</v>
      </c>
      <c r="C188" s="920" t="s">
        <v>1362</v>
      </c>
    </row>
    <row r="189" spans="2:3" ht="12.75" x14ac:dyDescent="0.2">
      <c r="B189" s="922" t="s">
        <v>328</v>
      </c>
      <c r="C189" s="920" t="s">
        <v>1362</v>
      </c>
    </row>
    <row r="190" spans="2:3" ht="12.75" x14ac:dyDescent="0.2">
      <c r="B190" s="922" t="s">
        <v>208</v>
      </c>
      <c r="C190" s="920" t="s">
        <v>1362</v>
      </c>
    </row>
    <row r="191" spans="2:3" ht="12.75" x14ac:dyDescent="0.2">
      <c r="B191" s="922" t="s">
        <v>996</v>
      </c>
      <c r="C191" s="920" t="s">
        <v>1362</v>
      </c>
    </row>
    <row r="192" spans="2:3" ht="12.75" x14ac:dyDescent="0.2">
      <c r="B192" s="922" t="s">
        <v>1078</v>
      </c>
      <c r="C192" s="920" t="s">
        <v>1362</v>
      </c>
    </row>
    <row r="193" spans="2:3" ht="12.75" x14ac:dyDescent="0.2">
      <c r="B193" s="922" t="s">
        <v>329</v>
      </c>
      <c r="C193" s="920" t="s">
        <v>1362</v>
      </c>
    </row>
    <row r="194" spans="2:3" ht="12.75" x14ac:dyDescent="0.2">
      <c r="B194" s="922" t="s">
        <v>330</v>
      </c>
      <c r="C194" s="920" t="s">
        <v>1362</v>
      </c>
    </row>
    <row r="195" spans="2:3" ht="12.75" x14ac:dyDescent="0.2">
      <c r="B195" s="922" t="s">
        <v>1079</v>
      </c>
      <c r="C195" s="920" t="s">
        <v>1362</v>
      </c>
    </row>
    <row r="196" spans="2:3" ht="12.75" x14ac:dyDescent="0.2">
      <c r="B196" s="922" t="s">
        <v>331</v>
      </c>
      <c r="C196" s="920" t="s">
        <v>1362</v>
      </c>
    </row>
    <row r="197" spans="2:3" ht="12.75" x14ac:dyDescent="0.2">
      <c r="B197" s="922" t="s">
        <v>209</v>
      </c>
      <c r="C197" s="920" t="s">
        <v>1362</v>
      </c>
    </row>
    <row r="198" spans="2:3" ht="12.75" x14ac:dyDescent="0.2">
      <c r="B198" s="922" t="s">
        <v>332</v>
      </c>
      <c r="C198" s="920" t="s">
        <v>1362</v>
      </c>
    </row>
    <row r="199" spans="2:3" ht="12.75" x14ac:dyDescent="0.2">
      <c r="B199" s="922" t="s">
        <v>333</v>
      </c>
      <c r="C199" s="920" t="s">
        <v>1362</v>
      </c>
    </row>
    <row r="200" spans="2:3" ht="12.75" x14ac:dyDescent="0.2">
      <c r="B200" s="922" t="s">
        <v>334</v>
      </c>
      <c r="C200" s="920" t="s">
        <v>1362</v>
      </c>
    </row>
    <row r="201" spans="2:3" ht="12.75" x14ac:dyDescent="0.2">
      <c r="B201" s="947" t="s">
        <v>1126</v>
      </c>
      <c r="C201" s="920" t="s">
        <v>1362</v>
      </c>
    </row>
    <row r="202" spans="2:3" ht="12.75" x14ac:dyDescent="0.2">
      <c r="B202" s="922" t="s">
        <v>210</v>
      </c>
      <c r="C202" s="920" t="s">
        <v>1362</v>
      </c>
    </row>
    <row r="203" spans="2:3" ht="12.75" x14ac:dyDescent="0.2">
      <c r="B203" s="922" t="s">
        <v>997</v>
      </c>
      <c r="C203" s="920" t="s">
        <v>1363</v>
      </c>
    </row>
    <row r="204" spans="2:3" ht="12.75" x14ac:dyDescent="0.2">
      <c r="B204" s="922" t="s">
        <v>391</v>
      </c>
      <c r="C204" s="920" t="s">
        <v>1363</v>
      </c>
    </row>
    <row r="205" spans="2:3" ht="12.75" x14ac:dyDescent="0.2">
      <c r="B205" s="922" t="s">
        <v>392</v>
      </c>
      <c r="C205" s="920" t="s">
        <v>1363</v>
      </c>
    </row>
    <row r="206" spans="2:3" ht="12.75" x14ac:dyDescent="0.2">
      <c r="B206" s="922" t="s">
        <v>988</v>
      </c>
      <c r="C206" s="920" t="s">
        <v>1363</v>
      </c>
    </row>
    <row r="207" spans="2:3" ht="12.75" x14ac:dyDescent="0.2">
      <c r="B207" s="922" t="s">
        <v>335</v>
      </c>
      <c r="C207" s="920" t="s">
        <v>1363</v>
      </c>
    </row>
    <row r="208" spans="2:3" ht="12.75" x14ac:dyDescent="0.2">
      <c r="B208" s="922" t="s">
        <v>336</v>
      </c>
      <c r="C208" s="920" t="s">
        <v>1363</v>
      </c>
    </row>
    <row r="209" spans="2:3" ht="12.75" x14ac:dyDescent="0.2">
      <c r="B209" s="922" t="s">
        <v>337</v>
      </c>
      <c r="C209" s="920" t="s">
        <v>1363</v>
      </c>
    </row>
    <row r="210" spans="2:3" ht="12.75" x14ac:dyDescent="0.2">
      <c r="B210" s="922" t="s">
        <v>338</v>
      </c>
      <c r="C210" s="920" t="s">
        <v>1363</v>
      </c>
    </row>
    <row r="211" spans="2:3" ht="12.75" x14ac:dyDescent="0.2">
      <c r="B211" s="922" t="s">
        <v>339</v>
      </c>
      <c r="C211" s="920" t="s">
        <v>1363</v>
      </c>
    </row>
    <row r="212" spans="2:3" ht="12.75" x14ac:dyDescent="0.2">
      <c r="B212" s="922" t="s">
        <v>340</v>
      </c>
      <c r="C212" s="920" t="s">
        <v>1363</v>
      </c>
    </row>
    <row r="213" spans="2:3" ht="12.75" x14ac:dyDescent="0.2">
      <c r="B213" s="922" t="s">
        <v>223</v>
      </c>
      <c r="C213" s="920" t="s">
        <v>1363</v>
      </c>
    </row>
    <row r="214" spans="2:3" ht="12.75" x14ac:dyDescent="0.2">
      <c r="B214" s="922" t="s">
        <v>341</v>
      </c>
      <c r="C214" s="920" t="s">
        <v>1363</v>
      </c>
    </row>
    <row r="215" spans="2:3" ht="12.75" x14ac:dyDescent="0.2">
      <c r="B215" s="922" t="s">
        <v>342</v>
      </c>
      <c r="C215" s="920" t="s">
        <v>1363</v>
      </c>
    </row>
    <row r="216" spans="2:3" ht="12.75" x14ac:dyDescent="0.2">
      <c r="B216" s="922" t="s">
        <v>343</v>
      </c>
      <c r="C216" s="920" t="s">
        <v>1363</v>
      </c>
    </row>
    <row r="217" spans="2:3" ht="12.75" x14ac:dyDescent="0.2">
      <c r="B217" s="922" t="s">
        <v>378</v>
      </c>
      <c r="C217" s="920" t="s">
        <v>1363</v>
      </c>
    </row>
    <row r="218" spans="2:3" ht="12.75" x14ac:dyDescent="0.2">
      <c r="B218" s="922" t="s">
        <v>379</v>
      </c>
      <c r="C218" s="920" t="s">
        <v>1363</v>
      </c>
    </row>
    <row r="219" spans="2:3" ht="12.75" x14ac:dyDescent="0.2">
      <c r="B219" s="922" t="s">
        <v>380</v>
      </c>
      <c r="C219" s="920" t="s">
        <v>1363</v>
      </c>
    </row>
    <row r="220" spans="2:3" ht="12.75" x14ac:dyDescent="0.2">
      <c r="B220" s="922" t="s">
        <v>381</v>
      </c>
      <c r="C220" s="920" t="s">
        <v>1363</v>
      </c>
    </row>
    <row r="221" spans="2:3" ht="12.75" x14ac:dyDescent="0.2">
      <c r="B221" s="922" t="s">
        <v>382</v>
      </c>
      <c r="C221" s="920" t="s">
        <v>1363</v>
      </c>
    </row>
    <row r="222" spans="2:3" ht="12.75" x14ac:dyDescent="0.2">
      <c r="B222" s="922" t="s">
        <v>1074</v>
      </c>
      <c r="C222" s="920" t="s">
        <v>1363</v>
      </c>
    </row>
    <row r="223" spans="2:3" ht="12.75" x14ac:dyDescent="0.2">
      <c r="B223" s="922" t="s">
        <v>383</v>
      </c>
      <c r="C223" s="920" t="s">
        <v>1363</v>
      </c>
    </row>
    <row r="224" spans="2:3" ht="12.75" x14ac:dyDescent="0.2">
      <c r="B224" s="922" t="s">
        <v>384</v>
      </c>
      <c r="C224" s="920" t="s">
        <v>1363</v>
      </c>
    </row>
    <row r="225" spans="2:3" ht="12.75" x14ac:dyDescent="0.2">
      <c r="B225" s="922" t="s">
        <v>385</v>
      </c>
      <c r="C225" s="920" t="s">
        <v>1363</v>
      </c>
    </row>
    <row r="226" spans="2:3" ht="12.75" x14ac:dyDescent="0.2">
      <c r="B226" s="922" t="s">
        <v>386</v>
      </c>
      <c r="C226" s="920" t="s">
        <v>1363</v>
      </c>
    </row>
    <row r="227" spans="2:3" ht="12.75" x14ac:dyDescent="0.2">
      <c r="B227" s="947" t="s">
        <v>1364</v>
      </c>
      <c r="C227" s="920" t="s">
        <v>1363</v>
      </c>
    </row>
    <row r="228" spans="2:3" ht="12.75" x14ac:dyDescent="0.2">
      <c r="B228" s="922" t="s">
        <v>1117</v>
      </c>
      <c r="C228" s="920" t="s">
        <v>1363</v>
      </c>
    </row>
    <row r="229" spans="2:3" ht="12.75" x14ac:dyDescent="0.2">
      <c r="B229" s="922" t="s">
        <v>387</v>
      </c>
      <c r="C229" s="920" t="s">
        <v>1363</v>
      </c>
    </row>
    <row r="230" spans="2:3" ht="12.75" x14ac:dyDescent="0.2">
      <c r="B230" s="922" t="s">
        <v>388</v>
      </c>
      <c r="C230" s="920" t="s">
        <v>1363</v>
      </c>
    </row>
    <row r="231" spans="2:3" ht="12.75" x14ac:dyDescent="0.2">
      <c r="B231" s="922" t="s">
        <v>389</v>
      </c>
      <c r="C231" s="920" t="s">
        <v>1363</v>
      </c>
    </row>
    <row r="232" spans="2:3" ht="12.75" x14ac:dyDescent="0.2">
      <c r="B232" s="922" t="s">
        <v>390</v>
      </c>
      <c r="C232" s="920" t="s">
        <v>1363</v>
      </c>
    </row>
    <row r="233" spans="2:3" ht="12.75" x14ac:dyDescent="0.2">
      <c r="B233" s="922" t="s">
        <v>224</v>
      </c>
      <c r="C233" s="920" t="s">
        <v>1363</v>
      </c>
    </row>
    <row r="234" spans="2:3" ht="12.75" x14ac:dyDescent="0.2">
      <c r="B234" s="922" t="s">
        <v>393</v>
      </c>
      <c r="C234" s="920" t="s">
        <v>1365</v>
      </c>
    </row>
    <row r="235" spans="2:3" ht="12.75" x14ac:dyDescent="0.2">
      <c r="B235" s="922" t="s">
        <v>394</v>
      </c>
      <c r="C235" s="920" t="s">
        <v>1365</v>
      </c>
    </row>
    <row r="236" spans="2:3" ht="12.75" x14ac:dyDescent="0.2">
      <c r="B236" s="922" t="s">
        <v>395</v>
      </c>
      <c r="C236" s="920" t="s">
        <v>1365</v>
      </c>
    </row>
    <row r="237" spans="2:3" ht="12.75" x14ac:dyDescent="0.2">
      <c r="B237" s="922" t="s">
        <v>396</v>
      </c>
      <c r="C237" s="920" t="s">
        <v>1365</v>
      </c>
    </row>
    <row r="238" spans="2:3" ht="12.75" x14ac:dyDescent="0.2">
      <c r="B238" s="922" t="s">
        <v>397</v>
      </c>
      <c r="C238" s="920" t="s">
        <v>1365</v>
      </c>
    </row>
    <row r="239" spans="2:3" ht="12.75" x14ac:dyDescent="0.2">
      <c r="B239" s="922" t="s">
        <v>215</v>
      </c>
      <c r="C239" s="920" t="s">
        <v>1365</v>
      </c>
    </row>
    <row r="240" spans="2:3" ht="12.75" x14ac:dyDescent="0.2">
      <c r="B240" s="922" t="s">
        <v>398</v>
      </c>
      <c r="C240" s="920" t="s">
        <v>1365</v>
      </c>
    </row>
    <row r="241" spans="2:3" ht="12.75" x14ac:dyDescent="0.2">
      <c r="B241" s="922" t="s">
        <v>399</v>
      </c>
      <c r="C241" s="920" t="s">
        <v>1365</v>
      </c>
    </row>
    <row r="242" spans="2:3" ht="12.75" x14ac:dyDescent="0.2">
      <c r="B242" s="922" t="s">
        <v>400</v>
      </c>
      <c r="C242" s="920" t="s">
        <v>1365</v>
      </c>
    </row>
    <row r="243" spans="2:3" ht="12.75" x14ac:dyDescent="0.2">
      <c r="B243" s="922" t="s">
        <v>401</v>
      </c>
      <c r="C243" s="920" t="s">
        <v>1365</v>
      </c>
    </row>
    <row r="244" spans="2:3" ht="12.75" x14ac:dyDescent="0.2">
      <c r="B244" s="922" t="s">
        <v>402</v>
      </c>
      <c r="C244" s="920" t="s">
        <v>1365</v>
      </c>
    </row>
    <row r="245" spans="2:3" ht="12.75" x14ac:dyDescent="0.2">
      <c r="B245" s="922" t="s">
        <v>216</v>
      </c>
      <c r="C245" s="920" t="s">
        <v>1365</v>
      </c>
    </row>
    <row r="246" spans="2:3" ht="12.75" x14ac:dyDescent="0.2">
      <c r="B246" s="922" t="s">
        <v>403</v>
      </c>
      <c r="C246" s="920" t="s">
        <v>1365</v>
      </c>
    </row>
    <row r="247" spans="2:3" ht="12.75" x14ac:dyDescent="0.2">
      <c r="B247" s="922" t="s">
        <v>404</v>
      </c>
      <c r="C247" s="920" t="s">
        <v>1365</v>
      </c>
    </row>
    <row r="248" spans="2:3" ht="12.75" x14ac:dyDescent="0.2">
      <c r="B248" s="922" t="s">
        <v>405</v>
      </c>
      <c r="C248" s="920" t="s">
        <v>1365</v>
      </c>
    </row>
    <row r="249" spans="2:3" ht="12.75" x14ac:dyDescent="0.2">
      <c r="B249" s="922" t="s">
        <v>406</v>
      </c>
      <c r="C249" s="920" t="s">
        <v>1365</v>
      </c>
    </row>
    <row r="250" spans="2:3" ht="12.75" x14ac:dyDescent="0.2">
      <c r="B250" s="922" t="s">
        <v>1118</v>
      </c>
      <c r="C250" s="920" t="s">
        <v>1365</v>
      </c>
    </row>
    <row r="251" spans="2:3" ht="12.75" x14ac:dyDescent="0.2">
      <c r="B251" s="922" t="s">
        <v>217</v>
      </c>
      <c r="C251" s="920" t="s">
        <v>1365</v>
      </c>
    </row>
    <row r="252" spans="2:3" ht="12.75" x14ac:dyDescent="0.2">
      <c r="B252" s="922" t="s">
        <v>407</v>
      </c>
      <c r="C252" s="920" t="s">
        <v>1365</v>
      </c>
    </row>
    <row r="253" spans="2:3" ht="12.75" x14ac:dyDescent="0.2">
      <c r="B253" s="922" t="s">
        <v>408</v>
      </c>
      <c r="C253" s="920" t="s">
        <v>1365</v>
      </c>
    </row>
    <row r="254" spans="2:3" ht="12.75" x14ac:dyDescent="0.2">
      <c r="B254" s="947" t="s">
        <v>1366</v>
      </c>
      <c r="C254" s="920" t="s">
        <v>1365</v>
      </c>
    </row>
    <row r="255" spans="2:3" ht="12.75" x14ac:dyDescent="0.2">
      <c r="B255" s="922" t="s">
        <v>218</v>
      </c>
      <c r="C255" s="920" t="s">
        <v>1365</v>
      </c>
    </row>
    <row r="256" spans="2:3" ht="12.75" x14ac:dyDescent="0.2">
      <c r="B256" s="922" t="s">
        <v>1086</v>
      </c>
      <c r="C256" s="920" t="s">
        <v>1367</v>
      </c>
    </row>
    <row r="257" spans="2:3" ht="12.75" x14ac:dyDescent="0.2">
      <c r="B257" s="922" t="s">
        <v>409</v>
      </c>
      <c r="C257" s="920" t="s">
        <v>1367</v>
      </c>
    </row>
    <row r="258" spans="2:3" ht="12.75" x14ac:dyDescent="0.2">
      <c r="B258" s="922" t="s">
        <v>410</v>
      </c>
      <c r="C258" s="920" t="s">
        <v>1367</v>
      </c>
    </row>
    <row r="259" spans="2:3" ht="12.75" x14ac:dyDescent="0.2">
      <c r="B259" s="922" t="s">
        <v>411</v>
      </c>
      <c r="C259" s="920" t="s">
        <v>1367</v>
      </c>
    </row>
    <row r="260" spans="2:3" ht="12.75" x14ac:dyDescent="0.2">
      <c r="B260" s="922" t="s">
        <v>412</v>
      </c>
      <c r="C260" s="920" t="s">
        <v>1367</v>
      </c>
    </row>
    <row r="261" spans="2:3" ht="12.75" x14ac:dyDescent="0.2">
      <c r="B261" s="922" t="s">
        <v>413</v>
      </c>
      <c r="C261" s="920" t="s">
        <v>1367</v>
      </c>
    </row>
    <row r="262" spans="2:3" ht="12.75" x14ac:dyDescent="0.2">
      <c r="B262" s="922" t="s">
        <v>191</v>
      </c>
      <c r="C262" s="920" t="s">
        <v>1367</v>
      </c>
    </row>
    <row r="263" spans="2:3" ht="12.75" x14ac:dyDescent="0.2">
      <c r="B263" s="922" t="s">
        <v>414</v>
      </c>
      <c r="C263" s="920" t="s">
        <v>1367</v>
      </c>
    </row>
    <row r="264" spans="2:3" ht="12.75" x14ac:dyDescent="0.2">
      <c r="B264" s="922" t="s">
        <v>415</v>
      </c>
      <c r="C264" s="920" t="s">
        <v>1367</v>
      </c>
    </row>
    <row r="265" spans="2:3" ht="12.75" x14ac:dyDescent="0.2">
      <c r="B265" s="922" t="s">
        <v>416</v>
      </c>
      <c r="C265" s="920" t="s">
        <v>1367</v>
      </c>
    </row>
    <row r="266" spans="2:3" ht="12.75" x14ac:dyDescent="0.2">
      <c r="B266" s="922" t="s">
        <v>417</v>
      </c>
      <c r="C266" s="920" t="s">
        <v>1367</v>
      </c>
    </row>
    <row r="267" spans="2:3" ht="12.75" x14ac:dyDescent="0.2">
      <c r="B267" s="922" t="s">
        <v>998</v>
      </c>
      <c r="C267" s="920" t="s">
        <v>1367</v>
      </c>
    </row>
    <row r="268" spans="2:3" ht="12.75" x14ac:dyDescent="0.2">
      <c r="B268" s="922" t="s">
        <v>1072</v>
      </c>
      <c r="C268" s="920" t="s">
        <v>1367</v>
      </c>
    </row>
    <row r="269" spans="2:3" ht="12.75" x14ac:dyDescent="0.2">
      <c r="B269" s="922" t="s">
        <v>418</v>
      </c>
      <c r="C269" s="920" t="s">
        <v>1367</v>
      </c>
    </row>
    <row r="270" spans="2:3" ht="12.75" x14ac:dyDescent="0.2">
      <c r="B270" s="922" t="s">
        <v>419</v>
      </c>
      <c r="C270" s="920" t="s">
        <v>1367</v>
      </c>
    </row>
    <row r="271" spans="2:3" ht="12.75" x14ac:dyDescent="0.2">
      <c r="B271" s="922" t="s">
        <v>420</v>
      </c>
      <c r="C271" s="920" t="s">
        <v>1367</v>
      </c>
    </row>
    <row r="272" spans="2:3" ht="12.75" x14ac:dyDescent="0.2">
      <c r="B272" s="922" t="s">
        <v>421</v>
      </c>
      <c r="C272" s="920" t="s">
        <v>1367</v>
      </c>
    </row>
    <row r="273" spans="2:3" ht="12.75" x14ac:dyDescent="0.2">
      <c r="B273" s="922" t="s">
        <v>207</v>
      </c>
      <c r="C273" s="920" t="s">
        <v>1367</v>
      </c>
    </row>
    <row r="274" spans="2:3" ht="12.75" x14ac:dyDescent="0.2">
      <c r="B274" s="922" t="s">
        <v>422</v>
      </c>
      <c r="C274" s="920" t="s">
        <v>1367</v>
      </c>
    </row>
    <row r="275" spans="2:3" ht="12.75" x14ac:dyDescent="0.2">
      <c r="B275" s="922" t="s">
        <v>423</v>
      </c>
      <c r="C275" s="920" t="s">
        <v>1367</v>
      </c>
    </row>
    <row r="276" spans="2:3" ht="12.75" x14ac:dyDescent="0.2">
      <c r="B276" s="922" t="s">
        <v>424</v>
      </c>
      <c r="C276" s="920" t="s">
        <v>1367</v>
      </c>
    </row>
    <row r="277" spans="2:3" ht="12.75" x14ac:dyDescent="0.2">
      <c r="B277" s="922" t="s">
        <v>425</v>
      </c>
      <c r="C277" s="920" t="s">
        <v>1367</v>
      </c>
    </row>
    <row r="278" spans="2:3" ht="12.75" x14ac:dyDescent="0.2">
      <c r="B278" s="922" t="s">
        <v>426</v>
      </c>
      <c r="C278" s="920" t="s">
        <v>1367</v>
      </c>
    </row>
    <row r="279" spans="2:3" ht="12.75" x14ac:dyDescent="0.2">
      <c r="B279" s="922" t="s">
        <v>427</v>
      </c>
      <c r="C279" s="920" t="s">
        <v>1367</v>
      </c>
    </row>
    <row r="280" spans="2:3" ht="12.75" x14ac:dyDescent="0.2">
      <c r="B280" s="922" t="s">
        <v>428</v>
      </c>
      <c r="C280" s="920" t="s">
        <v>1367</v>
      </c>
    </row>
    <row r="281" spans="2:3" ht="12.75" x14ac:dyDescent="0.2">
      <c r="B281" s="922" t="s">
        <v>1368</v>
      </c>
      <c r="C281" s="920" t="s">
        <v>1367</v>
      </c>
    </row>
    <row r="282" spans="2:3" ht="12.75" x14ac:dyDescent="0.2">
      <c r="B282" s="922" t="s">
        <v>429</v>
      </c>
      <c r="C282" s="920" t="s">
        <v>1367</v>
      </c>
    </row>
    <row r="283" spans="2:3" ht="12.75" x14ac:dyDescent="0.2">
      <c r="B283" s="922" t="s">
        <v>430</v>
      </c>
      <c r="C283" s="920" t="s">
        <v>1367</v>
      </c>
    </row>
    <row r="284" spans="2:3" ht="12.75" x14ac:dyDescent="0.2">
      <c r="B284" s="922" t="s">
        <v>431</v>
      </c>
      <c r="C284" s="920" t="s">
        <v>1367</v>
      </c>
    </row>
    <row r="285" spans="2:3" ht="12.75" x14ac:dyDescent="0.2">
      <c r="B285" s="922" t="s">
        <v>222</v>
      </c>
      <c r="C285" s="920" t="s">
        <v>1367</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F8" sqref="F8"/>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1058</v>
      </c>
      <c r="B1" s="809"/>
      <c r="C1" s="808" t="s">
        <v>1057</v>
      </c>
      <c r="E1" s="807" t="s">
        <v>1056</v>
      </c>
    </row>
    <row r="2" spans="1:5" x14ac:dyDescent="0.2">
      <c r="A2" s="797" t="str">
        <f>B2&amp;" - "&amp;C2</f>
        <v>Vote 1 - City Manager</v>
      </c>
      <c r="B2" s="805" t="s">
        <v>825</v>
      </c>
      <c r="C2" s="803" t="s">
        <v>1386</v>
      </c>
      <c r="E2" s="806"/>
    </row>
    <row r="3" spans="1:5" x14ac:dyDescent="0.2">
      <c r="A3" s="797" t="str">
        <f>B13&amp;" - "&amp; C13</f>
        <v>Vote 2 - City Finance</v>
      </c>
      <c r="B3" s="802">
        <v>1.1000000000000001</v>
      </c>
      <c r="C3" s="801" t="s">
        <v>1387</v>
      </c>
      <c r="D3" s="797" t="str">
        <f t="shared" ref="D3:D12" si="0">CONCATENATE(B3, " - ", C3)</f>
        <v>1.1 - Internal Audit and Compliance</v>
      </c>
      <c r="E3" s="800" t="s">
        <v>1382</v>
      </c>
    </row>
    <row r="4" spans="1:5" x14ac:dyDescent="0.2">
      <c r="A4" s="797" t="str">
        <f>B24&amp;" - "&amp;C24</f>
        <v>Vote 3 - Community Services and Social Equity</v>
      </c>
      <c r="B4" s="802">
        <v>1.2</v>
      </c>
      <c r="C4" s="801" t="s">
        <v>1388</v>
      </c>
      <c r="D4" s="797" t="str">
        <f t="shared" si="0"/>
        <v>1.2 - Office of the City Manager</v>
      </c>
      <c r="E4" s="800" t="s">
        <v>1383</v>
      </c>
    </row>
    <row r="5" spans="1:5" x14ac:dyDescent="0.2">
      <c r="A5" s="797" t="str">
        <f>B35&amp;" - "&amp;C35</f>
        <v>Vote 4 - Corporate Services</v>
      </c>
      <c r="B5" s="802">
        <v>1.3</v>
      </c>
      <c r="C5" s="801" t="s">
        <v>1389</v>
      </c>
      <c r="D5" s="797" t="str">
        <f t="shared" si="0"/>
        <v>1.3 - Political Support</v>
      </c>
      <c r="E5" s="800" t="s">
        <v>1384</v>
      </c>
    </row>
    <row r="6" spans="1:5" x14ac:dyDescent="0.2">
      <c r="A6" s="797" t="str">
        <f>B46&amp;" - "&amp;C46</f>
        <v>Vote 5 - Infrastructure Services</v>
      </c>
      <c r="B6" s="802">
        <v>1.4</v>
      </c>
      <c r="C6" s="801" t="s">
        <v>1390</v>
      </c>
      <c r="D6" s="797" t="str">
        <f t="shared" si="0"/>
        <v>1.4 - Strategic Planning</v>
      </c>
      <c r="E6" s="800" t="s">
        <v>1385</v>
      </c>
    </row>
    <row r="7" spans="1:5" x14ac:dyDescent="0.2">
      <c r="A7" s="797" t="str">
        <f>B57&amp;" - "&amp;C57</f>
        <v>Vote 6 - Sustainable Development and City Enterprises</v>
      </c>
      <c r="B7" s="802">
        <v>1.5</v>
      </c>
      <c r="C7" s="801" t="s">
        <v>1022</v>
      </c>
      <c r="D7" s="797" t="str">
        <f t="shared" si="0"/>
        <v>1.5 - [Name of sub-vote]</v>
      </c>
      <c r="E7" s="800"/>
    </row>
    <row r="8" spans="1:5" x14ac:dyDescent="0.2">
      <c r="A8" s="797" t="str">
        <f>B68&amp;" - "&amp;C68</f>
        <v>Vote 7 - [NAME OF VOTE 7]</v>
      </c>
      <c r="B8" s="802">
        <v>1.6</v>
      </c>
      <c r="C8" s="801" t="s">
        <v>1022</v>
      </c>
      <c r="D8" s="797" t="str">
        <f t="shared" si="0"/>
        <v>1.6 - [Name of sub-vote]</v>
      </c>
      <c r="E8" s="800"/>
    </row>
    <row r="9" spans="1:5" x14ac:dyDescent="0.2">
      <c r="A9" s="797" t="str">
        <f>B79&amp;" - "&amp;C79</f>
        <v>Vote 8 - [NAME OF VOTE 8]</v>
      </c>
      <c r="B9" s="802">
        <v>1.7</v>
      </c>
      <c r="C9" s="801" t="s">
        <v>1022</v>
      </c>
      <c r="D9" s="797" t="str">
        <f t="shared" si="0"/>
        <v>1.7 - [Name of sub-vote]</v>
      </c>
      <c r="E9" s="800"/>
    </row>
    <row r="10" spans="1:5" x14ac:dyDescent="0.2">
      <c r="A10" s="797" t="str">
        <f>B90&amp;" - "&amp;C90</f>
        <v>Vote 9 - [NAME OF VOTE 9]</v>
      </c>
      <c r="B10" s="802">
        <v>1.8</v>
      </c>
      <c r="C10" s="801" t="s">
        <v>1022</v>
      </c>
      <c r="D10" s="797" t="str">
        <f t="shared" si="0"/>
        <v>1.8 - [Name of sub-vote]</v>
      </c>
      <c r="E10" s="800"/>
    </row>
    <row r="11" spans="1:5" x14ac:dyDescent="0.2">
      <c r="A11" s="797" t="str">
        <f>B101&amp;" - "&amp;C101</f>
        <v>Vote 10 - [NAME OF VOTE 10]</v>
      </c>
      <c r="B11" s="802">
        <v>1.9</v>
      </c>
      <c r="C11" s="801" t="s">
        <v>1022</v>
      </c>
      <c r="D11" s="797" t="str">
        <f t="shared" si="0"/>
        <v>1.9 - [Name of sub-vote]</v>
      </c>
      <c r="E11" s="800"/>
    </row>
    <row r="12" spans="1:5" x14ac:dyDescent="0.2">
      <c r="A12" s="797" t="str">
        <f>B112&amp;" - "&amp;C112</f>
        <v>Vote 11 - [NAME OF VOTE 11]</v>
      </c>
      <c r="B12" s="802" t="s">
        <v>1055</v>
      </c>
      <c r="C12" s="801" t="s">
        <v>1022</v>
      </c>
      <c r="D12" s="797" t="str">
        <f t="shared" si="0"/>
        <v>1.10 - [Name of sub-vote]</v>
      </c>
      <c r="E12" s="800"/>
    </row>
    <row r="13" spans="1:5" x14ac:dyDescent="0.2">
      <c r="A13" s="797" t="str">
        <f>B123&amp;" - "&amp;C123</f>
        <v>Vote 12 - [NAME OF VOTE 12]</v>
      </c>
      <c r="B13" s="805" t="s">
        <v>824</v>
      </c>
      <c r="C13" s="803" t="s">
        <v>1391</v>
      </c>
      <c r="E13" s="806"/>
    </row>
    <row r="14" spans="1:5" x14ac:dyDescent="0.2">
      <c r="A14" s="797" t="str">
        <f>B134&amp;" - "&amp;C134</f>
        <v>Vote 13 - [NAME OF VOTE 13]</v>
      </c>
      <c r="B14" s="802">
        <v>2.1</v>
      </c>
      <c r="C14" s="801" t="s">
        <v>1138</v>
      </c>
      <c r="D14" s="797" t="str">
        <f t="shared" ref="D14:D23" si="1">CONCATENATE(B14, " - ", C14)</f>
        <v>2.1 - Asset Management</v>
      </c>
      <c r="E14" s="800" t="s">
        <v>1398</v>
      </c>
    </row>
    <row r="15" spans="1:5" x14ac:dyDescent="0.2">
      <c r="A15" s="797" t="str">
        <f>B145&amp;" - "&amp;C145</f>
        <v>Vote 14 - [NAME OF VOTE 14]</v>
      </c>
      <c r="B15" s="802">
        <v>2.2000000000000002</v>
      </c>
      <c r="C15" s="801" t="s">
        <v>1392</v>
      </c>
      <c r="D15" s="797" t="str">
        <f t="shared" si="1"/>
        <v>2.2 - Budget and Treasury Management</v>
      </c>
      <c r="E15" s="800" t="s">
        <v>1399</v>
      </c>
    </row>
    <row r="16" spans="1:5" x14ac:dyDescent="0.2">
      <c r="A16" s="797" t="str">
        <f>B156&amp;" - "&amp;C156</f>
        <v>Vote 15 - [NAME OF VOTE 15]</v>
      </c>
      <c r="B16" s="802">
        <v>2.2999999999999998</v>
      </c>
      <c r="C16" s="801" t="s">
        <v>1393</v>
      </c>
      <c r="D16" s="797" t="str">
        <f t="shared" si="1"/>
        <v>2.3 - Expenditure Management</v>
      </c>
      <c r="E16" s="800" t="s">
        <v>1400</v>
      </c>
    </row>
    <row r="17" spans="1:5" x14ac:dyDescent="0.2">
      <c r="B17" s="802">
        <v>2.4</v>
      </c>
      <c r="C17" s="801" t="s">
        <v>443</v>
      </c>
      <c r="D17" s="797" t="str">
        <f t="shared" si="1"/>
        <v>2.4 - Revenue Management</v>
      </c>
      <c r="E17" s="800" t="s">
        <v>1401</v>
      </c>
    </row>
    <row r="18" spans="1:5" x14ac:dyDescent="0.2">
      <c r="B18" s="802">
        <v>2.5</v>
      </c>
      <c r="C18" s="801" t="s">
        <v>1394</v>
      </c>
      <c r="D18" s="797" t="str">
        <f t="shared" si="1"/>
        <v>2.5 - Supply Chain Management</v>
      </c>
      <c r="E18" s="800" t="s">
        <v>1402</v>
      </c>
    </row>
    <row r="19" spans="1:5" x14ac:dyDescent="0.2">
      <c r="B19" s="802">
        <v>2.6</v>
      </c>
      <c r="C19" s="801" t="s">
        <v>1022</v>
      </c>
      <c r="D19" s="797" t="str">
        <f t="shared" si="1"/>
        <v>2.6 - [Name of sub-vote]</v>
      </c>
      <c r="E19" s="800"/>
    </row>
    <row r="20" spans="1:5" x14ac:dyDescent="0.2">
      <c r="B20" s="802">
        <v>2.7</v>
      </c>
      <c r="C20" s="801" t="s">
        <v>1022</v>
      </c>
      <c r="D20" s="797" t="str">
        <f t="shared" si="1"/>
        <v>2.7 - [Name of sub-vote]</v>
      </c>
      <c r="E20" s="800"/>
    </row>
    <row r="21" spans="1:5" x14ac:dyDescent="0.2">
      <c r="A21" s="806"/>
      <c r="B21" s="802">
        <v>2.8</v>
      </c>
      <c r="C21" s="801" t="s">
        <v>1022</v>
      </c>
      <c r="D21" s="797" t="str">
        <f t="shared" si="1"/>
        <v>2.8 - [Name of sub-vote]</v>
      </c>
      <c r="E21" s="800"/>
    </row>
    <row r="22" spans="1:5" x14ac:dyDescent="0.2">
      <c r="B22" s="802">
        <v>2.9</v>
      </c>
      <c r="C22" s="801" t="s">
        <v>1022</v>
      </c>
      <c r="D22" s="797" t="str">
        <f t="shared" si="1"/>
        <v>2.9 - [Name of sub-vote]</v>
      </c>
      <c r="E22" s="800"/>
    </row>
    <row r="23" spans="1:5" x14ac:dyDescent="0.2">
      <c r="B23" s="802" t="s">
        <v>1054</v>
      </c>
      <c r="C23" s="801" t="s">
        <v>1022</v>
      </c>
      <c r="D23" s="797" t="str">
        <f t="shared" si="1"/>
        <v>2.10 - [Name of sub-vote]</v>
      </c>
      <c r="E23" s="800"/>
    </row>
    <row r="24" spans="1:5" x14ac:dyDescent="0.2">
      <c r="B24" s="805" t="s">
        <v>823</v>
      </c>
      <c r="C24" s="803" t="s">
        <v>1429</v>
      </c>
      <c r="E24" s="800"/>
    </row>
    <row r="25" spans="1:5" x14ac:dyDescent="0.2">
      <c r="B25" s="802">
        <v>3.1</v>
      </c>
      <c r="C25" s="801" t="s">
        <v>1430</v>
      </c>
      <c r="D25" s="797" t="str">
        <f t="shared" ref="D25:D34" si="2">CONCATENATE(B25, " - ", C25)</f>
        <v xml:space="preserve">3.1 - Area Based Management </v>
      </c>
      <c r="E25" s="800" t="s">
        <v>1434</v>
      </c>
    </row>
    <row r="26" spans="1:5" x14ac:dyDescent="0.2">
      <c r="B26" s="802">
        <v>3.2</v>
      </c>
      <c r="C26" s="801" t="s">
        <v>1431</v>
      </c>
      <c r="D26" s="797" t="str">
        <f t="shared" si="2"/>
        <v>3.2 - Public Safety, Emergency Services and Enforcement</v>
      </c>
      <c r="E26" s="800" t="s">
        <v>1435</v>
      </c>
    </row>
    <row r="27" spans="1:5" x14ac:dyDescent="0.2">
      <c r="B27" s="802">
        <v>3.3</v>
      </c>
      <c r="C27" s="801" t="s">
        <v>1432</v>
      </c>
      <c r="D27" s="797" t="str">
        <f t="shared" si="2"/>
        <v>3.3 - Recreation and Facilities</v>
      </c>
      <c r="E27" s="800" t="s">
        <v>1436</v>
      </c>
    </row>
    <row r="28" spans="1:5" x14ac:dyDescent="0.2">
      <c r="B28" s="802">
        <v>3.4</v>
      </c>
      <c r="C28" s="801" t="s">
        <v>1433</v>
      </c>
      <c r="D28" s="797" t="str">
        <f t="shared" si="2"/>
        <v>3.4 - Waste Management</v>
      </c>
      <c r="E28" s="800" t="s">
        <v>1437</v>
      </c>
    </row>
    <row r="29" spans="1:5" x14ac:dyDescent="0.2">
      <c r="B29" s="802">
        <v>3.5</v>
      </c>
      <c r="C29" s="801" t="s">
        <v>1022</v>
      </c>
      <c r="D29" s="797" t="str">
        <f t="shared" si="2"/>
        <v>3.5 - [Name of sub-vote]</v>
      </c>
      <c r="E29" s="800"/>
    </row>
    <row r="30" spans="1:5" x14ac:dyDescent="0.2">
      <c r="B30" s="802">
        <v>3.6</v>
      </c>
      <c r="C30" s="801" t="s">
        <v>1022</v>
      </c>
      <c r="D30" s="797" t="str">
        <f t="shared" si="2"/>
        <v>3.6 - [Name of sub-vote]</v>
      </c>
      <c r="E30" s="800"/>
    </row>
    <row r="31" spans="1:5" x14ac:dyDescent="0.2">
      <c r="B31" s="802">
        <v>3.7</v>
      </c>
      <c r="C31" s="801" t="s">
        <v>1022</v>
      </c>
      <c r="D31" s="797" t="str">
        <f t="shared" si="2"/>
        <v>3.7 - [Name of sub-vote]</v>
      </c>
      <c r="E31" s="800"/>
    </row>
    <row r="32" spans="1:5" x14ac:dyDescent="0.2">
      <c r="B32" s="802">
        <v>3.8</v>
      </c>
      <c r="C32" s="801" t="s">
        <v>1022</v>
      </c>
      <c r="D32" s="797" t="str">
        <f t="shared" si="2"/>
        <v>3.8 - [Name of sub-vote]</v>
      </c>
      <c r="E32" s="800"/>
    </row>
    <row r="33" spans="2:5" x14ac:dyDescent="0.2">
      <c r="B33" s="802">
        <v>3.9</v>
      </c>
      <c r="C33" s="801" t="s">
        <v>1022</v>
      </c>
      <c r="D33" s="797" t="str">
        <f t="shared" si="2"/>
        <v>3.9 - [Name of sub-vote]</v>
      </c>
      <c r="E33" s="800"/>
    </row>
    <row r="34" spans="2:5" x14ac:dyDescent="0.2">
      <c r="B34" s="802" t="s">
        <v>1053</v>
      </c>
      <c r="C34" s="801" t="s">
        <v>1022</v>
      </c>
      <c r="D34" s="797" t="str">
        <f t="shared" si="2"/>
        <v>3.10 - [Name of sub-vote]</v>
      </c>
      <c r="E34" s="800"/>
    </row>
    <row r="35" spans="2:5" x14ac:dyDescent="0.2">
      <c r="B35" s="805" t="s">
        <v>822</v>
      </c>
      <c r="C35" s="803" t="s">
        <v>1395</v>
      </c>
      <c r="E35" s="800"/>
    </row>
    <row r="36" spans="2:5" x14ac:dyDescent="0.2">
      <c r="B36" s="802">
        <v>4.0999999999999996</v>
      </c>
      <c r="C36" s="801" t="s">
        <v>1396</v>
      </c>
      <c r="D36" s="797" t="str">
        <f t="shared" ref="D36:D45" si="3">CONCATENATE(B36, " - ", C36)</f>
        <v>4.1 - Human Resources Management</v>
      </c>
      <c r="E36" s="800" t="s">
        <v>1404</v>
      </c>
    </row>
    <row r="37" spans="2:5" x14ac:dyDescent="0.2">
      <c r="B37" s="802">
        <v>4.2</v>
      </c>
      <c r="C37" s="801" t="s">
        <v>168</v>
      </c>
      <c r="D37" s="797" t="str">
        <f t="shared" si="3"/>
        <v>4.2 - Information Technology</v>
      </c>
      <c r="E37" s="800" t="s">
        <v>1403</v>
      </c>
    </row>
    <row r="38" spans="2:5" x14ac:dyDescent="0.2">
      <c r="B38" s="802">
        <v>4.3</v>
      </c>
      <c r="C38" s="801" t="s">
        <v>1141</v>
      </c>
      <c r="D38" s="797" t="str">
        <f t="shared" si="3"/>
        <v>4.3 - Legal Services</v>
      </c>
      <c r="E38" s="800" t="s">
        <v>1405</v>
      </c>
    </row>
    <row r="39" spans="2:5" x14ac:dyDescent="0.2">
      <c r="B39" s="802">
        <v>4.4000000000000004</v>
      </c>
      <c r="C39" s="801" t="s">
        <v>1397</v>
      </c>
      <c r="D39" s="797" t="str">
        <f t="shared" si="3"/>
        <v>4.4 - Secretariat and Auxiliary Services</v>
      </c>
      <c r="E39" s="800" t="s">
        <v>1406</v>
      </c>
    </row>
    <row r="40" spans="2:5" x14ac:dyDescent="0.2">
      <c r="B40" s="802">
        <v>4.5</v>
      </c>
      <c r="C40" s="801" t="s">
        <v>1426</v>
      </c>
      <c r="D40" s="797" t="str">
        <f t="shared" si="3"/>
        <v>4.5 - General Manager: Corporate Service</v>
      </c>
      <c r="E40" s="800" t="s">
        <v>1438</v>
      </c>
    </row>
    <row r="41" spans="2:5" x14ac:dyDescent="0.2">
      <c r="B41" s="802">
        <v>4.5999999999999996</v>
      </c>
      <c r="C41" s="801" t="s">
        <v>1022</v>
      </c>
      <c r="D41" s="797" t="str">
        <f t="shared" si="3"/>
        <v>4.6 - [Name of sub-vote]</v>
      </c>
      <c r="E41" s="800"/>
    </row>
    <row r="42" spans="2:5" x14ac:dyDescent="0.2">
      <c r="B42" s="802">
        <v>4.7</v>
      </c>
      <c r="C42" s="801" t="s">
        <v>1022</v>
      </c>
      <c r="D42" s="797" t="str">
        <f t="shared" si="3"/>
        <v>4.7 - [Name of sub-vote]</v>
      </c>
      <c r="E42" s="800"/>
    </row>
    <row r="43" spans="2:5" x14ac:dyDescent="0.2">
      <c r="B43" s="802">
        <v>4.8</v>
      </c>
      <c r="C43" s="801" t="s">
        <v>1022</v>
      </c>
      <c r="D43" s="797" t="str">
        <f t="shared" si="3"/>
        <v>4.8 - [Name of sub-vote]</v>
      </c>
      <c r="E43" s="800"/>
    </row>
    <row r="44" spans="2:5" x14ac:dyDescent="0.2">
      <c r="B44" s="802">
        <v>4.9000000000000004</v>
      </c>
      <c r="C44" s="801" t="s">
        <v>1022</v>
      </c>
      <c r="D44" s="797" t="str">
        <f t="shared" si="3"/>
        <v>4.9 - [Name of sub-vote]</v>
      </c>
      <c r="E44" s="800"/>
    </row>
    <row r="45" spans="2:5" x14ac:dyDescent="0.2">
      <c r="B45" s="802" t="s">
        <v>1052</v>
      </c>
      <c r="C45" s="801" t="s">
        <v>1022</v>
      </c>
      <c r="D45" s="797" t="str">
        <f t="shared" si="3"/>
        <v>4.10 - [Name of sub-vote]</v>
      </c>
      <c r="E45" s="800"/>
    </row>
    <row r="46" spans="2:5" x14ac:dyDescent="0.2">
      <c r="B46" s="805" t="s">
        <v>821</v>
      </c>
      <c r="C46" s="803" t="s">
        <v>1407</v>
      </c>
      <c r="E46" s="800"/>
    </row>
    <row r="47" spans="2:5" x14ac:dyDescent="0.2">
      <c r="B47" s="802">
        <v>5.0999999999999996</v>
      </c>
      <c r="C47" s="801" t="s">
        <v>1408</v>
      </c>
      <c r="D47" s="797" t="str">
        <f t="shared" ref="D47:D56" si="4">CONCATENATE(B47, " - ", C47)</f>
        <v>5.1 - Electricity</v>
      </c>
      <c r="E47" s="800" t="s">
        <v>1412</v>
      </c>
    </row>
    <row r="48" spans="2:5" x14ac:dyDescent="0.2">
      <c r="B48" s="802">
        <v>5.2</v>
      </c>
      <c r="C48" s="801" t="s">
        <v>1409</v>
      </c>
      <c r="D48" s="797" t="str">
        <f t="shared" si="4"/>
        <v>5.2 - Project Management Office</v>
      </c>
      <c r="E48" s="800" t="s">
        <v>1413</v>
      </c>
    </row>
    <row r="49" spans="2:5" x14ac:dyDescent="0.2">
      <c r="B49" s="802">
        <v>5.3</v>
      </c>
      <c r="C49" s="801" t="s">
        <v>1410</v>
      </c>
      <c r="D49" s="797" t="str">
        <f t="shared" si="4"/>
        <v>5.3 - Roads and Transportation</v>
      </c>
      <c r="E49" s="800" t="s">
        <v>1414</v>
      </c>
    </row>
    <row r="50" spans="2:5" x14ac:dyDescent="0.2">
      <c r="B50" s="802">
        <v>5.4</v>
      </c>
      <c r="C50" s="801" t="s">
        <v>1411</v>
      </c>
      <c r="D50" s="797" t="str">
        <f t="shared" si="4"/>
        <v>5.4 - Water and Sanitation</v>
      </c>
      <c r="E50" s="800" t="s">
        <v>1415</v>
      </c>
    </row>
    <row r="51" spans="2:5" x14ac:dyDescent="0.2">
      <c r="B51" s="802">
        <v>5.5</v>
      </c>
      <c r="C51" s="801" t="s">
        <v>1427</v>
      </c>
      <c r="D51" s="797" t="str">
        <f t="shared" si="4"/>
        <v xml:space="preserve">5.5 - General Manager: Infrastructure </v>
      </c>
      <c r="E51" s="800" t="s">
        <v>1428</v>
      </c>
    </row>
    <row r="52" spans="2:5" x14ac:dyDescent="0.2">
      <c r="B52" s="802">
        <v>5.6</v>
      </c>
      <c r="C52" s="801" t="s">
        <v>1022</v>
      </c>
      <c r="D52" s="797" t="str">
        <f t="shared" si="4"/>
        <v>5.6 - [Name of sub-vote]</v>
      </c>
      <c r="E52" s="800"/>
    </row>
    <row r="53" spans="2:5" x14ac:dyDescent="0.2">
      <c r="B53" s="802">
        <v>5.7</v>
      </c>
      <c r="C53" s="801" t="s">
        <v>1022</v>
      </c>
      <c r="D53" s="797" t="str">
        <f t="shared" si="4"/>
        <v>5.7 - [Name of sub-vote]</v>
      </c>
      <c r="E53" s="800"/>
    </row>
    <row r="54" spans="2:5" x14ac:dyDescent="0.2">
      <c r="B54" s="802">
        <v>5.8</v>
      </c>
      <c r="C54" s="801" t="s">
        <v>1022</v>
      </c>
      <c r="D54" s="797" t="str">
        <f t="shared" si="4"/>
        <v>5.8 - [Name of sub-vote]</v>
      </c>
      <c r="E54" s="800"/>
    </row>
    <row r="55" spans="2:5" x14ac:dyDescent="0.2">
      <c r="B55" s="802">
        <v>5.9</v>
      </c>
      <c r="C55" s="801" t="s">
        <v>1022</v>
      </c>
      <c r="D55" s="797" t="str">
        <f t="shared" si="4"/>
        <v>5.9 - [Name of sub-vote]</v>
      </c>
      <c r="E55" s="800"/>
    </row>
    <row r="56" spans="2:5" x14ac:dyDescent="0.2">
      <c r="B56" s="802" t="s">
        <v>1051</v>
      </c>
      <c r="C56" s="801" t="s">
        <v>1022</v>
      </c>
      <c r="D56" s="797" t="str">
        <f t="shared" si="4"/>
        <v>5.10 - [Name of sub-vote]</v>
      </c>
      <c r="E56" s="800"/>
    </row>
    <row r="57" spans="2:5" x14ac:dyDescent="0.2">
      <c r="B57" s="805" t="s">
        <v>820</v>
      </c>
      <c r="C57" s="803" t="s">
        <v>1416</v>
      </c>
      <c r="E57" s="800"/>
    </row>
    <row r="58" spans="2:5" x14ac:dyDescent="0.2">
      <c r="B58" s="802">
        <v>6.1</v>
      </c>
      <c r="C58" s="801" t="s">
        <v>1417</v>
      </c>
      <c r="D58" s="797" t="str">
        <f t="shared" ref="D58:D67" si="5">CONCATENATE(B58, " - ", C58)</f>
        <v>6.1 - City Entities</v>
      </c>
      <c r="E58" s="800" t="s">
        <v>1421</v>
      </c>
    </row>
    <row r="59" spans="2:5" x14ac:dyDescent="0.2">
      <c r="B59" s="802">
        <v>6.2</v>
      </c>
      <c r="C59" s="801" t="s">
        <v>1418</v>
      </c>
      <c r="D59" s="797" t="str">
        <f t="shared" si="5"/>
        <v>6.2 - Development Services</v>
      </c>
      <c r="E59" s="800" t="s">
        <v>1422</v>
      </c>
    </row>
    <row r="60" spans="2:5" x14ac:dyDescent="0.2">
      <c r="B60" s="802">
        <v>6.3</v>
      </c>
      <c r="C60" s="801" t="s">
        <v>1419</v>
      </c>
      <c r="D60" s="797" t="str">
        <f t="shared" si="5"/>
        <v>6.3 - Human Settlement Development</v>
      </c>
      <c r="E60" s="800" t="s">
        <v>1423</v>
      </c>
    </row>
    <row r="61" spans="2:5" x14ac:dyDescent="0.2">
      <c r="B61" s="802">
        <v>6.4</v>
      </c>
      <c r="C61" s="801" t="s">
        <v>1420</v>
      </c>
      <c r="D61" s="797" t="str">
        <f t="shared" si="5"/>
        <v>6.4 - Town Planning</v>
      </c>
      <c r="E61" s="800" t="s">
        <v>1424</v>
      </c>
    </row>
    <row r="62" spans="2:5" x14ac:dyDescent="0.2">
      <c r="B62" s="802">
        <v>6.5</v>
      </c>
      <c r="C62" s="801" t="s">
        <v>1439</v>
      </c>
      <c r="D62" s="797" t="str">
        <f t="shared" si="5"/>
        <v>6.5 - 6.5 - General Manager: Sustainable Development and City Enterprises</v>
      </c>
      <c r="E62" s="800" t="s">
        <v>1440</v>
      </c>
    </row>
    <row r="63" spans="2:5" x14ac:dyDescent="0.2">
      <c r="B63" s="802">
        <v>6.6</v>
      </c>
      <c r="C63" s="801" t="s">
        <v>1022</v>
      </c>
      <c r="D63" s="797" t="str">
        <f t="shared" si="5"/>
        <v>6.6 - [Name of sub-vote]</v>
      </c>
      <c r="E63" s="800"/>
    </row>
    <row r="64" spans="2:5" x14ac:dyDescent="0.2">
      <c r="B64" s="802">
        <v>6.7</v>
      </c>
      <c r="C64" s="801" t="s">
        <v>1022</v>
      </c>
      <c r="D64" s="797" t="str">
        <f t="shared" si="5"/>
        <v>6.7 - [Name of sub-vote]</v>
      </c>
      <c r="E64" s="800"/>
    </row>
    <row r="65" spans="2:5" x14ac:dyDescent="0.2">
      <c r="B65" s="802">
        <v>6.8</v>
      </c>
      <c r="C65" s="801" t="s">
        <v>1022</v>
      </c>
      <c r="D65" s="797" t="str">
        <f t="shared" si="5"/>
        <v>6.8 - [Name of sub-vote]</v>
      </c>
      <c r="E65" s="800"/>
    </row>
    <row r="66" spans="2:5" x14ac:dyDescent="0.2">
      <c r="B66" s="802">
        <v>6.9</v>
      </c>
      <c r="C66" s="801" t="s">
        <v>1022</v>
      </c>
      <c r="D66" s="797" t="str">
        <f t="shared" si="5"/>
        <v>6.9 - [Name of sub-vote]</v>
      </c>
      <c r="E66" s="800"/>
    </row>
    <row r="67" spans="2:5" x14ac:dyDescent="0.2">
      <c r="B67" s="802" t="s">
        <v>1050</v>
      </c>
      <c r="C67" s="801" t="s">
        <v>1022</v>
      </c>
      <c r="D67" s="797" t="str">
        <f t="shared" si="5"/>
        <v>6.10 - [Name of sub-vote]</v>
      </c>
      <c r="E67" s="800"/>
    </row>
    <row r="68" spans="2:5" x14ac:dyDescent="0.2">
      <c r="B68" s="804" t="s">
        <v>819</v>
      </c>
      <c r="C68" s="803" t="s">
        <v>1049</v>
      </c>
      <c r="E68" s="800"/>
    </row>
    <row r="69" spans="2:5" x14ac:dyDescent="0.2">
      <c r="B69" s="802">
        <v>7.1</v>
      </c>
      <c r="C69" s="801" t="s">
        <v>1022</v>
      </c>
      <c r="D69" s="797" t="str">
        <f t="shared" ref="D69:D78" si="6">CONCATENATE(B69, " - ", C69)</f>
        <v>7.1 - [Name of sub-vote]</v>
      </c>
      <c r="E69" s="800" t="s">
        <v>1048</v>
      </c>
    </row>
    <row r="70" spans="2:5" x14ac:dyDescent="0.2">
      <c r="B70" s="802">
        <v>7.2</v>
      </c>
      <c r="C70" s="801" t="s">
        <v>1022</v>
      </c>
      <c r="D70" s="797" t="str">
        <f t="shared" si="6"/>
        <v>7.2 - [Name of sub-vote]</v>
      </c>
      <c r="E70" s="800"/>
    </row>
    <row r="71" spans="2:5" x14ac:dyDescent="0.2">
      <c r="B71" s="802">
        <v>7.3</v>
      </c>
      <c r="C71" s="801" t="s">
        <v>1022</v>
      </c>
      <c r="D71" s="797" t="str">
        <f t="shared" si="6"/>
        <v>7.3 - [Name of sub-vote]</v>
      </c>
      <c r="E71" s="800"/>
    </row>
    <row r="72" spans="2:5" x14ac:dyDescent="0.2">
      <c r="B72" s="802">
        <v>7.4</v>
      </c>
      <c r="C72" s="801" t="s">
        <v>1022</v>
      </c>
      <c r="D72" s="797" t="str">
        <f t="shared" si="6"/>
        <v>7.4 - [Name of sub-vote]</v>
      </c>
      <c r="E72" s="800"/>
    </row>
    <row r="73" spans="2:5" x14ac:dyDescent="0.2">
      <c r="B73" s="802">
        <v>7.5</v>
      </c>
      <c r="C73" s="801" t="s">
        <v>1022</v>
      </c>
      <c r="D73" s="797" t="str">
        <f t="shared" si="6"/>
        <v>7.5 - [Name of sub-vote]</v>
      </c>
      <c r="E73" s="800"/>
    </row>
    <row r="74" spans="2:5" x14ac:dyDescent="0.2">
      <c r="B74" s="802">
        <v>7.6</v>
      </c>
      <c r="C74" s="801" t="s">
        <v>1022</v>
      </c>
      <c r="D74" s="797" t="str">
        <f t="shared" si="6"/>
        <v>7.6 - [Name of sub-vote]</v>
      </c>
      <c r="E74" s="800"/>
    </row>
    <row r="75" spans="2:5" x14ac:dyDescent="0.2">
      <c r="B75" s="802">
        <v>7.7</v>
      </c>
      <c r="C75" s="801" t="s">
        <v>1022</v>
      </c>
      <c r="D75" s="797" t="str">
        <f t="shared" si="6"/>
        <v>7.7 - [Name of sub-vote]</v>
      </c>
      <c r="E75" s="800"/>
    </row>
    <row r="76" spans="2:5" x14ac:dyDescent="0.2">
      <c r="B76" s="802">
        <v>7.8</v>
      </c>
      <c r="C76" s="801" t="s">
        <v>1022</v>
      </c>
      <c r="D76" s="797" t="str">
        <f t="shared" si="6"/>
        <v>7.8 - [Name of sub-vote]</v>
      </c>
      <c r="E76" s="800"/>
    </row>
    <row r="77" spans="2:5" x14ac:dyDescent="0.2">
      <c r="B77" s="802">
        <v>7.9</v>
      </c>
      <c r="C77" s="801" t="s">
        <v>1022</v>
      </c>
      <c r="D77" s="797" t="str">
        <f t="shared" si="6"/>
        <v>7.9 - [Name of sub-vote]</v>
      </c>
      <c r="E77" s="800"/>
    </row>
    <row r="78" spans="2:5" x14ac:dyDescent="0.2">
      <c r="B78" s="802" t="s">
        <v>1047</v>
      </c>
      <c r="C78" s="801" t="s">
        <v>1022</v>
      </c>
      <c r="D78" s="797" t="str">
        <f t="shared" si="6"/>
        <v>7.10 - [Name of sub-vote]</v>
      </c>
      <c r="E78" s="800"/>
    </row>
    <row r="79" spans="2:5" x14ac:dyDescent="0.2">
      <c r="B79" s="804" t="s">
        <v>818</v>
      </c>
      <c r="C79" s="803" t="s">
        <v>1046</v>
      </c>
      <c r="E79" s="800"/>
    </row>
    <row r="80" spans="2:5" x14ac:dyDescent="0.2">
      <c r="B80" s="802">
        <v>8.1</v>
      </c>
      <c r="C80" s="801" t="s">
        <v>1022</v>
      </c>
      <c r="D80" s="797" t="str">
        <f t="shared" ref="D80:D89" si="7">CONCATENATE(B80, " - ", C80)</f>
        <v>8.1 - [Name of sub-vote]</v>
      </c>
      <c r="E80" s="800" t="s">
        <v>1045</v>
      </c>
    </row>
    <row r="81" spans="2:5" x14ac:dyDescent="0.2">
      <c r="B81" s="802">
        <v>8.1999999999999993</v>
      </c>
      <c r="C81" s="801" t="s">
        <v>1022</v>
      </c>
      <c r="D81" s="797" t="str">
        <f t="shared" si="7"/>
        <v>8.2 - [Name of sub-vote]</v>
      </c>
      <c r="E81" s="800"/>
    </row>
    <row r="82" spans="2:5" x14ac:dyDescent="0.2">
      <c r="B82" s="802">
        <v>8.3000000000000007</v>
      </c>
      <c r="C82" s="801" t="s">
        <v>1022</v>
      </c>
      <c r="D82" s="797" t="str">
        <f t="shared" si="7"/>
        <v>8.3 - [Name of sub-vote]</v>
      </c>
      <c r="E82" s="800"/>
    </row>
    <row r="83" spans="2:5" x14ac:dyDescent="0.2">
      <c r="B83" s="802">
        <v>8.4</v>
      </c>
      <c r="C83" s="801" t="s">
        <v>1022</v>
      </c>
      <c r="D83" s="797" t="str">
        <f t="shared" si="7"/>
        <v>8.4 - [Name of sub-vote]</v>
      </c>
      <c r="E83" s="800"/>
    </row>
    <row r="84" spans="2:5" x14ac:dyDescent="0.2">
      <c r="B84" s="802">
        <v>8.5</v>
      </c>
      <c r="C84" s="801" t="s">
        <v>1022</v>
      </c>
      <c r="D84" s="797" t="str">
        <f t="shared" si="7"/>
        <v>8.5 - [Name of sub-vote]</v>
      </c>
      <c r="E84" s="800"/>
    </row>
    <row r="85" spans="2:5" x14ac:dyDescent="0.2">
      <c r="B85" s="802">
        <v>8.6</v>
      </c>
      <c r="C85" s="801" t="s">
        <v>1022</v>
      </c>
      <c r="D85" s="797" t="str">
        <f t="shared" si="7"/>
        <v>8.6 - [Name of sub-vote]</v>
      </c>
      <c r="E85" s="800"/>
    </row>
    <row r="86" spans="2:5" x14ac:dyDescent="0.2">
      <c r="B86" s="802">
        <v>8.6999999999999993</v>
      </c>
      <c r="C86" s="801" t="s">
        <v>1022</v>
      </c>
      <c r="D86" s="797" t="str">
        <f t="shared" si="7"/>
        <v>8.7 - [Name of sub-vote]</v>
      </c>
      <c r="E86" s="800"/>
    </row>
    <row r="87" spans="2:5" x14ac:dyDescent="0.2">
      <c r="B87" s="802">
        <v>8.8000000000000007</v>
      </c>
      <c r="C87" s="801" t="s">
        <v>1022</v>
      </c>
      <c r="D87" s="797" t="str">
        <f t="shared" si="7"/>
        <v>8.8 - [Name of sub-vote]</v>
      </c>
      <c r="E87" s="800"/>
    </row>
    <row r="88" spans="2:5" x14ac:dyDescent="0.2">
      <c r="B88" s="802">
        <v>8.9</v>
      </c>
      <c r="C88" s="801" t="s">
        <v>1022</v>
      </c>
      <c r="D88" s="797" t="str">
        <f t="shared" si="7"/>
        <v>8.9 - [Name of sub-vote]</v>
      </c>
      <c r="E88" s="800"/>
    </row>
    <row r="89" spans="2:5" x14ac:dyDescent="0.2">
      <c r="B89" s="802" t="s">
        <v>1044</v>
      </c>
      <c r="C89" s="801" t="s">
        <v>1022</v>
      </c>
      <c r="D89" s="797" t="str">
        <f t="shared" si="7"/>
        <v>8.10 - [Name of sub-vote]</v>
      </c>
      <c r="E89" s="800"/>
    </row>
    <row r="90" spans="2:5" x14ac:dyDescent="0.2">
      <c r="B90" s="804" t="s">
        <v>817</v>
      </c>
      <c r="C90" s="803" t="s">
        <v>1043</v>
      </c>
      <c r="E90" s="800"/>
    </row>
    <row r="91" spans="2:5" x14ac:dyDescent="0.2">
      <c r="B91" s="802">
        <v>9.1</v>
      </c>
      <c r="C91" s="801" t="s">
        <v>1022</v>
      </c>
      <c r="D91" s="797" t="str">
        <f t="shared" ref="D91:D100" si="8">CONCATENATE(B91, " - ", C91)</f>
        <v>9.1 - [Name of sub-vote]</v>
      </c>
      <c r="E91" s="800" t="s">
        <v>1042</v>
      </c>
    </row>
    <row r="92" spans="2:5" x14ac:dyDescent="0.2">
      <c r="B92" s="802">
        <v>9.1999999999999993</v>
      </c>
      <c r="C92" s="801" t="s">
        <v>1022</v>
      </c>
      <c r="D92" s="797" t="str">
        <f t="shared" si="8"/>
        <v>9.2 - [Name of sub-vote]</v>
      </c>
      <c r="E92" s="800"/>
    </row>
    <row r="93" spans="2:5" x14ac:dyDescent="0.2">
      <c r="B93" s="802">
        <v>9.3000000000000007</v>
      </c>
      <c r="C93" s="801" t="s">
        <v>1022</v>
      </c>
      <c r="D93" s="797" t="str">
        <f t="shared" si="8"/>
        <v>9.3 - [Name of sub-vote]</v>
      </c>
      <c r="E93" s="800"/>
    </row>
    <row r="94" spans="2:5" x14ac:dyDescent="0.2">
      <c r="B94" s="802">
        <v>9.4</v>
      </c>
      <c r="C94" s="801" t="s">
        <v>1022</v>
      </c>
      <c r="D94" s="797" t="str">
        <f t="shared" si="8"/>
        <v>9.4 - [Name of sub-vote]</v>
      </c>
      <c r="E94" s="800"/>
    </row>
    <row r="95" spans="2:5" x14ac:dyDescent="0.2">
      <c r="B95" s="802">
        <v>9.5</v>
      </c>
      <c r="C95" s="801" t="s">
        <v>1022</v>
      </c>
      <c r="D95" s="797" t="str">
        <f t="shared" si="8"/>
        <v>9.5 - [Name of sub-vote]</v>
      </c>
      <c r="E95" s="800"/>
    </row>
    <row r="96" spans="2:5" x14ac:dyDescent="0.2">
      <c r="B96" s="802">
        <v>9.6</v>
      </c>
      <c r="C96" s="801" t="s">
        <v>1022</v>
      </c>
      <c r="D96" s="797" t="str">
        <f t="shared" si="8"/>
        <v>9.6 - [Name of sub-vote]</v>
      </c>
      <c r="E96" s="800"/>
    </row>
    <row r="97" spans="2:5" x14ac:dyDescent="0.2">
      <c r="B97" s="802">
        <v>9.6999999999999993</v>
      </c>
      <c r="C97" s="801" t="s">
        <v>1022</v>
      </c>
      <c r="D97" s="797" t="str">
        <f t="shared" si="8"/>
        <v>9.7 - [Name of sub-vote]</v>
      </c>
      <c r="E97" s="800"/>
    </row>
    <row r="98" spans="2:5" x14ac:dyDescent="0.2">
      <c r="B98" s="802">
        <v>9.8000000000000007</v>
      </c>
      <c r="C98" s="801" t="s">
        <v>1022</v>
      </c>
      <c r="D98" s="797" t="str">
        <f t="shared" si="8"/>
        <v>9.8 - [Name of sub-vote]</v>
      </c>
      <c r="E98" s="800"/>
    </row>
    <row r="99" spans="2:5" x14ac:dyDescent="0.2">
      <c r="B99" s="802">
        <v>9.9</v>
      </c>
      <c r="C99" s="801" t="s">
        <v>1022</v>
      </c>
      <c r="D99" s="797" t="str">
        <f t="shared" si="8"/>
        <v>9.9 - [Name of sub-vote]</v>
      </c>
      <c r="E99" s="800"/>
    </row>
    <row r="100" spans="2:5" x14ac:dyDescent="0.2">
      <c r="B100" s="802" t="s">
        <v>1041</v>
      </c>
      <c r="C100" s="801" t="s">
        <v>1022</v>
      </c>
      <c r="D100" s="797" t="str">
        <f t="shared" si="8"/>
        <v>9.10 - [Name of sub-vote]</v>
      </c>
      <c r="E100" s="800"/>
    </row>
    <row r="101" spans="2:5" x14ac:dyDescent="0.2">
      <c r="B101" s="804" t="s">
        <v>816</v>
      </c>
      <c r="C101" s="803" t="s">
        <v>1040</v>
      </c>
      <c r="E101" s="800"/>
    </row>
    <row r="102" spans="2:5" x14ac:dyDescent="0.2">
      <c r="B102" s="802">
        <v>10.1</v>
      </c>
      <c r="C102" s="801" t="s">
        <v>1022</v>
      </c>
      <c r="D102" s="797" t="str">
        <f t="shared" ref="D102:D111" si="9">CONCATENATE(B102, " - ", C102)</f>
        <v>10.1 - [Name of sub-vote]</v>
      </c>
      <c r="E102" s="800" t="s">
        <v>1039</v>
      </c>
    </row>
    <row r="103" spans="2:5" x14ac:dyDescent="0.2">
      <c r="B103" s="802">
        <v>10.199999999999999</v>
      </c>
      <c r="C103" s="801" t="s">
        <v>1022</v>
      </c>
      <c r="D103" s="797" t="str">
        <f t="shared" si="9"/>
        <v>10.2 - [Name of sub-vote]</v>
      </c>
      <c r="E103" s="800"/>
    </row>
    <row r="104" spans="2:5" x14ac:dyDescent="0.2">
      <c r="B104" s="802">
        <v>10.3</v>
      </c>
      <c r="C104" s="801" t="s">
        <v>1022</v>
      </c>
      <c r="D104" s="797" t="str">
        <f t="shared" si="9"/>
        <v>10.3 - [Name of sub-vote]</v>
      </c>
      <c r="E104" s="800"/>
    </row>
    <row r="105" spans="2:5" x14ac:dyDescent="0.2">
      <c r="B105" s="802">
        <v>10.4</v>
      </c>
      <c r="C105" s="801" t="s">
        <v>1022</v>
      </c>
      <c r="D105" s="797" t="str">
        <f t="shared" si="9"/>
        <v>10.4 - [Name of sub-vote]</v>
      </c>
      <c r="E105" s="800"/>
    </row>
    <row r="106" spans="2:5" x14ac:dyDescent="0.2">
      <c r="B106" s="802">
        <v>10.5</v>
      </c>
      <c r="C106" s="801" t="s">
        <v>1022</v>
      </c>
      <c r="D106" s="797" t="str">
        <f t="shared" si="9"/>
        <v>10.5 - [Name of sub-vote]</v>
      </c>
      <c r="E106" s="800"/>
    </row>
    <row r="107" spans="2:5" x14ac:dyDescent="0.2">
      <c r="B107" s="802">
        <v>10.6</v>
      </c>
      <c r="C107" s="801" t="s">
        <v>1022</v>
      </c>
      <c r="D107" s="797" t="str">
        <f t="shared" si="9"/>
        <v>10.6 - [Name of sub-vote]</v>
      </c>
      <c r="E107" s="800"/>
    </row>
    <row r="108" spans="2:5" x14ac:dyDescent="0.2">
      <c r="B108" s="802">
        <v>10.7</v>
      </c>
      <c r="C108" s="801" t="s">
        <v>1022</v>
      </c>
      <c r="D108" s="797" t="str">
        <f t="shared" si="9"/>
        <v>10.7 - [Name of sub-vote]</v>
      </c>
      <c r="E108" s="800"/>
    </row>
    <row r="109" spans="2:5" x14ac:dyDescent="0.2">
      <c r="B109" s="802">
        <v>10.8</v>
      </c>
      <c r="C109" s="801" t="s">
        <v>1022</v>
      </c>
      <c r="D109" s="797" t="str">
        <f t="shared" si="9"/>
        <v>10.8 - [Name of sub-vote]</v>
      </c>
      <c r="E109" s="800"/>
    </row>
    <row r="110" spans="2:5" x14ac:dyDescent="0.2">
      <c r="B110" s="802">
        <v>10.9</v>
      </c>
      <c r="C110" s="801" t="s">
        <v>1022</v>
      </c>
      <c r="D110" s="797" t="str">
        <f t="shared" si="9"/>
        <v>10.9 - [Name of sub-vote]</v>
      </c>
      <c r="E110" s="800"/>
    </row>
    <row r="111" spans="2:5" x14ac:dyDescent="0.2">
      <c r="B111" s="802" t="s">
        <v>1038</v>
      </c>
      <c r="C111" s="801" t="s">
        <v>1022</v>
      </c>
      <c r="D111" s="797" t="str">
        <f t="shared" si="9"/>
        <v>10.10 - [Name of sub-vote]</v>
      </c>
      <c r="E111" s="800"/>
    </row>
    <row r="112" spans="2:5" x14ac:dyDescent="0.2">
      <c r="B112" s="804" t="s">
        <v>815</v>
      </c>
      <c r="C112" s="803" t="s">
        <v>1037</v>
      </c>
      <c r="E112" s="800"/>
    </row>
    <row r="113" spans="2:5" x14ac:dyDescent="0.2">
      <c r="B113" s="802">
        <v>11.1</v>
      </c>
      <c r="C113" s="801" t="s">
        <v>1022</v>
      </c>
      <c r="D113" s="797" t="str">
        <f t="shared" ref="D113:D122" si="10">CONCATENATE(B113, " - ", C113)</f>
        <v>11.1 - [Name of sub-vote]</v>
      </c>
      <c r="E113" s="800" t="s">
        <v>1036</v>
      </c>
    </row>
    <row r="114" spans="2:5" x14ac:dyDescent="0.2">
      <c r="B114" s="802">
        <v>11.2</v>
      </c>
      <c r="C114" s="801" t="s">
        <v>1022</v>
      </c>
      <c r="D114" s="797" t="str">
        <f t="shared" si="10"/>
        <v>11.2 - [Name of sub-vote]</v>
      </c>
      <c r="E114" s="800"/>
    </row>
    <row r="115" spans="2:5" x14ac:dyDescent="0.2">
      <c r="B115" s="802">
        <v>11.3</v>
      </c>
      <c r="C115" s="801" t="s">
        <v>1022</v>
      </c>
      <c r="D115" s="797" t="str">
        <f t="shared" si="10"/>
        <v>11.3 - [Name of sub-vote]</v>
      </c>
      <c r="E115" s="800"/>
    </row>
    <row r="116" spans="2:5" x14ac:dyDescent="0.2">
      <c r="B116" s="802">
        <v>11.4</v>
      </c>
      <c r="C116" s="801" t="s">
        <v>1022</v>
      </c>
      <c r="D116" s="797" t="str">
        <f t="shared" si="10"/>
        <v>11.4 - [Name of sub-vote]</v>
      </c>
      <c r="E116" s="800"/>
    </row>
    <row r="117" spans="2:5" x14ac:dyDescent="0.2">
      <c r="B117" s="802">
        <v>11.5</v>
      </c>
      <c r="C117" s="801" t="s">
        <v>1022</v>
      </c>
      <c r="D117" s="797" t="str">
        <f t="shared" si="10"/>
        <v>11.5 - [Name of sub-vote]</v>
      </c>
      <c r="E117" s="800"/>
    </row>
    <row r="118" spans="2:5" x14ac:dyDescent="0.2">
      <c r="B118" s="802">
        <v>11.6</v>
      </c>
      <c r="C118" s="801" t="s">
        <v>1022</v>
      </c>
      <c r="D118" s="797" t="str">
        <f t="shared" si="10"/>
        <v>11.6 - [Name of sub-vote]</v>
      </c>
      <c r="E118" s="800"/>
    </row>
    <row r="119" spans="2:5" x14ac:dyDescent="0.2">
      <c r="B119" s="802">
        <v>11.7</v>
      </c>
      <c r="C119" s="801" t="s">
        <v>1022</v>
      </c>
      <c r="D119" s="797" t="str">
        <f t="shared" si="10"/>
        <v>11.7 - [Name of sub-vote]</v>
      </c>
      <c r="E119" s="800"/>
    </row>
    <row r="120" spans="2:5" x14ac:dyDescent="0.2">
      <c r="B120" s="802">
        <v>11.8</v>
      </c>
      <c r="C120" s="801" t="s">
        <v>1022</v>
      </c>
      <c r="D120" s="797" t="str">
        <f t="shared" si="10"/>
        <v>11.8 - [Name of sub-vote]</v>
      </c>
      <c r="E120" s="800"/>
    </row>
    <row r="121" spans="2:5" x14ac:dyDescent="0.2">
      <c r="B121" s="802">
        <v>11.9</v>
      </c>
      <c r="C121" s="801" t="s">
        <v>1022</v>
      </c>
      <c r="D121" s="797" t="str">
        <f t="shared" si="10"/>
        <v>11.9 - [Name of sub-vote]</v>
      </c>
      <c r="E121" s="800"/>
    </row>
    <row r="122" spans="2:5" x14ac:dyDescent="0.2">
      <c r="B122" s="802" t="s">
        <v>1035</v>
      </c>
      <c r="C122" s="801" t="s">
        <v>1022</v>
      </c>
      <c r="D122" s="797" t="str">
        <f t="shared" si="10"/>
        <v>11.10 - [Name of sub-vote]</v>
      </c>
      <c r="E122" s="800"/>
    </row>
    <row r="123" spans="2:5" x14ac:dyDescent="0.2">
      <c r="B123" s="804" t="s">
        <v>814</v>
      </c>
      <c r="C123" s="803" t="s">
        <v>1034</v>
      </c>
      <c r="E123" s="800"/>
    </row>
    <row r="124" spans="2:5" x14ac:dyDescent="0.2">
      <c r="B124" s="802">
        <v>12.1</v>
      </c>
      <c r="C124" s="801" t="s">
        <v>1022</v>
      </c>
      <c r="D124" s="797" t="str">
        <f t="shared" ref="D124:D133" si="11">CONCATENATE(B124, " - ", C124)</f>
        <v>12.1 - [Name of sub-vote]</v>
      </c>
      <c r="E124" s="800" t="s">
        <v>1033</v>
      </c>
    </row>
    <row r="125" spans="2:5" x14ac:dyDescent="0.2">
      <c r="B125" s="802">
        <v>12.2</v>
      </c>
      <c r="C125" s="801" t="s">
        <v>1022</v>
      </c>
      <c r="D125" s="797" t="str">
        <f t="shared" si="11"/>
        <v>12.2 - [Name of sub-vote]</v>
      </c>
      <c r="E125" s="800"/>
    </row>
    <row r="126" spans="2:5" x14ac:dyDescent="0.2">
      <c r="B126" s="802">
        <v>12.3</v>
      </c>
      <c r="C126" s="801" t="s">
        <v>1022</v>
      </c>
      <c r="D126" s="797" t="str">
        <f t="shared" si="11"/>
        <v>12.3 - [Name of sub-vote]</v>
      </c>
      <c r="E126" s="800"/>
    </row>
    <row r="127" spans="2:5" x14ac:dyDescent="0.2">
      <c r="B127" s="802">
        <v>12.4</v>
      </c>
      <c r="C127" s="801" t="s">
        <v>1022</v>
      </c>
      <c r="D127" s="797" t="str">
        <f t="shared" si="11"/>
        <v>12.4 - [Name of sub-vote]</v>
      </c>
      <c r="E127" s="800"/>
    </row>
    <row r="128" spans="2:5" x14ac:dyDescent="0.2">
      <c r="B128" s="802">
        <v>12.5</v>
      </c>
      <c r="C128" s="801" t="s">
        <v>1022</v>
      </c>
      <c r="D128" s="797" t="str">
        <f t="shared" si="11"/>
        <v>12.5 - [Name of sub-vote]</v>
      </c>
      <c r="E128" s="800"/>
    </row>
    <row r="129" spans="2:5" x14ac:dyDescent="0.2">
      <c r="B129" s="802">
        <v>12.6</v>
      </c>
      <c r="C129" s="801" t="s">
        <v>1022</v>
      </c>
      <c r="D129" s="797" t="str">
        <f t="shared" si="11"/>
        <v>12.6 - [Name of sub-vote]</v>
      </c>
      <c r="E129" s="800"/>
    </row>
    <row r="130" spans="2:5" x14ac:dyDescent="0.2">
      <c r="B130" s="802">
        <v>12.7</v>
      </c>
      <c r="C130" s="801" t="s">
        <v>1022</v>
      </c>
      <c r="D130" s="797" t="str">
        <f t="shared" si="11"/>
        <v>12.7 - [Name of sub-vote]</v>
      </c>
      <c r="E130" s="800"/>
    </row>
    <row r="131" spans="2:5" x14ac:dyDescent="0.2">
      <c r="B131" s="802">
        <v>12.8</v>
      </c>
      <c r="C131" s="801" t="s">
        <v>1022</v>
      </c>
      <c r="D131" s="797" t="str">
        <f t="shared" si="11"/>
        <v>12.8 - [Name of sub-vote]</v>
      </c>
      <c r="E131" s="800"/>
    </row>
    <row r="132" spans="2:5" x14ac:dyDescent="0.2">
      <c r="B132" s="802">
        <v>12.9</v>
      </c>
      <c r="C132" s="801" t="s">
        <v>1022</v>
      </c>
      <c r="D132" s="797" t="str">
        <f t="shared" si="11"/>
        <v>12.9 - [Name of sub-vote]</v>
      </c>
      <c r="E132" s="800"/>
    </row>
    <row r="133" spans="2:5" x14ac:dyDescent="0.2">
      <c r="B133" s="802" t="s">
        <v>1032</v>
      </c>
      <c r="C133" s="801" t="s">
        <v>1022</v>
      </c>
      <c r="D133" s="797" t="str">
        <f t="shared" si="11"/>
        <v>12.10 - [Name of sub-vote]</v>
      </c>
      <c r="E133" s="800"/>
    </row>
    <row r="134" spans="2:5" x14ac:dyDescent="0.2">
      <c r="B134" s="804" t="s">
        <v>813</v>
      </c>
      <c r="C134" s="803" t="s">
        <v>1031</v>
      </c>
      <c r="E134" s="800"/>
    </row>
    <row r="135" spans="2:5" x14ac:dyDescent="0.2">
      <c r="B135" s="802">
        <v>13.1</v>
      </c>
      <c r="C135" s="801" t="s">
        <v>1022</v>
      </c>
      <c r="D135" s="797" t="str">
        <f t="shared" ref="D135:D144" si="12">CONCATENATE(B135, " - ", C135)</f>
        <v>13.1 - [Name of sub-vote]</v>
      </c>
      <c r="E135" s="800" t="s">
        <v>1030</v>
      </c>
    </row>
    <row r="136" spans="2:5" x14ac:dyDescent="0.2">
      <c r="B136" s="802">
        <v>13.2</v>
      </c>
      <c r="C136" s="801" t="s">
        <v>1022</v>
      </c>
      <c r="D136" s="797" t="str">
        <f t="shared" si="12"/>
        <v>13.2 - [Name of sub-vote]</v>
      </c>
      <c r="E136" s="800"/>
    </row>
    <row r="137" spans="2:5" x14ac:dyDescent="0.2">
      <c r="B137" s="802">
        <v>13.3</v>
      </c>
      <c r="C137" s="801" t="s">
        <v>1022</v>
      </c>
      <c r="D137" s="797" t="str">
        <f t="shared" si="12"/>
        <v>13.3 - [Name of sub-vote]</v>
      </c>
      <c r="E137" s="800"/>
    </row>
    <row r="138" spans="2:5" x14ac:dyDescent="0.2">
      <c r="B138" s="802">
        <v>13.4</v>
      </c>
      <c r="C138" s="801" t="s">
        <v>1022</v>
      </c>
      <c r="D138" s="797" t="str">
        <f t="shared" si="12"/>
        <v>13.4 - [Name of sub-vote]</v>
      </c>
      <c r="E138" s="800"/>
    </row>
    <row r="139" spans="2:5" x14ac:dyDescent="0.2">
      <c r="B139" s="802">
        <v>13.5</v>
      </c>
      <c r="C139" s="801" t="s">
        <v>1022</v>
      </c>
      <c r="D139" s="797" t="str">
        <f t="shared" si="12"/>
        <v>13.5 - [Name of sub-vote]</v>
      </c>
      <c r="E139" s="800"/>
    </row>
    <row r="140" spans="2:5" x14ac:dyDescent="0.2">
      <c r="B140" s="802">
        <v>13.6</v>
      </c>
      <c r="C140" s="801" t="s">
        <v>1022</v>
      </c>
      <c r="D140" s="797" t="str">
        <f t="shared" si="12"/>
        <v>13.6 - [Name of sub-vote]</v>
      </c>
      <c r="E140" s="800"/>
    </row>
    <row r="141" spans="2:5" x14ac:dyDescent="0.2">
      <c r="B141" s="802">
        <v>13.7</v>
      </c>
      <c r="C141" s="801" t="s">
        <v>1022</v>
      </c>
      <c r="D141" s="797" t="str">
        <f t="shared" si="12"/>
        <v>13.7 - [Name of sub-vote]</v>
      </c>
      <c r="E141" s="800"/>
    </row>
    <row r="142" spans="2:5" x14ac:dyDescent="0.2">
      <c r="B142" s="802">
        <v>13.8</v>
      </c>
      <c r="C142" s="801" t="s">
        <v>1022</v>
      </c>
      <c r="D142" s="797" t="str">
        <f t="shared" si="12"/>
        <v>13.8 - [Name of sub-vote]</v>
      </c>
      <c r="E142" s="800"/>
    </row>
    <row r="143" spans="2:5" x14ac:dyDescent="0.2">
      <c r="B143" s="802">
        <v>13.9</v>
      </c>
      <c r="C143" s="801" t="s">
        <v>1022</v>
      </c>
      <c r="D143" s="797" t="str">
        <f t="shared" si="12"/>
        <v>13.9 - [Name of sub-vote]</v>
      </c>
      <c r="E143" s="800"/>
    </row>
    <row r="144" spans="2:5" x14ac:dyDescent="0.2">
      <c r="B144" s="802" t="s">
        <v>1029</v>
      </c>
      <c r="C144" s="801" t="s">
        <v>1022</v>
      </c>
      <c r="D144" s="797" t="str">
        <f t="shared" si="12"/>
        <v>13.10 - [Name of sub-vote]</v>
      </c>
      <c r="E144" s="800"/>
    </row>
    <row r="145" spans="2:5" x14ac:dyDescent="0.2">
      <c r="B145" s="804" t="s">
        <v>812</v>
      </c>
      <c r="C145" s="803" t="s">
        <v>1028</v>
      </c>
      <c r="E145" s="800"/>
    </row>
    <row r="146" spans="2:5" x14ac:dyDescent="0.2">
      <c r="B146" s="802">
        <v>14.1</v>
      </c>
      <c r="C146" s="801" t="s">
        <v>1022</v>
      </c>
      <c r="D146" s="797" t="str">
        <f t="shared" ref="D146:D155" si="13">CONCATENATE(B146, " - ", C146)</f>
        <v>14.1 - [Name of sub-vote]</v>
      </c>
      <c r="E146" s="800" t="s">
        <v>1027</v>
      </c>
    </row>
    <row r="147" spans="2:5" x14ac:dyDescent="0.2">
      <c r="B147" s="802">
        <v>14.2</v>
      </c>
      <c r="C147" s="801" t="s">
        <v>1022</v>
      </c>
      <c r="D147" s="797" t="str">
        <f t="shared" si="13"/>
        <v>14.2 - [Name of sub-vote]</v>
      </c>
      <c r="E147" s="800"/>
    </row>
    <row r="148" spans="2:5" x14ac:dyDescent="0.2">
      <c r="B148" s="802">
        <v>14.3</v>
      </c>
      <c r="C148" s="801" t="s">
        <v>1022</v>
      </c>
      <c r="D148" s="797" t="str">
        <f t="shared" si="13"/>
        <v>14.3 - [Name of sub-vote]</v>
      </c>
      <c r="E148" s="800"/>
    </row>
    <row r="149" spans="2:5" x14ac:dyDescent="0.2">
      <c r="B149" s="802">
        <v>14.4</v>
      </c>
      <c r="C149" s="801" t="s">
        <v>1022</v>
      </c>
      <c r="D149" s="797" t="str">
        <f t="shared" si="13"/>
        <v>14.4 - [Name of sub-vote]</v>
      </c>
      <c r="E149" s="800"/>
    </row>
    <row r="150" spans="2:5" x14ac:dyDescent="0.2">
      <c r="B150" s="802">
        <v>14.5</v>
      </c>
      <c r="C150" s="801" t="s">
        <v>1022</v>
      </c>
      <c r="D150" s="797" t="str">
        <f t="shared" si="13"/>
        <v>14.5 - [Name of sub-vote]</v>
      </c>
      <c r="E150" s="800"/>
    </row>
    <row r="151" spans="2:5" x14ac:dyDescent="0.2">
      <c r="B151" s="802">
        <v>14.6</v>
      </c>
      <c r="C151" s="801" t="s">
        <v>1022</v>
      </c>
      <c r="D151" s="797" t="str">
        <f t="shared" si="13"/>
        <v>14.6 - [Name of sub-vote]</v>
      </c>
      <c r="E151" s="800"/>
    </row>
    <row r="152" spans="2:5" x14ac:dyDescent="0.2">
      <c r="B152" s="802">
        <v>14.7</v>
      </c>
      <c r="C152" s="801" t="s">
        <v>1022</v>
      </c>
      <c r="D152" s="797" t="str">
        <f t="shared" si="13"/>
        <v>14.7 - [Name of sub-vote]</v>
      </c>
      <c r="E152" s="800"/>
    </row>
    <row r="153" spans="2:5" x14ac:dyDescent="0.2">
      <c r="B153" s="802">
        <v>14.8</v>
      </c>
      <c r="C153" s="801" t="s">
        <v>1022</v>
      </c>
      <c r="D153" s="797" t="str">
        <f t="shared" si="13"/>
        <v>14.8 - [Name of sub-vote]</v>
      </c>
      <c r="E153" s="800"/>
    </row>
    <row r="154" spans="2:5" x14ac:dyDescent="0.2">
      <c r="B154" s="802">
        <v>14.9</v>
      </c>
      <c r="C154" s="801" t="s">
        <v>1022</v>
      </c>
      <c r="D154" s="797" t="str">
        <f t="shared" si="13"/>
        <v>14.9 - [Name of sub-vote]</v>
      </c>
      <c r="E154" s="800"/>
    </row>
    <row r="155" spans="2:5" x14ac:dyDescent="0.2">
      <c r="B155" s="802" t="s">
        <v>1026</v>
      </c>
      <c r="C155" s="801" t="s">
        <v>1022</v>
      </c>
      <c r="D155" s="797" t="str">
        <f t="shared" si="13"/>
        <v>14.10 - [Name of sub-vote]</v>
      </c>
      <c r="E155" s="800"/>
    </row>
    <row r="156" spans="2:5" x14ac:dyDescent="0.2">
      <c r="B156" s="804" t="s">
        <v>811</v>
      </c>
      <c r="C156" s="803" t="s">
        <v>1025</v>
      </c>
      <c r="E156" s="800"/>
    </row>
    <row r="157" spans="2:5" x14ac:dyDescent="0.2">
      <c r="B157" s="802">
        <v>15.1</v>
      </c>
      <c r="C157" s="801" t="s">
        <v>1022</v>
      </c>
      <c r="D157" s="797" t="str">
        <f t="shared" ref="D157:D166" si="14">CONCATENATE(B157, " - ", C157)</f>
        <v>15.1 - [Name of sub-vote]</v>
      </c>
      <c r="E157" s="800" t="s">
        <v>1024</v>
      </c>
    </row>
    <row r="158" spans="2:5" x14ac:dyDescent="0.2">
      <c r="B158" s="802">
        <v>15.2</v>
      </c>
      <c r="C158" s="801" t="s">
        <v>1022</v>
      </c>
      <c r="D158" s="797" t="str">
        <f t="shared" si="14"/>
        <v>15.2 - [Name of sub-vote]</v>
      </c>
      <c r="E158" s="800"/>
    </row>
    <row r="159" spans="2:5" x14ac:dyDescent="0.2">
      <c r="B159" s="802">
        <v>15.3</v>
      </c>
      <c r="C159" s="801" t="s">
        <v>1022</v>
      </c>
      <c r="D159" s="797" t="str">
        <f t="shared" si="14"/>
        <v>15.3 - [Name of sub-vote]</v>
      </c>
      <c r="E159" s="800"/>
    </row>
    <row r="160" spans="2:5" x14ac:dyDescent="0.2">
      <c r="B160" s="802">
        <v>15.4</v>
      </c>
      <c r="C160" s="801" t="s">
        <v>1022</v>
      </c>
      <c r="D160" s="797" t="str">
        <f t="shared" si="14"/>
        <v>15.4 - [Name of sub-vote]</v>
      </c>
      <c r="E160" s="800"/>
    </row>
    <row r="161" spans="2:5" x14ac:dyDescent="0.2">
      <c r="B161" s="802">
        <v>15.5</v>
      </c>
      <c r="C161" s="801" t="s">
        <v>1022</v>
      </c>
      <c r="D161" s="797" t="str">
        <f t="shared" si="14"/>
        <v>15.5 - [Name of sub-vote]</v>
      </c>
      <c r="E161" s="800"/>
    </row>
    <row r="162" spans="2:5" x14ac:dyDescent="0.2">
      <c r="B162" s="802">
        <v>15.6</v>
      </c>
      <c r="C162" s="801" t="s">
        <v>1022</v>
      </c>
      <c r="D162" s="797" t="str">
        <f t="shared" si="14"/>
        <v>15.6 - [Name of sub-vote]</v>
      </c>
      <c r="E162" s="800"/>
    </row>
    <row r="163" spans="2:5" x14ac:dyDescent="0.2">
      <c r="B163" s="802">
        <v>15.7</v>
      </c>
      <c r="C163" s="801" t="s">
        <v>1022</v>
      </c>
      <c r="D163" s="797" t="str">
        <f t="shared" si="14"/>
        <v>15.7 - [Name of sub-vote]</v>
      </c>
      <c r="E163" s="800"/>
    </row>
    <row r="164" spans="2:5" x14ac:dyDescent="0.2">
      <c r="B164" s="802">
        <v>15.8</v>
      </c>
      <c r="C164" s="801" t="s">
        <v>1022</v>
      </c>
      <c r="D164" s="797" t="str">
        <f t="shared" si="14"/>
        <v>15.8 - [Name of sub-vote]</v>
      </c>
      <c r="E164" s="800"/>
    </row>
    <row r="165" spans="2:5" x14ac:dyDescent="0.2">
      <c r="B165" s="802">
        <v>15.9</v>
      </c>
      <c r="C165" s="801" t="s">
        <v>1022</v>
      </c>
      <c r="D165" s="797" t="str">
        <f t="shared" si="14"/>
        <v>15.9 - [Name of sub-vote]</v>
      </c>
      <c r="E165" s="800"/>
    </row>
    <row r="166" spans="2:5" x14ac:dyDescent="0.2">
      <c r="B166" s="802" t="s">
        <v>1023</v>
      </c>
      <c r="C166" s="801" t="s">
        <v>1022</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KZN225 Msunduzi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KZN225 Msunduzi</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KZN KWAZULU-NATAL</v>
      </c>
      <c r="C8" s="1000"/>
      <c r="D8" s="1000"/>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c r="C10" s="846"/>
      <c r="D10" s="847"/>
      <c r="F10" s="824"/>
      <c r="G10" s="823"/>
      <c r="H10" s="824"/>
      <c r="I10" s="824"/>
      <c r="J10" s="823"/>
      <c r="K10" s="825"/>
      <c r="L10" s="825"/>
      <c r="M10" s="825"/>
      <c r="N10" s="825"/>
      <c r="O10" s="825"/>
      <c r="P10" s="826"/>
      <c r="Q10" s="827"/>
    </row>
    <row r="11" spans="1:17" ht="13.5" customHeight="1" x14ac:dyDescent="0.2">
      <c r="A11" s="848"/>
      <c r="B11" s="849"/>
      <c r="C11" s="1001"/>
      <c r="D11" s="1002"/>
      <c r="F11" s="824"/>
      <c r="G11" s="823"/>
      <c r="H11" s="824"/>
      <c r="I11" s="824"/>
      <c r="J11" s="823"/>
      <c r="K11" s="825"/>
      <c r="L11" s="825"/>
      <c r="M11" s="825"/>
      <c r="N11" s="825"/>
      <c r="O11" s="825"/>
      <c r="P11" s="826"/>
      <c r="Q11" s="830"/>
    </row>
    <row r="12" spans="1:17" ht="13.5" customHeight="1" x14ac:dyDescent="0.2">
      <c r="A12" s="844" t="s">
        <v>350</v>
      </c>
      <c r="B12" s="850"/>
      <c r="C12" s="851"/>
      <c r="D12" s="851"/>
      <c r="F12" s="824"/>
      <c r="G12" s="824"/>
      <c r="H12" s="824"/>
      <c r="I12" s="824"/>
      <c r="J12" s="823"/>
      <c r="K12" s="825"/>
      <c r="L12" s="825"/>
      <c r="M12" s="825"/>
      <c r="N12" s="825"/>
      <c r="O12" s="825"/>
      <c r="P12" s="826"/>
      <c r="Q12" s="827"/>
    </row>
    <row r="13" spans="1:17" ht="13.5" customHeight="1" x14ac:dyDescent="0.2">
      <c r="A13" s="852"/>
      <c r="B13" s="853"/>
      <c r="C13" s="1003"/>
      <c r="D13" s="1003"/>
      <c r="F13" s="824"/>
      <c r="G13" s="824"/>
      <c r="H13" s="824"/>
      <c r="I13" s="854"/>
      <c r="J13" s="824"/>
      <c r="K13" s="825"/>
      <c r="L13" s="825"/>
      <c r="M13" s="825"/>
      <c r="N13" s="825"/>
      <c r="O13" s="825"/>
      <c r="P13" s="826"/>
    </row>
    <row r="14" spans="1:17" ht="13.5" customHeight="1" thickBot="1" x14ac:dyDescent="0.25">
      <c r="A14" s="1004" t="s">
        <v>351</v>
      </c>
      <c r="B14" s="1005"/>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c r="C16" s="813"/>
      <c r="D16" s="813"/>
      <c r="E16" s="835"/>
      <c r="F16" s="855"/>
      <c r="G16" s="854"/>
      <c r="H16" s="855"/>
      <c r="I16" s="855"/>
      <c r="J16" s="824"/>
      <c r="K16" s="825"/>
      <c r="L16" s="825"/>
      <c r="M16" s="825"/>
      <c r="N16" s="825"/>
      <c r="O16" s="825"/>
      <c r="P16" s="826"/>
      <c r="Q16" s="814"/>
    </row>
    <row r="17" spans="1:17" ht="13.5" customHeight="1" x14ac:dyDescent="0.2">
      <c r="A17" s="858" t="s">
        <v>354</v>
      </c>
      <c r="B17" s="859"/>
      <c r="F17" s="855"/>
      <c r="G17" s="855"/>
      <c r="H17" s="855"/>
      <c r="I17" s="855"/>
      <c r="J17" s="854"/>
      <c r="K17" s="825"/>
      <c r="L17" s="825"/>
      <c r="M17" s="825"/>
      <c r="N17" s="825"/>
      <c r="O17" s="825"/>
      <c r="P17" s="826"/>
    </row>
    <row r="18" spans="1:17" ht="13.5" customHeight="1" x14ac:dyDescent="0.2">
      <c r="A18" s="860" t="s">
        <v>355</v>
      </c>
      <c r="B18" s="861"/>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c r="F21" s="855"/>
      <c r="G21" s="855"/>
      <c r="H21" s="855"/>
      <c r="I21" s="855"/>
      <c r="J21" s="855"/>
      <c r="K21" s="825"/>
      <c r="L21" s="825"/>
      <c r="M21" s="825"/>
      <c r="N21" s="825"/>
      <c r="O21" s="825"/>
      <c r="P21" s="826"/>
    </row>
    <row r="22" spans="1:17" ht="13.5" customHeight="1" x14ac:dyDescent="0.2">
      <c r="A22" s="858" t="s">
        <v>358</v>
      </c>
      <c r="B22" s="859"/>
      <c r="F22" s="855"/>
      <c r="G22" s="855"/>
      <c r="H22" s="855"/>
      <c r="I22" s="855"/>
      <c r="J22" s="855"/>
      <c r="K22" s="825"/>
      <c r="L22" s="825"/>
      <c r="M22" s="825"/>
      <c r="N22" s="825"/>
      <c r="O22" s="825"/>
      <c r="P22" s="826"/>
    </row>
    <row r="23" spans="1:17" ht="13.5" customHeight="1" x14ac:dyDescent="0.2">
      <c r="A23" s="858" t="s">
        <v>354</v>
      </c>
      <c r="B23" s="859"/>
      <c r="F23" s="855"/>
      <c r="G23" s="855"/>
      <c r="H23" s="855"/>
      <c r="I23" s="855"/>
      <c r="J23" s="855"/>
      <c r="K23" s="825"/>
      <c r="L23" s="825"/>
      <c r="M23" s="825"/>
      <c r="N23" s="825"/>
      <c r="O23" s="825"/>
      <c r="P23" s="826"/>
    </row>
    <row r="24" spans="1:17" ht="13.5" customHeight="1" x14ac:dyDescent="0.2">
      <c r="A24" s="860" t="s">
        <v>355</v>
      </c>
      <c r="B24" s="861"/>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c r="F27" s="855"/>
      <c r="G27" s="855"/>
      <c r="H27" s="855"/>
      <c r="I27" s="855"/>
      <c r="J27" s="855"/>
      <c r="K27" s="825"/>
      <c r="L27" s="825"/>
      <c r="M27" s="825"/>
      <c r="N27" s="825"/>
      <c r="O27" s="825"/>
      <c r="P27" s="826"/>
    </row>
    <row r="28" spans="1:17" ht="13.5" customHeight="1" x14ac:dyDescent="0.2">
      <c r="A28" s="860" t="s">
        <v>361</v>
      </c>
      <c r="B28" s="868"/>
      <c r="J28" s="855"/>
      <c r="K28" s="855"/>
      <c r="L28" s="855"/>
      <c r="M28" s="855"/>
      <c r="N28" s="855"/>
      <c r="O28" s="855"/>
      <c r="P28" s="826"/>
    </row>
    <row r="29" spans="1:17" ht="13.5" customHeight="1" x14ac:dyDescent="0.2">
      <c r="A29" s="862"/>
      <c r="B29" s="869"/>
      <c r="P29" s="826"/>
    </row>
    <row r="30" spans="1:17" ht="13.5" customHeight="1" thickBot="1" x14ac:dyDescent="0.25">
      <c r="A30" s="1006" t="s">
        <v>362</v>
      </c>
      <c r="B30" s="1007"/>
      <c r="C30" s="1008"/>
      <c r="D30" s="1009"/>
      <c r="P30" s="826"/>
    </row>
    <row r="31" spans="1:17" ht="13.5" customHeight="1" thickTop="1" x14ac:dyDescent="0.2">
      <c r="A31" s="864" t="s">
        <v>363</v>
      </c>
      <c r="B31" s="865"/>
      <c r="C31" s="1010" t="s">
        <v>364</v>
      </c>
      <c r="D31" s="1014"/>
      <c r="P31" s="826"/>
    </row>
    <row r="32" spans="1:17" s="922" customFormat="1" ht="13.5" customHeight="1" x14ac:dyDescent="0.2">
      <c r="A32" s="917" t="s">
        <v>1128</v>
      </c>
      <c r="B32" s="918"/>
      <c r="C32" s="917" t="s">
        <v>1128</v>
      </c>
      <c r="D32" s="918"/>
      <c r="E32" s="919"/>
      <c r="F32" s="920"/>
      <c r="G32" s="920"/>
      <c r="H32" s="920"/>
      <c r="I32" s="647"/>
      <c r="J32" s="647"/>
      <c r="K32" s="647"/>
      <c r="L32" s="647"/>
      <c r="M32" s="647"/>
      <c r="N32" s="647"/>
      <c r="O32" s="647"/>
      <c r="P32" s="921"/>
      <c r="Q32" s="647"/>
    </row>
    <row r="33" spans="1:17" s="922" customFormat="1" ht="13.5" customHeight="1" x14ac:dyDescent="0.2">
      <c r="A33" s="917" t="s">
        <v>1129</v>
      </c>
      <c r="B33" s="918"/>
      <c r="C33" s="917" t="s">
        <v>1129</v>
      </c>
      <c r="D33" s="918"/>
      <c r="E33" s="919"/>
      <c r="F33" s="920"/>
      <c r="G33" s="920"/>
      <c r="H33" s="920"/>
      <c r="I33" s="647"/>
      <c r="J33" s="647"/>
      <c r="K33" s="647"/>
      <c r="L33" s="647"/>
      <c r="M33" s="647"/>
      <c r="N33" s="647"/>
      <c r="O33" s="647"/>
      <c r="P33" s="921"/>
      <c r="Q33" s="647"/>
    </row>
    <row r="34" spans="1:17" ht="13.5" customHeight="1" x14ac:dyDescent="0.2">
      <c r="A34" s="858" t="s">
        <v>365</v>
      </c>
      <c r="B34" s="870"/>
      <c r="C34" s="858" t="s">
        <v>365</v>
      </c>
      <c r="D34" s="870"/>
      <c r="P34" s="826"/>
    </row>
    <row r="35" spans="1:17" ht="13.5" customHeight="1" x14ac:dyDescent="0.2">
      <c r="A35" s="858" t="s">
        <v>360</v>
      </c>
      <c r="B35" s="870"/>
      <c r="C35" s="858" t="s">
        <v>360</v>
      </c>
      <c r="D35" s="870"/>
      <c r="F35" s="823"/>
      <c r="G35" s="825"/>
      <c r="P35" s="826"/>
    </row>
    <row r="36" spans="1:17" ht="13.5" customHeight="1" x14ac:dyDescent="0.2">
      <c r="A36" s="858" t="s">
        <v>366</v>
      </c>
      <c r="B36" s="870"/>
      <c r="C36" s="858" t="s">
        <v>366</v>
      </c>
      <c r="D36" s="870"/>
      <c r="F36" s="823"/>
      <c r="G36" s="825"/>
      <c r="P36" s="826"/>
    </row>
    <row r="37" spans="1:17" ht="13.5" customHeight="1" x14ac:dyDescent="0.2">
      <c r="A37" s="858" t="s">
        <v>361</v>
      </c>
      <c r="B37" s="870"/>
      <c r="C37" s="858" t="s">
        <v>361</v>
      </c>
      <c r="D37" s="870"/>
      <c r="F37" s="824"/>
      <c r="G37" s="825"/>
      <c r="P37" s="826"/>
    </row>
    <row r="38" spans="1:17" ht="13.5" customHeight="1" x14ac:dyDescent="0.2">
      <c r="A38" s="858" t="s">
        <v>367</v>
      </c>
      <c r="B38" s="870"/>
      <c r="C38" s="858" t="s">
        <v>367</v>
      </c>
      <c r="D38" s="870"/>
      <c r="F38" s="824"/>
      <c r="G38" s="825"/>
      <c r="P38" s="826"/>
    </row>
    <row r="39" spans="1:17" ht="13.5" customHeight="1" x14ac:dyDescent="0.2">
      <c r="A39" s="858"/>
      <c r="B39" s="870"/>
      <c r="C39" s="858"/>
      <c r="D39" s="870"/>
      <c r="F39" s="824"/>
      <c r="G39" s="825"/>
      <c r="P39" s="826"/>
    </row>
    <row r="40" spans="1:17" ht="13.5" customHeight="1" x14ac:dyDescent="0.2">
      <c r="A40" s="1012" t="s">
        <v>368</v>
      </c>
      <c r="B40" s="1015"/>
      <c r="C40" s="1012" t="s">
        <v>369</v>
      </c>
      <c r="D40" s="1015"/>
      <c r="F40" s="824"/>
      <c r="G40" s="825"/>
      <c r="P40" s="826"/>
    </row>
    <row r="41" spans="1:17" s="922" customFormat="1" ht="13.5" customHeight="1" x14ac:dyDescent="0.2">
      <c r="A41" s="917" t="s">
        <v>1128</v>
      </c>
      <c r="B41" s="918"/>
      <c r="C41" s="917" t="s">
        <v>1128</v>
      </c>
      <c r="D41" s="918"/>
      <c r="E41" s="919"/>
      <c r="F41" s="920"/>
      <c r="G41" s="920"/>
      <c r="H41" s="920"/>
      <c r="I41" s="647"/>
      <c r="J41" s="647"/>
      <c r="K41" s="647"/>
      <c r="L41" s="647"/>
      <c r="M41" s="647"/>
      <c r="N41" s="647"/>
      <c r="O41" s="647"/>
      <c r="P41" s="921"/>
      <c r="Q41" s="647"/>
    </row>
    <row r="42" spans="1:17" s="922" customFormat="1" ht="13.5" customHeight="1" x14ac:dyDescent="0.2">
      <c r="A42" s="917" t="s">
        <v>1129</v>
      </c>
      <c r="B42" s="918"/>
      <c r="C42" s="917" t="s">
        <v>1129</v>
      </c>
      <c r="D42" s="918"/>
      <c r="E42" s="919"/>
      <c r="F42" s="920"/>
      <c r="G42" s="920"/>
      <c r="H42" s="920"/>
      <c r="I42" s="647"/>
      <c r="J42" s="647"/>
      <c r="K42" s="647"/>
      <c r="L42" s="647"/>
      <c r="M42" s="647"/>
      <c r="N42" s="647"/>
      <c r="O42" s="647"/>
      <c r="P42" s="921"/>
      <c r="Q42" s="647"/>
    </row>
    <row r="43" spans="1:17" ht="13.5" customHeight="1" x14ac:dyDescent="0.2">
      <c r="A43" s="858" t="s">
        <v>365</v>
      </c>
      <c r="B43" s="859"/>
      <c r="C43" s="858" t="s">
        <v>365</v>
      </c>
      <c r="D43" s="859"/>
      <c r="F43" s="824"/>
      <c r="G43" s="825"/>
      <c r="P43" s="826"/>
    </row>
    <row r="44" spans="1:17" ht="13.5" customHeight="1" x14ac:dyDescent="0.2">
      <c r="A44" s="858" t="s">
        <v>360</v>
      </c>
      <c r="B44" s="859"/>
      <c r="C44" s="858" t="s">
        <v>360</v>
      </c>
      <c r="D44" s="859"/>
      <c r="F44" s="854"/>
      <c r="G44" s="825"/>
      <c r="P44" s="826"/>
    </row>
    <row r="45" spans="1:17" ht="13.5" customHeight="1" x14ac:dyDescent="0.2">
      <c r="A45" s="858" t="s">
        <v>366</v>
      </c>
      <c r="B45" s="859"/>
      <c r="C45" s="858" t="s">
        <v>366</v>
      </c>
      <c r="D45" s="859"/>
      <c r="F45" s="855"/>
      <c r="G45" s="825"/>
      <c r="P45" s="826"/>
    </row>
    <row r="46" spans="1:17" ht="13.5" customHeight="1" x14ac:dyDescent="0.2">
      <c r="A46" s="858" t="s">
        <v>361</v>
      </c>
      <c r="B46" s="859"/>
      <c r="C46" s="858" t="s">
        <v>361</v>
      </c>
      <c r="D46" s="859"/>
      <c r="F46" s="855"/>
      <c r="G46" s="825"/>
      <c r="P46" s="826"/>
    </row>
    <row r="47" spans="1:17" ht="13.5" customHeight="1" x14ac:dyDescent="0.2">
      <c r="A47" s="871" t="s">
        <v>367</v>
      </c>
      <c r="B47" s="872"/>
      <c r="C47" s="871" t="s">
        <v>367</v>
      </c>
      <c r="D47" s="872"/>
      <c r="F47" s="855"/>
      <c r="G47" s="825"/>
      <c r="P47" s="826"/>
    </row>
    <row r="48" spans="1:17" ht="13.5" customHeight="1" x14ac:dyDescent="0.2">
      <c r="A48" s="862"/>
      <c r="B48" s="869"/>
      <c r="C48" s="862"/>
      <c r="D48" s="869"/>
      <c r="F48" s="855"/>
      <c r="G48" s="825"/>
      <c r="P48" s="826"/>
    </row>
    <row r="49" spans="1:17" ht="13.5" customHeight="1" x14ac:dyDescent="0.2">
      <c r="A49" s="1012" t="s">
        <v>370</v>
      </c>
      <c r="B49" s="1015"/>
      <c r="C49" s="1012" t="s">
        <v>371</v>
      </c>
      <c r="D49" s="1015"/>
      <c r="F49" s="855"/>
      <c r="G49" s="825"/>
      <c r="P49" s="826"/>
    </row>
    <row r="50" spans="1:17" s="922" customFormat="1" ht="13.5" customHeight="1" x14ac:dyDescent="0.2">
      <c r="A50" s="917" t="s">
        <v>1128</v>
      </c>
      <c r="B50" s="918"/>
      <c r="C50" s="917" t="s">
        <v>1128</v>
      </c>
      <c r="D50" s="918"/>
      <c r="E50" s="919"/>
      <c r="F50" s="920"/>
      <c r="G50" s="920"/>
      <c r="H50" s="920"/>
      <c r="I50" s="647"/>
      <c r="J50" s="647"/>
      <c r="K50" s="647"/>
      <c r="L50" s="647"/>
      <c r="M50" s="647"/>
      <c r="N50" s="647"/>
      <c r="O50" s="647"/>
      <c r="P50" s="921"/>
      <c r="Q50" s="647"/>
    </row>
    <row r="51" spans="1:17" s="922" customFormat="1" ht="13.5" customHeight="1" x14ac:dyDescent="0.2">
      <c r="A51" s="917" t="s">
        <v>1129</v>
      </c>
      <c r="B51" s="918"/>
      <c r="C51" s="917" t="s">
        <v>1129</v>
      </c>
      <c r="D51" s="918"/>
      <c r="E51" s="919"/>
      <c r="F51" s="920"/>
      <c r="G51" s="920"/>
      <c r="H51" s="920"/>
      <c r="I51" s="647"/>
      <c r="J51" s="647"/>
      <c r="K51" s="647"/>
      <c r="L51" s="647"/>
      <c r="M51" s="647"/>
      <c r="N51" s="647"/>
      <c r="O51" s="647"/>
      <c r="P51" s="921"/>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16" t="s">
        <v>372</v>
      </c>
      <c r="B58" s="1017"/>
      <c r="C58" s="1008"/>
      <c r="D58" s="1018"/>
      <c r="E58" s="813"/>
      <c r="F58" s="855"/>
      <c r="G58" s="825"/>
      <c r="P58" s="826"/>
    </row>
    <row r="59" spans="1:17" s="875" customFormat="1" ht="13.5" customHeight="1" thickTop="1" x14ac:dyDescent="0.2">
      <c r="A59" s="864" t="s">
        <v>373</v>
      </c>
      <c r="B59" s="865"/>
      <c r="C59" s="1010" t="s">
        <v>374</v>
      </c>
      <c r="D59" s="1011"/>
      <c r="E59" s="815"/>
      <c r="F59" s="873"/>
      <c r="G59" s="874"/>
      <c r="P59" s="826"/>
      <c r="Q59" s="814"/>
    </row>
    <row r="60" spans="1:17" s="922" customFormat="1" ht="13.5" customHeight="1" x14ac:dyDescent="0.2">
      <c r="A60" s="917" t="s">
        <v>1128</v>
      </c>
      <c r="B60" s="918"/>
      <c r="C60" s="917" t="s">
        <v>1128</v>
      </c>
      <c r="D60" s="918"/>
      <c r="E60" s="919"/>
      <c r="F60" s="920"/>
      <c r="G60" s="920"/>
      <c r="H60" s="920"/>
      <c r="I60" s="647"/>
      <c r="J60" s="647"/>
      <c r="K60" s="647"/>
      <c r="L60" s="647"/>
      <c r="M60" s="647"/>
      <c r="N60" s="647"/>
      <c r="O60" s="647"/>
      <c r="P60" s="921"/>
      <c r="Q60" s="647"/>
    </row>
    <row r="61" spans="1:17" s="922" customFormat="1" ht="13.5" customHeight="1" x14ac:dyDescent="0.2">
      <c r="A61" s="917" t="s">
        <v>1129</v>
      </c>
      <c r="B61" s="918"/>
      <c r="C61" s="917" t="s">
        <v>1129</v>
      </c>
      <c r="D61" s="918"/>
      <c r="E61" s="919"/>
      <c r="F61" s="920"/>
      <c r="G61" s="920"/>
      <c r="H61" s="920"/>
      <c r="I61" s="647"/>
      <c r="J61" s="647"/>
      <c r="K61" s="647"/>
      <c r="L61" s="647"/>
      <c r="M61" s="647"/>
      <c r="N61" s="647"/>
      <c r="O61" s="647"/>
      <c r="P61" s="921"/>
      <c r="Q61" s="647"/>
    </row>
    <row r="62" spans="1:17" s="875" customFormat="1" ht="13.5" customHeight="1" x14ac:dyDescent="0.2">
      <c r="A62" s="858" t="s">
        <v>365</v>
      </c>
      <c r="B62" s="859"/>
      <c r="C62" s="858" t="s">
        <v>365</v>
      </c>
      <c r="D62" s="859"/>
      <c r="E62" s="815"/>
      <c r="F62" s="873"/>
      <c r="G62" s="874"/>
      <c r="P62" s="826"/>
      <c r="Q62" s="814"/>
    </row>
    <row r="63" spans="1:17" s="814" customFormat="1" ht="13.5" customHeight="1" x14ac:dyDescent="0.2">
      <c r="A63" s="858" t="s">
        <v>360</v>
      </c>
      <c r="B63" s="859"/>
      <c r="C63" s="858" t="s">
        <v>360</v>
      </c>
      <c r="D63" s="859"/>
      <c r="E63" s="813"/>
      <c r="F63" s="855"/>
      <c r="G63" s="825"/>
      <c r="P63" s="826"/>
    </row>
    <row r="64" spans="1:17" s="814" customFormat="1" ht="13.5" customHeight="1" x14ac:dyDescent="0.2">
      <c r="A64" s="858" t="s">
        <v>366</v>
      </c>
      <c r="B64" s="859"/>
      <c r="C64" s="858" t="s">
        <v>366</v>
      </c>
      <c r="D64" s="859"/>
      <c r="E64" s="813"/>
      <c r="F64" s="855"/>
      <c r="G64" s="825"/>
      <c r="P64" s="826"/>
    </row>
    <row r="65" spans="1:17" s="814" customFormat="1" ht="13.5" customHeight="1" x14ac:dyDescent="0.2">
      <c r="A65" s="858" t="s">
        <v>361</v>
      </c>
      <c r="B65" s="859"/>
      <c r="C65" s="858" t="s">
        <v>361</v>
      </c>
      <c r="D65" s="859"/>
      <c r="E65" s="813"/>
      <c r="F65" s="855"/>
      <c r="G65" s="825"/>
      <c r="P65" s="826"/>
    </row>
    <row r="66" spans="1:17" ht="13.5" customHeight="1" x14ac:dyDescent="0.2">
      <c r="A66" s="860" t="s">
        <v>367</v>
      </c>
      <c r="B66" s="868"/>
      <c r="C66" s="860" t="s">
        <v>367</v>
      </c>
      <c r="D66" s="868"/>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1012" t="s">
        <v>376</v>
      </c>
      <c r="D68" s="1013"/>
      <c r="F68" s="855"/>
      <c r="G68" s="825"/>
      <c r="P68" s="826"/>
    </row>
    <row r="69" spans="1:17" s="922" customFormat="1" ht="13.5" customHeight="1" x14ac:dyDescent="0.2">
      <c r="A69" s="917" t="s">
        <v>1128</v>
      </c>
      <c r="B69" s="918"/>
      <c r="C69" s="917" t="s">
        <v>1128</v>
      </c>
      <c r="D69" s="918"/>
      <c r="E69" s="919"/>
      <c r="F69" s="920"/>
      <c r="G69" s="920"/>
      <c r="H69" s="920"/>
      <c r="I69" s="647"/>
      <c r="J69" s="647"/>
      <c r="K69" s="647"/>
      <c r="L69" s="647"/>
      <c r="M69" s="647"/>
      <c r="N69" s="647"/>
      <c r="O69" s="647"/>
      <c r="P69" s="921"/>
      <c r="Q69" s="647"/>
    </row>
    <row r="70" spans="1:17" s="922" customFormat="1" ht="13.5" customHeight="1" x14ac:dyDescent="0.2">
      <c r="A70" s="917" t="s">
        <v>1129</v>
      </c>
      <c r="B70" s="918"/>
      <c r="C70" s="917" t="s">
        <v>1129</v>
      </c>
      <c r="D70" s="918"/>
      <c r="E70" s="919"/>
      <c r="F70" s="920"/>
      <c r="G70" s="920"/>
      <c r="H70" s="920"/>
      <c r="I70" s="647"/>
      <c r="J70" s="647"/>
      <c r="K70" s="647"/>
      <c r="L70" s="647"/>
      <c r="M70" s="647"/>
      <c r="N70" s="647"/>
      <c r="O70" s="647"/>
      <c r="P70" s="921"/>
      <c r="Q70" s="647"/>
    </row>
    <row r="71" spans="1:17" s="877" customFormat="1" ht="13.5" customHeight="1" x14ac:dyDescent="0.2">
      <c r="A71" s="858" t="s">
        <v>365</v>
      </c>
      <c r="B71" s="859" t="s">
        <v>1425</v>
      </c>
      <c r="C71" s="858" t="s">
        <v>365</v>
      </c>
      <c r="D71" s="859"/>
      <c r="E71" s="815"/>
      <c r="F71" s="873"/>
      <c r="G71" s="874"/>
      <c r="H71" s="875"/>
      <c r="I71" s="875"/>
      <c r="J71" s="875"/>
      <c r="K71" s="875"/>
      <c r="L71" s="875"/>
      <c r="M71" s="875"/>
      <c r="N71" s="875"/>
      <c r="O71" s="875"/>
      <c r="P71" s="826"/>
      <c r="Q71" s="814"/>
    </row>
    <row r="72" spans="1:17" ht="13.5" customHeight="1" x14ac:dyDescent="0.2">
      <c r="A72" s="858" t="s">
        <v>360</v>
      </c>
      <c r="B72" s="859"/>
      <c r="C72" s="858" t="s">
        <v>360</v>
      </c>
      <c r="D72" s="859"/>
      <c r="F72" s="855"/>
      <c r="G72" s="825"/>
      <c r="P72" s="826"/>
    </row>
    <row r="73" spans="1:17" ht="13.5" customHeight="1" x14ac:dyDescent="0.2">
      <c r="A73" s="858" t="s">
        <v>366</v>
      </c>
      <c r="B73" s="859"/>
      <c r="C73" s="858" t="s">
        <v>366</v>
      </c>
      <c r="D73" s="859"/>
      <c r="F73" s="855"/>
      <c r="G73" s="825"/>
      <c r="P73" s="826"/>
    </row>
    <row r="74" spans="1:17" ht="13.5" customHeight="1" x14ac:dyDescent="0.2">
      <c r="A74" s="858" t="s">
        <v>361</v>
      </c>
      <c r="B74" s="859"/>
      <c r="C74" s="858" t="s">
        <v>361</v>
      </c>
      <c r="D74" s="859"/>
      <c r="F74" s="855"/>
      <c r="G74" s="825"/>
      <c r="P74" s="826"/>
    </row>
    <row r="75" spans="1:17" ht="13.5" customHeight="1" x14ac:dyDescent="0.2">
      <c r="A75" s="860" t="s">
        <v>367</v>
      </c>
      <c r="B75" s="868"/>
      <c r="C75" s="860" t="s">
        <v>367</v>
      </c>
      <c r="D75" s="868"/>
      <c r="F75" s="855"/>
      <c r="G75" s="825"/>
      <c r="P75" s="826"/>
    </row>
    <row r="76" spans="1:17" ht="13.5" customHeight="1" x14ac:dyDescent="0.2">
      <c r="A76" s="862"/>
      <c r="B76" s="869"/>
      <c r="C76" s="862"/>
      <c r="D76" s="869"/>
      <c r="F76" s="855"/>
      <c r="G76" s="825"/>
      <c r="P76" s="826"/>
    </row>
    <row r="77" spans="1:17" s="922" customFormat="1" ht="13.5" customHeight="1" x14ac:dyDescent="0.2">
      <c r="A77" s="996" t="s">
        <v>377</v>
      </c>
      <c r="B77" s="997"/>
      <c r="C77" s="996" t="s">
        <v>377</v>
      </c>
      <c r="D77" s="997"/>
      <c r="E77" s="919"/>
      <c r="F77" s="923"/>
      <c r="G77" s="924"/>
      <c r="H77" s="920"/>
      <c r="I77" s="647"/>
      <c r="J77" s="647"/>
      <c r="K77" s="647"/>
      <c r="L77" s="647"/>
      <c r="M77" s="647"/>
      <c r="N77" s="647"/>
      <c r="O77" s="647"/>
      <c r="P77" s="921"/>
      <c r="Q77" s="920"/>
    </row>
    <row r="78" spans="1:17" s="922" customFormat="1" ht="13.5" customHeight="1" x14ac:dyDescent="0.2">
      <c r="A78" s="917" t="s">
        <v>1128</v>
      </c>
      <c r="B78" s="918"/>
      <c r="C78" s="917" t="s">
        <v>1128</v>
      </c>
      <c r="D78" s="918"/>
      <c r="E78" s="919"/>
      <c r="F78" s="920"/>
      <c r="G78" s="920"/>
      <c r="H78" s="920"/>
      <c r="I78" s="647"/>
      <c r="J78" s="647"/>
      <c r="K78" s="647"/>
      <c r="L78" s="647"/>
      <c r="M78" s="647"/>
      <c r="N78" s="647"/>
      <c r="O78" s="647"/>
      <c r="P78" s="921"/>
      <c r="Q78" s="647"/>
    </row>
    <row r="79" spans="1:17" s="922" customFormat="1" ht="13.5" customHeight="1" x14ac:dyDescent="0.2">
      <c r="A79" s="917" t="s">
        <v>1129</v>
      </c>
      <c r="B79" s="918"/>
      <c r="C79" s="917" t="s">
        <v>1129</v>
      </c>
      <c r="D79" s="918"/>
      <c r="E79" s="919"/>
      <c r="F79" s="920"/>
      <c r="G79" s="920"/>
      <c r="H79" s="920"/>
      <c r="I79" s="647"/>
      <c r="J79" s="647"/>
      <c r="K79" s="647"/>
      <c r="L79" s="647"/>
      <c r="M79" s="647"/>
      <c r="N79" s="647"/>
      <c r="O79" s="647"/>
      <c r="P79" s="921"/>
      <c r="Q79" s="647"/>
    </row>
    <row r="80" spans="1:17" s="930" customFormat="1" ht="13.5" customHeight="1" x14ac:dyDescent="0.2">
      <c r="A80" s="917" t="s">
        <v>365</v>
      </c>
      <c r="B80" s="918"/>
      <c r="C80" s="917" t="s">
        <v>365</v>
      </c>
      <c r="D80" s="918"/>
      <c r="E80" s="925"/>
      <c r="F80" s="926"/>
      <c r="G80" s="927"/>
      <c r="H80" s="928"/>
      <c r="I80" s="929"/>
      <c r="J80" s="929"/>
      <c r="K80" s="929"/>
      <c r="L80" s="929"/>
      <c r="M80" s="929"/>
      <c r="N80" s="929"/>
      <c r="O80" s="929"/>
      <c r="P80" s="921"/>
      <c r="Q80" s="920"/>
    </row>
    <row r="81" spans="1:17" s="922" customFormat="1" ht="13.5" customHeight="1" x14ac:dyDescent="0.2">
      <c r="A81" s="917" t="s">
        <v>360</v>
      </c>
      <c r="B81" s="918"/>
      <c r="C81" s="917" t="s">
        <v>360</v>
      </c>
      <c r="D81" s="918"/>
      <c r="E81" s="919"/>
      <c r="F81" s="923"/>
      <c r="G81" s="924"/>
      <c r="H81" s="920"/>
      <c r="I81" s="647"/>
      <c r="J81" s="647"/>
      <c r="K81" s="647"/>
      <c r="L81" s="647"/>
      <c r="M81" s="647"/>
      <c r="N81" s="647"/>
      <c r="O81" s="647"/>
      <c r="P81" s="921"/>
      <c r="Q81" s="920"/>
    </row>
    <row r="82" spans="1:17" s="922" customFormat="1" ht="13.5" customHeight="1" x14ac:dyDescent="0.2">
      <c r="A82" s="917" t="s">
        <v>366</v>
      </c>
      <c r="B82" s="918"/>
      <c r="C82" s="917" t="s">
        <v>366</v>
      </c>
      <c r="D82" s="918"/>
      <c r="E82" s="919"/>
      <c r="F82" s="923"/>
      <c r="G82" s="924"/>
      <c r="H82" s="920"/>
      <c r="I82" s="647"/>
      <c r="J82" s="647"/>
      <c r="K82" s="647"/>
      <c r="L82" s="647"/>
      <c r="M82" s="647"/>
      <c r="N82" s="647"/>
      <c r="O82" s="647"/>
      <c r="P82" s="921"/>
      <c r="Q82" s="920"/>
    </row>
    <row r="83" spans="1:17" s="922" customFormat="1" ht="13.5" customHeight="1" x14ac:dyDescent="0.2">
      <c r="A83" s="917" t="s">
        <v>361</v>
      </c>
      <c r="B83" s="918"/>
      <c r="C83" s="917" t="s">
        <v>361</v>
      </c>
      <c r="D83" s="918"/>
      <c r="E83" s="919"/>
      <c r="F83" s="923"/>
      <c r="G83" s="924"/>
      <c r="H83" s="920"/>
      <c r="I83" s="647"/>
      <c r="J83" s="647"/>
      <c r="K83" s="647"/>
      <c r="L83" s="647"/>
      <c r="M83" s="647"/>
      <c r="N83" s="647"/>
      <c r="O83" s="647"/>
      <c r="P83" s="921"/>
      <c r="Q83" s="920"/>
    </row>
    <row r="84" spans="1:17" s="922" customFormat="1" ht="13.5" customHeight="1" x14ac:dyDescent="0.2">
      <c r="A84" s="917" t="s">
        <v>367</v>
      </c>
      <c r="B84" s="918"/>
      <c r="C84" s="917" t="s">
        <v>367</v>
      </c>
      <c r="D84" s="918"/>
      <c r="E84" s="919"/>
      <c r="F84" s="923"/>
      <c r="G84" s="924"/>
      <c r="H84" s="920"/>
      <c r="I84" s="647"/>
      <c r="J84" s="647"/>
      <c r="K84" s="647"/>
      <c r="L84" s="647"/>
      <c r="M84" s="647"/>
      <c r="N84" s="647"/>
      <c r="O84" s="647"/>
      <c r="P84" s="921"/>
      <c r="Q84" s="920"/>
    </row>
    <row r="85" spans="1:17" s="922" customFormat="1" ht="13.5" customHeight="1" x14ac:dyDescent="0.2">
      <c r="A85" s="996" t="s">
        <v>377</v>
      </c>
      <c r="B85" s="997"/>
      <c r="C85" s="996" t="s">
        <v>377</v>
      </c>
      <c r="D85" s="997"/>
      <c r="E85" s="919"/>
      <c r="F85" s="923"/>
      <c r="G85" s="924"/>
      <c r="H85" s="920"/>
      <c r="I85" s="647"/>
      <c r="J85" s="647"/>
      <c r="K85" s="647"/>
      <c r="L85" s="647"/>
      <c r="M85" s="647"/>
      <c r="N85" s="647"/>
      <c r="O85" s="647"/>
      <c r="P85" s="921"/>
      <c r="Q85" s="920"/>
    </row>
    <row r="86" spans="1:17" s="922" customFormat="1" ht="13.5" customHeight="1" x14ac:dyDescent="0.2">
      <c r="A86" s="917" t="s">
        <v>1128</v>
      </c>
      <c r="B86" s="918"/>
      <c r="C86" s="917" t="s">
        <v>1128</v>
      </c>
      <c r="D86" s="918"/>
      <c r="E86" s="919"/>
      <c r="F86" s="920"/>
      <c r="G86" s="920"/>
      <c r="H86" s="920"/>
      <c r="I86" s="647"/>
      <c r="J86" s="647"/>
      <c r="K86" s="647"/>
      <c r="L86" s="647"/>
      <c r="M86" s="647"/>
      <c r="N86" s="647"/>
      <c r="O86" s="647"/>
      <c r="P86" s="921"/>
      <c r="Q86" s="647"/>
    </row>
    <row r="87" spans="1:17" s="922" customFormat="1" ht="13.5" customHeight="1" x14ac:dyDescent="0.2">
      <c r="A87" s="917" t="s">
        <v>1129</v>
      </c>
      <c r="B87" s="918"/>
      <c r="C87" s="917" t="s">
        <v>1129</v>
      </c>
      <c r="D87" s="918"/>
      <c r="E87" s="919"/>
      <c r="F87" s="920"/>
      <c r="G87" s="920"/>
      <c r="H87" s="920"/>
      <c r="I87" s="647"/>
      <c r="J87" s="647"/>
      <c r="K87" s="647"/>
      <c r="L87" s="647"/>
      <c r="M87" s="647"/>
      <c r="N87" s="647"/>
      <c r="O87" s="647"/>
      <c r="P87" s="921"/>
      <c r="Q87" s="647"/>
    </row>
    <row r="88" spans="1:17" s="922" customFormat="1" ht="13.5" customHeight="1" x14ac:dyDescent="0.2">
      <c r="A88" s="917" t="s">
        <v>365</v>
      </c>
      <c r="B88" s="918"/>
      <c r="C88" s="917" t="s">
        <v>365</v>
      </c>
      <c r="D88" s="918"/>
      <c r="E88" s="919"/>
      <c r="F88" s="923"/>
      <c r="G88" s="924"/>
      <c r="H88" s="920"/>
      <c r="I88" s="647"/>
      <c r="J88" s="647"/>
      <c r="K88" s="647"/>
      <c r="L88" s="647"/>
      <c r="M88" s="647"/>
      <c r="N88" s="647"/>
      <c r="O88" s="647"/>
      <c r="P88" s="921"/>
      <c r="Q88" s="920"/>
    </row>
    <row r="89" spans="1:17" s="922" customFormat="1" ht="13.5" customHeight="1" x14ac:dyDescent="0.2">
      <c r="A89" s="917" t="s">
        <v>360</v>
      </c>
      <c r="B89" s="918"/>
      <c r="C89" s="917" t="s">
        <v>360</v>
      </c>
      <c r="D89" s="918"/>
      <c r="E89" s="919"/>
      <c r="F89" s="923"/>
      <c r="G89" s="924"/>
      <c r="H89" s="920"/>
      <c r="I89" s="647"/>
      <c r="J89" s="647"/>
      <c r="K89" s="647"/>
      <c r="L89" s="647"/>
      <c r="M89" s="647"/>
      <c r="N89" s="647"/>
      <c r="O89" s="647"/>
      <c r="P89" s="921"/>
      <c r="Q89" s="920"/>
    </row>
    <row r="90" spans="1:17" s="920" customFormat="1" ht="13.5" customHeight="1" x14ac:dyDescent="0.2">
      <c r="A90" s="917" t="s">
        <v>366</v>
      </c>
      <c r="B90" s="918"/>
      <c r="C90" s="917" t="s">
        <v>366</v>
      </c>
      <c r="D90" s="918"/>
      <c r="E90" s="919"/>
      <c r="F90" s="923"/>
      <c r="G90" s="924"/>
      <c r="I90" s="647"/>
      <c r="J90" s="647"/>
      <c r="K90" s="647"/>
      <c r="L90" s="647"/>
      <c r="M90" s="647"/>
      <c r="N90" s="647"/>
      <c r="O90" s="647"/>
      <c r="P90" s="921"/>
    </row>
    <row r="91" spans="1:17" s="920" customFormat="1" ht="13.5" customHeight="1" x14ac:dyDescent="0.2">
      <c r="A91" s="917" t="s">
        <v>361</v>
      </c>
      <c r="B91" s="918"/>
      <c r="C91" s="917" t="s">
        <v>361</v>
      </c>
      <c r="D91" s="918"/>
      <c r="E91" s="919"/>
      <c r="F91" s="923"/>
      <c r="G91" s="924"/>
      <c r="I91" s="647"/>
      <c r="J91" s="647"/>
      <c r="K91" s="647"/>
      <c r="L91" s="647"/>
      <c r="M91" s="647"/>
      <c r="N91" s="647"/>
      <c r="O91" s="647"/>
      <c r="P91" s="921"/>
    </row>
    <row r="92" spans="1:17" s="920" customFormat="1" ht="13.5" customHeight="1" x14ac:dyDescent="0.2">
      <c r="A92" s="917" t="s">
        <v>367</v>
      </c>
      <c r="B92" s="918"/>
      <c r="C92" s="917" t="s">
        <v>367</v>
      </c>
      <c r="D92" s="918"/>
      <c r="E92" s="919"/>
      <c r="F92" s="923"/>
      <c r="G92" s="924"/>
      <c r="I92" s="647"/>
      <c r="J92" s="647"/>
      <c r="K92" s="647"/>
      <c r="L92" s="647"/>
      <c r="M92" s="647"/>
      <c r="N92" s="647"/>
      <c r="O92" s="647"/>
      <c r="P92" s="921"/>
    </row>
    <row r="93" spans="1:17" s="920" customFormat="1" ht="13.5" customHeight="1" x14ac:dyDescent="0.2">
      <c r="A93" s="996" t="s">
        <v>377</v>
      </c>
      <c r="B93" s="997"/>
      <c r="C93" s="996" t="s">
        <v>377</v>
      </c>
      <c r="D93" s="997"/>
      <c r="E93" s="919"/>
      <c r="F93" s="923"/>
      <c r="G93" s="924"/>
      <c r="I93" s="647"/>
      <c r="J93" s="647"/>
      <c r="K93" s="647"/>
      <c r="L93" s="647"/>
      <c r="M93" s="647"/>
      <c r="N93" s="647"/>
      <c r="O93" s="647"/>
      <c r="P93" s="921"/>
    </row>
    <row r="94" spans="1:17" s="922" customFormat="1" ht="13.5" customHeight="1" x14ac:dyDescent="0.2">
      <c r="A94" s="917" t="s">
        <v>1128</v>
      </c>
      <c r="B94" s="918"/>
      <c r="C94" s="917" t="s">
        <v>1128</v>
      </c>
      <c r="D94" s="918"/>
      <c r="E94" s="919"/>
      <c r="F94" s="920"/>
      <c r="G94" s="920"/>
      <c r="H94" s="920"/>
      <c r="I94" s="647"/>
      <c r="J94" s="647"/>
      <c r="K94" s="647"/>
      <c r="L94" s="647"/>
      <c r="M94" s="647"/>
      <c r="N94" s="647"/>
      <c r="O94" s="647"/>
      <c r="P94" s="921"/>
      <c r="Q94" s="647"/>
    </row>
    <row r="95" spans="1:17" s="922" customFormat="1" ht="13.5" customHeight="1" x14ac:dyDescent="0.2">
      <c r="A95" s="917" t="s">
        <v>1129</v>
      </c>
      <c r="B95" s="918"/>
      <c r="C95" s="917" t="s">
        <v>1129</v>
      </c>
      <c r="D95" s="918"/>
      <c r="E95" s="919"/>
      <c r="F95" s="920"/>
      <c r="G95" s="920"/>
      <c r="H95" s="920"/>
      <c r="I95" s="647"/>
      <c r="J95" s="647"/>
      <c r="K95" s="647"/>
      <c r="L95" s="647"/>
      <c r="M95" s="647"/>
      <c r="N95" s="647"/>
      <c r="O95" s="647"/>
      <c r="P95" s="921"/>
      <c r="Q95" s="647"/>
    </row>
    <row r="96" spans="1:17" s="920" customFormat="1" ht="13.5" customHeight="1" x14ac:dyDescent="0.2">
      <c r="A96" s="917" t="s">
        <v>365</v>
      </c>
      <c r="B96" s="918"/>
      <c r="C96" s="917" t="s">
        <v>365</v>
      </c>
      <c r="D96" s="918"/>
      <c r="E96" s="919"/>
      <c r="F96" s="923"/>
      <c r="G96" s="924"/>
      <c r="I96" s="647"/>
      <c r="J96" s="647"/>
      <c r="K96" s="647"/>
      <c r="L96" s="647"/>
      <c r="M96" s="647"/>
      <c r="N96" s="647"/>
      <c r="O96" s="647"/>
      <c r="P96" s="921"/>
    </row>
    <row r="97" spans="1:17" s="920" customFormat="1" ht="13.5" customHeight="1" x14ac:dyDescent="0.2">
      <c r="A97" s="917" t="s">
        <v>360</v>
      </c>
      <c r="B97" s="918"/>
      <c r="C97" s="917" t="s">
        <v>360</v>
      </c>
      <c r="D97" s="918"/>
      <c r="E97" s="919"/>
      <c r="F97" s="923"/>
      <c r="G97" s="924"/>
      <c r="I97" s="647"/>
      <c r="J97" s="647"/>
      <c r="K97" s="647"/>
      <c r="L97" s="647"/>
      <c r="M97" s="647"/>
      <c r="N97" s="647"/>
      <c r="O97" s="647"/>
      <c r="P97" s="921"/>
    </row>
    <row r="98" spans="1:17" s="920" customFormat="1" ht="13.5" customHeight="1" x14ac:dyDescent="0.2">
      <c r="A98" s="917" t="s">
        <v>366</v>
      </c>
      <c r="B98" s="918"/>
      <c r="C98" s="917" t="s">
        <v>366</v>
      </c>
      <c r="D98" s="918"/>
      <c r="E98" s="919"/>
      <c r="F98" s="923"/>
      <c r="G98" s="924"/>
      <c r="I98" s="647"/>
      <c r="J98" s="647"/>
      <c r="K98" s="647"/>
      <c r="L98" s="647"/>
      <c r="M98" s="647"/>
      <c r="N98" s="647"/>
      <c r="O98" s="647"/>
      <c r="P98" s="921"/>
    </row>
    <row r="99" spans="1:17" s="920" customFormat="1" ht="13.5" customHeight="1" x14ac:dyDescent="0.2">
      <c r="A99" s="917" t="s">
        <v>361</v>
      </c>
      <c r="B99" s="918"/>
      <c r="C99" s="917" t="s">
        <v>361</v>
      </c>
      <c r="D99" s="918"/>
      <c r="E99" s="919"/>
      <c r="F99" s="923"/>
      <c r="G99" s="924"/>
      <c r="I99" s="647"/>
      <c r="J99" s="647"/>
      <c r="K99" s="647"/>
      <c r="L99" s="647"/>
      <c r="M99" s="647"/>
      <c r="N99" s="647"/>
      <c r="O99" s="647"/>
      <c r="P99" s="921"/>
    </row>
    <row r="100" spans="1:17" s="920" customFormat="1" ht="13.5" customHeight="1" x14ac:dyDescent="0.2">
      <c r="A100" s="917" t="s">
        <v>367</v>
      </c>
      <c r="B100" s="918"/>
      <c r="C100" s="917" t="s">
        <v>367</v>
      </c>
      <c r="D100" s="918"/>
      <c r="E100" s="919"/>
      <c r="F100" s="923"/>
      <c r="G100" s="924"/>
      <c r="I100" s="647"/>
      <c r="J100" s="647"/>
      <c r="K100" s="647"/>
      <c r="L100" s="647"/>
      <c r="M100" s="647"/>
      <c r="N100" s="647"/>
      <c r="O100" s="647"/>
      <c r="P100" s="921"/>
    </row>
    <row r="101" spans="1:17" s="920" customFormat="1" ht="12.75" customHeight="1" x14ac:dyDescent="0.2">
      <c r="A101" s="996" t="s">
        <v>377</v>
      </c>
      <c r="B101" s="997"/>
      <c r="C101" s="996" t="s">
        <v>377</v>
      </c>
      <c r="D101" s="997"/>
      <c r="E101" s="919"/>
      <c r="F101" s="923"/>
      <c r="G101" s="924"/>
      <c r="I101" s="647"/>
      <c r="J101" s="647"/>
      <c r="K101" s="647"/>
      <c r="L101" s="647"/>
      <c r="M101" s="647"/>
      <c r="N101" s="647"/>
      <c r="O101" s="647"/>
      <c r="P101" s="921"/>
    </row>
    <row r="102" spans="1:17" s="922" customFormat="1" ht="13.5" customHeight="1" x14ac:dyDescent="0.2">
      <c r="A102" s="917" t="s">
        <v>1128</v>
      </c>
      <c r="B102" s="918"/>
      <c r="C102" s="917" t="s">
        <v>1128</v>
      </c>
      <c r="D102" s="918"/>
      <c r="E102" s="919"/>
      <c r="F102" s="920"/>
      <c r="G102" s="920"/>
      <c r="H102" s="920"/>
      <c r="I102" s="647"/>
      <c r="J102" s="647"/>
      <c r="K102" s="647"/>
      <c r="L102" s="647"/>
      <c r="M102" s="647"/>
      <c r="N102" s="647"/>
      <c r="O102" s="647"/>
      <c r="P102" s="921"/>
      <c r="Q102" s="647"/>
    </row>
    <row r="103" spans="1:17" s="920" customFormat="1" ht="12.75" customHeight="1" x14ac:dyDescent="0.2">
      <c r="A103" s="917" t="s">
        <v>1129</v>
      </c>
      <c r="B103" s="918"/>
      <c r="C103" s="917" t="s">
        <v>1129</v>
      </c>
      <c r="D103" s="918"/>
      <c r="E103" s="919"/>
      <c r="F103" s="923"/>
      <c r="G103" s="924"/>
      <c r="I103" s="647"/>
      <c r="J103" s="647"/>
      <c r="K103" s="647"/>
      <c r="L103" s="647"/>
      <c r="M103" s="647"/>
      <c r="N103" s="647"/>
      <c r="O103" s="647"/>
      <c r="P103" s="921"/>
    </row>
    <row r="104" spans="1:17" s="920" customFormat="1" ht="12.75" customHeight="1" x14ac:dyDescent="0.2">
      <c r="A104" s="917" t="s">
        <v>365</v>
      </c>
      <c r="B104" s="918"/>
      <c r="C104" s="917" t="s">
        <v>365</v>
      </c>
      <c r="D104" s="918"/>
      <c r="E104" s="919"/>
      <c r="F104" s="923"/>
      <c r="G104" s="924"/>
      <c r="I104" s="647"/>
      <c r="J104" s="647"/>
      <c r="K104" s="647"/>
      <c r="L104" s="647"/>
      <c r="M104" s="647"/>
      <c r="N104" s="647"/>
      <c r="O104" s="647"/>
      <c r="P104" s="921"/>
    </row>
    <row r="105" spans="1:17" s="920" customFormat="1" ht="12.75" customHeight="1" x14ac:dyDescent="0.2">
      <c r="A105" s="917" t="s">
        <v>360</v>
      </c>
      <c r="B105" s="918"/>
      <c r="C105" s="917" t="s">
        <v>360</v>
      </c>
      <c r="D105" s="918"/>
      <c r="E105" s="919"/>
      <c r="F105" s="923"/>
      <c r="G105" s="924"/>
      <c r="I105" s="647"/>
      <c r="J105" s="647"/>
      <c r="K105" s="647"/>
      <c r="L105" s="647"/>
      <c r="M105" s="647"/>
      <c r="N105" s="647"/>
      <c r="O105" s="647"/>
      <c r="P105" s="921"/>
    </row>
    <row r="106" spans="1:17" s="932" customFormat="1" ht="12.75" customHeight="1" x14ac:dyDescent="0.2">
      <c r="A106" s="917" t="s">
        <v>366</v>
      </c>
      <c r="B106" s="918"/>
      <c r="C106" s="917" t="s">
        <v>366</v>
      </c>
      <c r="D106" s="918"/>
      <c r="E106" s="931"/>
      <c r="F106" s="923"/>
      <c r="G106" s="924"/>
      <c r="I106" s="647"/>
      <c r="J106" s="647"/>
      <c r="K106" s="647"/>
      <c r="L106" s="647"/>
      <c r="M106" s="647"/>
      <c r="N106" s="647"/>
      <c r="O106" s="647"/>
      <c r="P106" s="921"/>
      <c r="Q106" s="920"/>
    </row>
    <row r="107" spans="1:17" s="647" customFormat="1" ht="12.75" customHeight="1" x14ac:dyDescent="0.2">
      <c r="A107" s="917" t="s">
        <v>361</v>
      </c>
      <c r="B107" s="918"/>
      <c r="C107" s="917" t="s">
        <v>361</v>
      </c>
      <c r="D107" s="918"/>
      <c r="E107" s="933"/>
      <c r="F107" s="923"/>
      <c r="G107" s="924"/>
      <c r="P107" s="921"/>
      <c r="Q107" s="920"/>
    </row>
    <row r="108" spans="1:17" s="647" customFormat="1" ht="12.75" customHeight="1" x14ac:dyDescent="0.2">
      <c r="A108" s="917" t="s">
        <v>367</v>
      </c>
      <c r="B108" s="918"/>
      <c r="C108" s="917" t="s">
        <v>367</v>
      </c>
      <c r="D108" s="918"/>
      <c r="E108" s="933"/>
      <c r="F108" s="923"/>
      <c r="G108" s="924"/>
      <c r="P108" s="921"/>
      <c r="Q108" s="920"/>
    </row>
    <row r="109" spans="1:17" s="920" customFormat="1" ht="12.75" customHeight="1" x14ac:dyDescent="0.2">
      <c r="A109" s="996" t="s">
        <v>377</v>
      </c>
      <c r="B109" s="997"/>
      <c r="C109" s="996" t="s">
        <v>377</v>
      </c>
      <c r="D109" s="997"/>
      <c r="E109" s="919"/>
      <c r="I109" s="647"/>
      <c r="J109" s="647"/>
      <c r="K109" s="647"/>
      <c r="L109" s="647"/>
      <c r="M109" s="647"/>
      <c r="N109" s="647"/>
      <c r="O109" s="647"/>
      <c r="P109" s="921"/>
    </row>
    <row r="110" spans="1:17" s="922" customFormat="1" ht="13.5" customHeight="1" x14ac:dyDescent="0.2">
      <c r="A110" s="917" t="s">
        <v>1128</v>
      </c>
      <c r="B110" s="918"/>
      <c r="C110" s="917" t="s">
        <v>1128</v>
      </c>
      <c r="D110" s="918"/>
      <c r="E110" s="919"/>
      <c r="F110" s="920"/>
      <c r="G110" s="920"/>
      <c r="H110" s="920"/>
      <c r="I110" s="647"/>
      <c r="J110" s="647"/>
      <c r="K110" s="647"/>
      <c r="L110" s="647"/>
      <c r="M110" s="647"/>
      <c r="N110" s="647"/>
      <c r="O110" s="647"/>
      <c r="P110" s="921"/>
      <c r="Q110" s="647"/>
    </row>
    <row r="111" spans="1:17" s="920" customFormat="1" ht="12.75" customHeight="1" x14ac:dyDescent="0.2">
      <c r="A111" s="917" t="s">
        <v>1129</v>
      </c>
      <c r="B111" s="918"/>
      <c r="C111" s="917" t="s">
        <v>1129</v>
      </c>
      <c r="D111" s="918"/>
      <c r="E111" s="919"/>
      <c r="I111" s="647"/>
      <c r="J111" s="647"/>
      <c r="K111" s="647"/>
      <c r="L111" s="647"/>
      <c r="M111" s="647"/>
      <c r="N111" s="647"/>
      <c r="O111" s="647"/>
      <c r="P111" s="921"/>
    </row>
    <row r="112" spans="1:17" s="920" customFormat="1" ht="12.75" customHeight="1" x14ac:dyDescent="0.2">
      <c r="A112" s="917" t="s">
        <v>365</v>
      </c>
      <c r="B112" s="918"/>
      <c r="C112" s="917" t="s">
        <v>365</v>
      </c>
      <c r="D112" s="918"/>
      <c r="E112" s="919"/>
      <c r="I112" s="647"/>
      <c r="J112" s="647"/>
      <c r="K112" s="647"/>
      <c r="L112" s="647"/>
      <c r="M112" s="647"/>
      <c r="N112" s="647"/>
      <c r="O112" s="647"/>
      <c r="P112" s="921"/>
    </row>
    <row r="113" spans="1:25" s="920" customFormat="1" ht="12.75" customHeight="1" x14ac:dyDescent="0.2">
      <c r="A113" s="917" t="s">
        <v>360</v>
      </c>
      <c r="B113" s="918"/>
      <c r="C113" s="917" t="s">
        <v>360</v>
      </c>
      <c r="D113" s="918"/>
      <c r="E113" s="919"/>
      <c r="I113" s="647"/>
      <c r="J113" s="647"/>
      <c r="K113" s="647"/>
      <c r="L113" s="647"/>
      <c r="M113" s="647"/>
      <c r="N113" s="647"/>
      <c r="O113" s="647"/>
      <c r="P113" s="921"/>
    </row>
    <row r="114" spans="1:25" s="922" customFormat="1" ht="12.75" customHeight="1" x14ac:dyDescent="0.2">
      <c r="A114" s="917" t="s">
        <v>366</v>
      </c>
      <c r="B114" s="918"/>
      <c r="C114" s="917" t="s">
        <v>366</v>
      </c>
      <c r="D114" s="918"/>
      <c r="E114" s="934"/>
      <c r="F114" s="920"/>
      <c r="G114" s="920"/>
      <c r="H114" s="920"/>
      <c r="I114" s="647"/>
      <c r="J114" s="647"/>
      <c r="K114" s="647"/>
      <c r="L114" s="647"/>
      <c r="M114" s="647"/>
      <c r="N114" s="647"/>
      <c r="O114" s="647"/>
      <c r="P114" s="921"/>
      <c r="Q114" s="920"/>
      <c r="R114" s="935"/>
      <c r="S114" s="935"/>
      <c r="T114" s="935"/>
      <c r="U114" s="935"/>
      <c r="V114" s="935"/>
      <c r="W114" s="935"/>
      <c r="X114" s="935"/>
      <c r="Y114" s="935"/>
    </row>
    <row r="115" spans="1:25" s="922" customFormat="1" ht="12.75" customHeight="1" x14ac:dyDescent="0.2">
      <c r="A115" s="917" t="s">
        <v>361</v>
      </c>
      <c r="B115" s="918"/>
      <c r="C115" s="917" t="s">
        <v>361</v>
      </c>
      <c r="D115" s="918"/>
      <c r="E115" s="934"/>
      <c r="F115" s="920"/>
      <c r="G115" s="920"/>
      <c r="H115" s="920"/>
      <c r="I115" s="647"/>
      <c r="J115" s="647"/>
      <c r="K115" s="647"/>
      <c r="L115" s="647"/>
      <c r="M115" s="647"/>
      <c r="N115" s="647"/>
      <c r="O115" s="647"/>
      <c r="P115" s="921"/>
      <c r="Q115" s="920"/>
      <c r="R115" s="935"/>
      <c r="S115" s="935"/>
      <c r="T115" s="935"/>
      <c r="U115" s="935"/>
      <c r="V115" s="935"/>
      <c r="W115" s="935"/>
      <c r="X115" s="935"/>
      <c r="Y115" s="935"/>
    </row>
    <row r="116" spans="1:25" s="922" customFormat="1" ht="12.75" customHeight="1" x14ac:dyDescent="0.2">
      <c r="A116" s="917" t="s">
        <v>367</v>
      </c>
      <c r="B116" s="918"/>
      <c r="C116" s="917" t="s">
        <v>367</v>
      </c>
      <c r="D116" s="918"/>
      <c r="E116" s="934"/>
      <c r="F116" s="920"/>
      <c r="G116" s="920"/>
      <c r="H116" s="920"/>
      <c r="I116" s="647"/>
      <c r="J116" s="647"/>
      <c r="K116" s="647"/>
      <c r="L116" s="647"/>
      <c r="M116" s="647"/>
      <c r="N116" s="647"/>
      <c r="O116" s="647"/>
      <c r="P116" s="921"/>
      <c r="Q116" s="920"/>
      <c r="R116" s="935"/>
      <c r="S116" s="935"/>
      <c r="T116" s="935"/>
      <c r="U116" s="935"/>
      <c r="V116" s="935"/>
      <c r="W116" s="935"/>
      <c r="X116" s="935"/>
      <c r="Y116" s="935"/>
    </row>
    <row r="117" spans="1:25" s="922" customFormat="1" ht="12.75" customHeight="1" x14ac:dyDescent="0.2">
      <c r="A117" s="996" t="s">
        <v>377</v>
      </c>
      <c r="B117" s="997"/>
      <c r="C117" s="996" t="s">
        <v>377</v>
      </c>
      <c r="D117" s="997"/>
      <c r="E117" s="934"/>
      <c r="F117" s="920"/>
      <c r="G117" s="920"/>
      <c r="H117" s="920"/>
      <c r="I117" s="647"/>
      <c r="J117" s="647"/>
      <c r="K117" s="647"/>
      <c r="L117" s="647"/>
      <c r="M117" s="647"/>
      <c r="N117" s="647"/>
      <c r="O117" s="647"/>
      <c r="P117" s="921"/>
      <c r="Q117" s="920"/>
      <c r="R117" s="935"/>
      <c r="S117" s="935"/>
      <c r="T117" s="935"/>
      <c r="U117" s="935"/>
      <c r="V117" s="935"/>
      <c r="W117" s="935"/>
      <c r="X117" s="935"/>
      <c r="Y117" s="935"/>
    </row>
    <row r="118" spans="1:25" s="922" customFormat="1" ht="13.5" customHeight="1" x14ac:dyDescent="0.2">
      <c r="A118" s="917" t="s">
        <v>1128</v>
      </c>
      <c r="B118" s="918"/>
      <c r="C118" s="917" t="s">
        <v>1128</v>
      </c>
      <c r="D118" s="918"/>
      <c r="E118" s="919"/>
      <c r="F118" s="920"/>
      <c r="G118" s="920"/>
      <c r="H118" s="920"/>
      <c r="I118" s="647"/>
      <c r="J118" s="647"/>
      <c r="K118" s="647"/>
      <c r="L118" s="647"/>
      <c r="M118" s="647"/>
      <c r="N118" s="647"/>
      <c r="O118" s="647"/>
      <c r="P118" s="921"/>
      <c r="Q118" s="647"/>
    </row>
    <row r="119" spans="1:25" s="922" customFormat="1" ht="12.75" customHeight="1" x14ac:dyDescent="0.2">
      <c r="A119" s="917" t="s">
        <v>1129</v>
      </c>
      <c r="B119" s="918"/>
      <c r="C119" s="917" t="s">
        <v>1129</v>
      </c>
      <c r="D119" s="918"/>
      <c r="E119" s="934"/>
      <c r="F119" s="920"/>
      <c r="G119" s="920"/>
      <c r="H119" s="920"/>
      <c r="I119" s="647"/>
      <c r="J119" s="647"/>
      <c r="K119" s="647"/>
      <c r="L119" s="647"/>
      <c r="M119" s="647"/>
      <c r="N119" s="647"/>
      <c r="O119" s="647"/>
      <c r="P119" s="921"/>
      <c r="Q119" s="920"/>
      <c r="R119" s="935"/>
      <c r="S119" s="935"/>
      <c r="T119" s="935"/>
      <c r="U119" s="935"/>
      <c r="V119" s="935"/>
      <c r="W119" s="935"/>
      <c r="X119" s="935"/>
      <c r="Y119" s="935"/>
    </row>
    <row r="120" spans="1:25" s="922" customFormat="1" ht="12.75" customHeight="1" x14ac:dyDescent="0.2">
      <c r="A120" s="917" t="s">
        <v>365</v>
      </c>
      <c r="B120" s="918"/>
      <c r="C120" s="917" t="s">
        <v>365</v>
      </c>
      <c r="D120" s="918"/>
      <c r="E120" s="934"/>
      <c r="F120" s="920"/>
      <c r="G120" s="920"/>
      <c r="H120" s="920"/>
      <c r="I120" s="647"/>
      <c r="J120" s="647"/>
      <c r="K120" s="647"/>
      <c r="L120" s="647"/>
      <c r="M120" s="647"/>
      <c r="N120" s="647"/>
      <c r="O120" s="647"/>
      <c r="P120" s="921"/>
      <c r="Q120" s="920"/>
      <c r="R120" s="935"/>
      <c r="S120" s="935"/>
      <c r="T120" s="935"/>
      <c r="U120" s="935"/>
      <c r="V120" s="935"/>
      <c r="W120" s="935"/>
      <c r="X120" s="935"/>
      <c r="Y120" s="935"/>
    </row>
    <row r="121" spans="1:25" s="922" customFormat="1" ht="12.75" customHeight="1" x14ac:dyDescent="0.2">
      <c r="A121" s="917" t="s">
        <v>360</v>
      </c>
      <c r="B121" s="918"/>
      <c r="C121" s="917" t="s">
        <v>360</v>
      </c>
      <c r="D121" s="918"/>
      <c r="E121" s="934"/>
      <c r="F121" s="920"/>
      <c r="G121" s="920"/>
      <c r="H121" s="920"/>
      <c r="I121" s="647"/>
      <c r="J121" s="647"/>
      <c r="K121" s="647"/>
      <c r="L121" s="647"/>
      <c r="M121" s="647"/>
      <c r="N121" s="647"/>
      <c r="O121" s="647"/>
      <c r="P121" s="921"/>
      <c r="Q121" s="920"/>
      <c r="R121" s="935"/>
      <c r="S121" s="935"/>
      <c r="T121" s="935"/>
      <c r="U121" s="935"/>
      <c r="V121" s="935"/>
      <c r="W121" s="935"/>
      <c r="X121" s="935"/>
      <c r="Y121" s="935"/>
    </row>
    <row r="122" spans="1:25" s="922" customFormat="1" ht="12.75" customHeight="1" x14ac:dyDescent="0.2">
      <c r="A122" s="917" t="s">
        <v>366</v>
      </c>
      <c r="B122" s="918"/>
      <c r="C122" s="917" t="s">
        <v>366</v>
      </c>
      <c r="D122" s="918"/>
      <c r="E122" s="934"/>
      <c r="F122" s="920"/>
      <c r="G122" s="920"/>
      <c r="H122" s="920"/>
      <c r="I122" s="647"/>
      <c r="J122" s="647"/>
      <c r="K122" s="647"/>
      <c r="L122" s="647"/>
      <c r="M122" s="647"/>
      <c r="N122" s="647"/>
      <c r="O122" s="647"/>
      <c r="P122" s="921"/>
      <c r="Q122" s="920"/>
      <c r="R122" s="935"/>
      <c r="S122" s="935"/>
      <c r="T122" s="935"/>
      <c r="U122" s="935"/>
      <c r="V122" s="935"/>
      <c r="W122" s="935"/>
      <c r="X122" s="935"/>
      <c r="Y122" s="935"/>
    </row>
    <row r="123" spans="1:25" s="922" customFormat="1" ht="12.75" customHeight="1" x14ac:dyDescent="0.2">
      <c r="A123" s="917" t="s">
        <v>361</v>
      </c>
      <c r="B123" s="918"/>
      <c r="C123" s="917" t="s">
        <v>361</v>
      </c>
      <c r="D123" s="918"/>
      <c r="E123" s="934"/>
      <c r="F123" s="920"/>
      <c r="G123" s="920"/>
      <c r="H123" s="920"/>
      <c r="I123" s="647"/>
      <c r="J123" s="647"/>
      <c r="K123" s="647"/>
      <c r="L123" s="647"/>
      <c r="M123" s="647"/>
      <c r="N123" s="647"/>
      <c r="O123" s="647"/>
      <c r="P123" s="921"/>
      <c r="Q123" s="920"/>
      <c r="R123" s="935"/>
      <c r="S123" s="935"/>
      <c r="T123" s="935"/>
      <c r="U123" s="935"/>
      <c r="V123" s="935"/>
      <c r="W123" s="935"/>
      <c r="X123" s="935"/>
      <c r="Y123" s="935"/>
    </row>
    <row r="124" spans="1:25" s="922" customFormat="1" ht="12.75" customHeight="1" x14ac:dyDescent="0.2">
      <c r="A124" s="917" t="s">
        <v>367</v>
      </c>
      <c r="B124" s="918"/>
      <c r="C124" s="917" t="s">
        <v>367</v>
      </c>
      <c r="D124" s="918"/>
      <c r="E124" s="934"/>
      <c r="F124" s="920"/>
      <c r="G124" s="920"/>
      <c r="H124" s="920"/>
      <c r="I124" s="647"/>
      <c r="J124" s="647"/>
      <c r="K124" s="647"/>
      <c r="L124" s="647"/>
      <c r="M124" s="647"/>
      <c r="N124" s="647"/>
      <c r="O124" s="647"/>
      <c r="P124" s="921"/>
      <c r="Q124" s="920"/>
      <c r="R124" s="935"/>
      <c r="S124" s="935"/>
      <c r="T124" s="935"/>
      <c r="U124" s="935"/>
      <c r="V124" s="935"/>
      <c r="W124" s="935"/>
      <c r="X124" s="935"/>
      <c r="Y124" s="935"/>
    </row>
    <row r="125" spans="1:25" s="922" customFormat="1" ht="12.75" customHeight="1" x14ac:dyDescent="0.2">
      <c r="A125" s="996" t="s">
        <v>377</v>
      </c>
      <c r="B125" s="997"/>
      <c r="C125" s="996" t="s">
        <v>377</v>
      </c>
      <c r="D125" s="997"/>
      <c r="E125" s="934"/>
      <c r="F125" s="920"/>
      <c r="G125" s="920"/>
      <c r="H125" s="920"/>
      <c r="I125" s="647"/>
      <c r="J125" s="647"/>
      <c r="K125" s="647"/>
      <c r="L125" s="647"/>
      <c r="M125" s="647"/>
      <c r="N125" s="647"/>
      <c r="O125" s="647"/>
      <c r="P125" s="921"/>
      <c r="Q125" s="920"/>
      <c r="R125" s="935"/>
      <c r="S125" s="935"/>
      <c r="T125" s="935"/>
      <c r="U125" s="935"/>
      <c r="V125" s="935"/>
      <c r="W125" s="935"/>
      <c r="X125" s="935"/>
      <c r="Y125" s="935"/>
    </row>
    <row r="126" spans="1:25" s="922" customFormat="1" ht="13.5" customHeight="1" x14ac:dyDescent="0.2">
      <c r="A126" s="917" t="s">
        <v>1128</v>
      </c>
      <c r="B126" s="918"/>
      <c r="C126" s="917" t="s">
        <v>1128</v>
      </c>
      <c r="D126" s="918"/>
      <c r="E126" s="919"/>
      <c r="F126" s="920"/>
      <c r="G126" s="920"/>
      <c r="H126" s="920"/>
      <c r="I126" s="647"/>
      <c r="J126" s="647"/>
      <c r="K126" s="647"/>
      <c r="L126" s="647"/>
      <c r="M126" s="647"/>
      <c r="N126" s="647"/>
      <c r="O126" s="647"/>
      <c r="P126" s="921"/>
      <c r="Q126" s="647"/>
    </row>
    <row r="127" spans="1:25" s="922" customFormat="1" ht="12.75" customHeight="1" x14ac:dyDescent="0.2">
      <c r="A127" s="917" t="s">
        <v>1129</v>
      </c>
      <c r="B127" s="918"/>
      <c r="C127" s="917" t="s">
        <v>1129</v>
      </c>
      <c r="D127" s="918"/>
      <c r="E127" s="934"/>
      <c r="F127" s="920"/>
      <c r="G127" s="920"/>
      <c r="H127" s="920"/>
      <c r="I127" s="647"/>
      <c r="J127" s="647"/>
      <c r="K127" s="647"/>
      <c r="L127" s="647"/>
      <c r="M127" s="647"/>
      <c r="N127" s="647"/>
      <c r="O127" s="647"/>
      <c r="P127" s="921"/>
      <c r="Q127" s="920"/>
      <c r="R127" s="935"/>
      <c r="S127" s="935"/>
      <c r="T127" s="935"/>
      <c r="U127" s="935"/>
      <c r="V127" s="935"/>
      <c r="W127" s="935"/>
      <c r="X127" s="935"/>
      <c r="Y127" s="935"/>
    </row>
    <row r="128" spans="1:25" s="922" customFormat="1" ht="12.75" customHeight="1" x14ac:dyDescent="0.2">
      <c r="A128" s="917" t="s">
        <v>365</v>
      </c>
      <c r="B128" s="918"/>
      <c r="C128" s="917" t="s">
        <v>365</v>
      </c>
      <c r="D128" s="918"/>
      <c r="E128" s="934"/>
      <c r="F128" s="920"/>
      <c r="G128" s="920"/>
      <c r="H128" s="920"/>
      <c r="I128" s="647"/>
      <c r="J128" s="647"/>
      <c r="K128" s="647"/>
      <c r="L128" s="647"/>
      <c r="M128" s="647"/>
      <c r="N128" s="647"/>
      <c r="O128" s="647"/>
      <c r="P128" s="921"/>
      <c r="Q128" s="920"/>
      <c r="R128" s="935"/>
      <c r="S128" s="935"/>
      <c r="T128" s="935"/>
      <c r="U128" s="935"/>
      <c r="V128" s="935"/>
      <c r="W128" s="935"/>
      <c r="X128" s="935"/>
      <c r="Y128" s="935"/>
    </row>
    <row r="129" spans="1:25" s="922" customFormat="1" ht="12.75" customHeight="1" x14ac:dyDescent="0.2">
      <c r="A129" s="917" t="s">
        <v>360</v>
      </c>
      <c r="B129" s="918"/>
      <c r="C129" s="917" t="s">
        <v>360</v>
      </c>
      <c r="D129" s="918"/>
      <c r="E129" s="934"/>
      <c r="F129" s="920"/>
      <c r="G129" s="920"/>
      <c r="H129" s="920"/>
      <c r="I129" s="647"/>
      <c r="J129" s="647"/>
      <c r="K129" s="647"/>
      <c r="L129" s="647"/>
      <c r="M129" s="647"/>
      <c r="N129" s="647"/>
      <c r="O129" s="647"/>
      <c r="P129" s="921"/>
      <c r="Q129" s="920"/>
      <c r="R129" s="935"/>
      <c r="S129" s="935"/>
      <c r="T129" s="935"/>
      <c r="U129" s="935"/>
      <c r="V129" s="935"/>
      <c r="W129" s="935"/>
      <c r="X129" s="935"/>
      <c r="Y129" s="935"/>
    </row>
    <row r="130" spans="1:25" s="922" customFormat="1" ht="12.75" customHeight="1" x14ac:dyDescent="0.2">
      <c r="A130" s="917" t="s">
        <v>366</v>
      </c>
      <c r="B130" s="918"/>
      <c r="C130" s="917" t="s">
        <v>366</v>
      </c>
      <c r="D130" s="918"/>
      <c r="E130" s="934"/>
      <c r="F130" s="920"/>
      <c r="G130" s="920"/>
      <c r="H130" s="920"/>
      <c r="I130" s="647"/>
      <c r="J130" s="647"/>
      <c r="K130" s="647"/>
      <c r="L130" s="647"/>
      <c r="M130" s="647"/>
      <c r="N130" s="647"/>
      <c r="O130" s="647"/>
      <c r="P130" s="921"/>
      <c r="Q130" s="920"/>
      <c r="R130" s="935"/>
      <c r="S130" s="935"/>
      <c r="T130" s="935"/>
      <c r="U130" s="935"/>
      <c r="V130" s="935"/>
      <c r="W130" s="935"/>
      <c r="X130" s="935"/>
      <c r="Y130" s="935"/>
    </row>
    <row r="131" spans="1:25" s="922" customFormat="1" ht="12.75" customHeight="1" x14ac:dyDescent="0.2">
      <c r="A131" s="917" t="s">
        <v>361</v>
      </c>
      <c r="B131" s="918"/>
      <c r="C131" s="917" t="s">
        <v>361</v>
      </c>
      <c r="D131" s="918"/>
      <c r="E131" s="934"/>
      <c r="F131" s="920"/>
      <c r="G131" s="920"/>
      <c r="H131" s="920"/>
      <c r="I131" s="647"/>
      <c r="J131" s="647"/>
      <c r="K131" s="647"/>
      <c r="L131" s="647"/>
      <c r="M131" s="647"/>
      <c r="N131" s="647"/>
      <c r="O131" s="647"/>
      <c r="P131" s="921"/>
      <c r="Q131" s="920"/>
      <c r="R131" s="935"/>
      <c r="S131" s="935"/>
      <c r="T131" s="935"/>
      <c r="U131" s="935"/>
      <c r="V131" s="935"/>
      <c r="W131" s="935"/>
      <c r="X131" s="935"/>
      <c r="Y131" s="935"/>
    </row>
    <row r="132" spans="1:25" s="922" customFormat="1" ht="12.75" customHeight="1" x14ac:dyDescent="0.2">
      <c r="A132" s="917" t="s">
        <v>367</v>
      </c>
      <c r="B132" s="918"/>
      <c r="C132" s="917" t="s">
        <v>367</v>
      </c>
      <c r="D132" s="918"/>
      <c r="E132" s="934"/>
      <c r="F132" s="920"/>
      <c r="G132" s="920"/>
      <c r="H132" s="920"/>
      <c r="I132" s="647"/>
      <c r="J132" s="647"/>
      <c r="K132" s="647"/>
      <c r="L132" s="647"/>
      <c r="M132" s="647"/>
      <c r="N132" s="647"/>
      <c r="O132" s="647"/>
      <c r="P132" s="921"/>
      <c r="Q132" s="920"/>
      <c r="R132" s="935"/>
      <c r="S132" s="935"/>
      <c r="T132" s="935"/>
      <c r="U132" s="935"/>
      <c r="V132" s="935"/>
      <c r="W132" s="935"/>
      <c r="X132" s="935"/>
      <c r="Y132" s="935"/>
    </row>
    <row r="133" spans="1:25" s="922" customFormat="1" ht="12.75" customHeight="1" x14ac:dyDescent="0.2">
      <c r="A133" s="996" t="s">
        <v>377</v>
      </c>
      <c r="B133" s="997"/>
      <c r="C133" s="998"/>
      <c r="D133" s="999"/>
      <c r="E133" s="934"/>
      <c r="F133" s="920"/>
      <c r="G133" s="920"/>
      <c r="H133" s="920"/>
      <c r="I133" s="647"/>
      <c r="J133" s="647"/>
      <c r="K133" s="647"/>
      <c r="L133" s="647"/>
      <c r="M133" s="647"/>
      <c r="N133" s="647"/>
      <c r="O133" s="647"/>
      <c r="P133" s="921"/>
      <c r="Q133" s="920"/>
      <c r="R133" s="935"/>
      <c r="S133" s="935"/>
      <c r="T133" s="935"/>
      <c r="U133" s="935"/>
      <c r="V133" s="935"/>
      <c r="W133" s="935"/>
      <c r="X133" s="935"/>
      <c r="Y133" s="935"/>
    </row>
    <row r="134" spans="1:25" s="922" customFormat="1" ht="12.75" customHeight="1" x14ac:dyDescent="0.2">
      <c r="A134" s="917" t="s">
        <v>1128</v>
      </c>
      <c r="B134" s="918"/>
      <c r="C134" s="936"/>
      <c r="D134" s="937"/>
      <c r="E134" s="934"/>
      <c r="F134" s="920"/>
      <c r="G134" s="920"/>
      <c r="H134" s="920"/>
      <c r="I134" s="647"/>
      <c r="J134" s="647"/>
      <c r="K134" s="647"/>
      <c r="L134" s="647"/>
      <c r="M134" s="647"/>
      <c r="N134" s="647"/>
      <c r="O134" s="647"/>
      <c r="P134" s="921"/>
      <c r="Q134" s="920"/>
      <c r="R134" s="935"/>
      <c r="S134" s="935"/>
      <c r="T134" s="935"/>
      <c r="U134" s="935"/>
      <c r="V134" s="935"/>
      <c r="W134" s="935"/>
      <c r="X134" s="935"/>
      <c r="Y134" s="935"/>
    </row>
    <row r="135" spans="1:25" s="922" customFormat="1" ht="12.75" customHeight="1" x14ac:dyDescent="0.2">
      <c r="A135" s="917" t="s">
        <v>1129</v>
      </c>
      <c r="B135" s="918"/>
      <c r="C135" s="936"/>
      <c r="D135" s="937"/>
      <c r="E135" s="934"/>
      <c r="F135" s="920"/>
      <c r="G135" s="920"/>
      <c r="H135" s="920"/>
      <c r="I135" s="647"/>
      <c r="J135" s="647"/>
      <c r="K135" s="647"/>
      <c r="L135" s="647"/>
      <c r="M135" s="647"/>
      <c r="N135" s="647"/>
      <c r="O135" s="647"/>
      <c r="P135" s="921"/>
      <c r="Q135" s="920"/>
      <c r="R135" s="935"/>
      <c r="S135" s="935"/>
      <c r="T135" s="935"/>
      <c r="U135" s="935"/>
      <c r="V135" s="935"/>
      <c r="W135" s="935"/>
      <c r="X135" s="935"/>
      <c r="Y135" s="935"/>
    </row>
    <row r="136" spans="1:25" s="922" customFormat="1" ht="12.75" customHeight="1" x14ac:dyDescent="0.2">
      <c r="A136" s="917" t="s">
        <v>365</v>
      </c>
      <c r="B136" s="918"/>
      <c r="C136" s="936"/>
      <c r="D136" s="937"/>
      <c r="E136" s="934"/>
      <c r="F136" s="920"/>
      <c r="G136" s="920"/>
      <c r="H136" s="920"/>
      <c r="I136" s="647"/>
      <c r="J136" s="647"/>
      <c r="K136" s="647"/>
      <c r="L136" s="647"/>
      <c r="M136" s="647"/>
      <c r="N136" s="647"/>
      <c r="O136" s="647"/>
      <c r="P136" s="921"/>
      <c r="Q136" s="920"/>
      <c r="R136" s="935"/>
      <c r="S136" s="935"/>
      <c r="T136" s="935"/>
      <c r="U136" s="935"/>
      <c r="V136" s="935"/>
      <c r="W136" s="935"/>
      <c r="X136" s="935"/>
      <c r="Y136" s="935"/>
    </row>
    <row r="137" spans="1:25" s="922" customFormat="1" ht="12.75" customHeight="1" x14ac:dyDescent="0.2">
      <c r="A137" s="917" t="s">
        <v>360</v>
      </c>
      <c r="B137" s="918"/>
      <c r="C137" s="936"/>
      <c r="D137" s="937"/>
      <c r="E137" s="934"/>
      <c r="F137" s="920"/>
      <c r="G137" s="920"/>
      <c r="H137" s="920"/>
      <c r="I137" s="647"/>
      <c r="J137" s="647"/>
      <c r="K137" s="647"/>
      <c r="L137" s="647"/>
      <c r="M137" s="647"/>
      <c r="N137" s="647"/>
      <c r="O137" s="647"/>
      <c r="P137" s="921"/>
      <c r="Q137" s="920"/>
      <c r="R137" s="935"/>
      <c r="S137" s="935"/>
      <c r="T137" s="935"/>
      <c r="U137" s="935"/>
      <c r="V137" s="935"/>
      <c r="W137" s="935"/>
      <c r="X137" s="935"/>
      <c r="Y137" s="935"/>
    </row>
    <row r="138" spans="1:25" s="922" customFormat="1" ht="12.75" customHeight="1" x14ac:dyDescent="0.2">
      <c r="A138" s="917" t="s">
        <v>366</v>
      </c>
      <c r="B138" s="918"/>
      <c r="C138" s="936"/>
      <c r="D138" s="937"/>
      <c r="E138" s="934"/>
      <c r="F138" s="920"/>
      <c r="G138" s="920"/>
      <c r="H138" s="920"/>
      <c r="I138" s="647"/>
      <c r="J138" s="647"/>
      <c r="K138" s="647"/>
      <c r="L138" s="647"/>
      <c r="M138" s="647"/>
      <c r="N138" s="647"/>
      <c r="O138" s="647"/>
      <c r="P138" s="921"/>
      <c r="Q138" s="920"/>
      <c r="R138" s="935"/>
      <c r="S138" s="935"/>
      <c r="T138" s="935"/>
      <c r="U138" s="935"/>
      <c r="V138" s="935"/>
      <c r="W138" s="935"/>
      <c r="X138" s="935"/>
      <c r="Y138" s="935"/>
    </row>
    <row r="139" spans="1:25" s="922" customFormat="1" ht="12.75" customHeight="1" x14ac:dyDescent="0.2">
      <c r="A139" s="917" t="s">
        <v>361</v>
      </c>
      <c r="B139" s="918"/>
      <c r="C139" s="936"/>
      <c r="D139" s="937"/>
      <c r="E139" s="934"/>
      <c r="F139" s="920"/>
      <c r="G139" s="920"/>
      <c r="H139" s="920"/>
      <c r="I139" s="647"/>
      <c r="J139" s="647"/>
      <c r="K139" s="647"/>
      <c r="L139" s="647"/>
      <c r="M139" s="647"/>
      <c r="N139" s="647"/>
      <c r="O139" s="647"/>
      <c r="P139" s="921"/>
      <c r="Q139" s="920"/>
      <c r="R139" s="935"/>
      <c r="S139" s="935"/>
      <c r="T139" s="935"/>
      <c r="U139" s="935"/>
      <c r="V139" s="935"/>
      <c r="W139" s="935"/>
      <c r="X139" s="935"/>
      <c r="Y139" s="935"/>
    </row>
    <row r="140" spans="1:25" s="922" customFormat="1" ht="12.75" customHeight="1" x14ac:dyDescent="0.2">
      <c r="A140" s="917" t="s">
        <v>367</v>
      </c>
      <c r="B140" s="918"/>
      <c r="C140" s="936"/>
      <c r="D140" s="937"/>
      <c r="E140" s="934"/>
      <c r="F140" s="920"/>
      <c r="G140" s="920"/>
      <c r="H140" s="920"/>
      <c r="I140" s="647"/>
      <c r="J140" s="647"/>
      <c r="K140" s="647"/>
      <c r="L140" s="647"/>
      <c r="M140" s="647"/>
      <c r="N140" s="647"/>
      <c r="O140" s="647"/>
      <c r="P140" s="921"/>
      <c r="Q140" s="920"/>
      <c r="R140" s="935"/>
      <c r="S140" s="935"/>
      <c r="T140" s="935"/>
      <c r="U140" s="935"/>
      <c r="V140" s="935"/>
      <c r="W140" s="935"/>
      <c r="X140" s="935"/>
      <c r="Y140" s="935"/>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Consolidated Monthly Budget Statement Summary - M10 April</v>
      </c>
      <c r="B1" s="346"/>
      <c r="C1" s="346"/>
      <c r="D1" s="346"/>
      <c r="E1" s="346"/>
      <c r="F1" s="346"/>
      <c r="G1" s="346"/>
      <c r="H1" s="346"/>
      <c r="I1" s="346"/>
      <c r="J1" s="346"/>
    </row>
    <row r="2" spans="1:10" x14ac:dyDescent="0.25">
      <c r="A2" s="1020" t="str">
        <f>desc</f>
        <v>Description</v>
      </c>
      <c r="B2" s="158" t="str">
        <f>Head1</f>
        <v>2018/19</v>
      </c>
      <c r="C2" s="1022" t="str">
        <f>Head2</f>
        <v>Budget Year 2019/20</v>
      </c>
      <c r="D2" s="1023"/>
      <c r="E2" s="1023"/>
      <c r="F2" s="1023"/>
      <c r="G2" s="1023"/>
      <c r="H2" s="1023"/>
      <c r="I2" s="1023"/>
      <c r="J2" s="1024"/>
    </row>
    <row r="3" spans="1:10" ht="25.5" x14ac:dyDescent="0.25">
      <c r="A3" s="1021"/>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101075388.20000002</v>
      </c>
      <c r="F6" s="408">
        <f>SUM('C4-FinPerf RE'!G6:G6)</f>
        <v>1091307615.6299999</v>
      </c>
      <c r="G6" s="651">
        <f>SUM('C4-FinPerf RE'!H6:H6)</f>
        <v>1100707243.5883329</v>
      </c>
      <c r="H6" s="408">
        <f>F6-G6</f>
        <v>-9399627.9583330154</v>
      </c>
      <c r="I6" s="592">
        <f>IF(H6=0,"",H6/G6)</f>
        <v>-8.5396257843184491E-3</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226368466.84</v>
      </c>
      <c r="F7" s="408">
        <f>SUM('C4-FinPerf RE'!G7:G10)</f>
        <v>3012834049.8300004</v>
      </c>
      <c r="G7" s="651">
        <f>SUM('C4-FinPerf RE'!H7:H10)</f>
        <v>3059396942.6909971</v>
      </c>
      <c r="H7" s="408">
        <f>F7-G7</f>
        <v>-46562892.860996723</v>
      </c>
      <c r="I7" s="207">
        <f>IF(H7=0,"",H7/G7)</f>
        <v>-1.5219631101559754E-2</v>
      </c>
      <c r="J7" s="643">
        <f>SUM('C4-FinPerf RE'!K7:K10)</f>
        <v>3337523937.4810877</v>
      </c>
    </row>
    <row r="8" spans="1:10" ht="12.75" customHeight="1" x14ac:dyDescent="0.25">
      <c r="A8" s="152" t="s">
        <v>503</v>
      </c>
      <c r="B8" s="649">
        <f>'C4-FinPerf RE'!C13</f>
        <v>39866400</v>
      </c>
      <c r="C8" s="650">
        <f>'C4-FinPerf RE'!D13</f>
        <v>14702275.050000001</v>
      </c>
      <c r="D8" s="408">
        <f>'C4-FinPerf RE'!E13</f>
        <v>14702275.050000001</v>
      </c>
      <c r="E8" s="408">
        <f>'C4-FinPerf RE'!F13</f>
        <v>1390944.83</v>
      </c>
      <c r="F8" s="408">
        <f>'C4-FinPerf RE'!G13</f>
        <v>12486102.010000002</v>
      </c>
      <c r="G8" s="651">
        <f>'C4-FinPerf RE'!H13</f>
        <v>13477085.462500002</v>
      </c>
      <c r="H8" s="408">
        <f>F8-G8</f>
        <v>-990983.4525000006</v>
      </c>
      <c r="I8" s="207">
        <f>IF(H8=0,"",H8/G8)</f>
        <v>-7.3530991196680662E-2</v>
      </c>
      <c r="J8" s="643">
        <f>'C4-FinPerf RE'!K13</f>
        <v>14702275.050000001</v>
      </c>
    </row>
    <row r="9" spans="1:10" ht="12.75" customHeight="1" x14ac:dyDescent="0.25">
      <c r="A9" s="152" t="s">
        <v>1131</v>
      </c>
      <c r="B9" s="649">
        <f>'C4-FinPerf RE'!C19</f>
        <v>667200100</v>
      </c>
      <c r="C9" s="650">
        <f>'C4-FinPerf RE'!D19</f>
        <v>672022829</v>
      </c>
      <c r="D9" s="408">
        <f>'C4-FinPerf RE'!E19</f>
        <v>687201130</v>
      </c>
      <c r="E9" s="408">
        <f>'C4-FinPerf RE'!F19</f>
        <v>7343269.0899999999</v>
      </c>
      <c r="F9" s="408">
        <f>'C4-FinPerf RE'!G19</f>
        <v>587984547.81999993</v>
      </c>
      <c r="G9" s="651">
        <f>'C4-FinPerf RE'!H19</f>
        <v>629934369.16666675</v>
      </c>
      <c r="H9" s="408">
        <f>F9-G9</f>
        <v>-41949821.346666813</v>
      </c>
      <c r="I9" s="207">
        <f>IF(H9=0,"",H9/G9)</f>
        <v>-6.6593955497557256E-2</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32702021.510000005</v>
      </c>
      <c r="F10" s="409">
        <f>'C4-FinPerf RE'!G12+'C4-FinPerf RE'!G14+'C4-FinPerf RE'!G15+'C4-FinPerf RE'!G16+'C4-FinPerf RE'!G17+'C4-FinPerf RE'!G18+'C4-FinPerf RE'!G20+'C4-FinPerf RE'!G21</f>
        <v>416082904.61000001</v>
      </c>
      <c r="G10" s="654">
        <f>'C4-FinPerf RE'!H12+'C4-FinPerf RE'!H14+'C4-FinPerf RE'!H15+'C4-FinPerf RE'!H16+'C4-FinPerf RE'!H17+'C4-FinPerf RE'!H18+'C4-FinPerf RE'!H20+'C4-FinPerf RE'!H21</f>
        <v>347968277.1583333</v>
      </c>
      <c r="H10" s="409">
        <f>F10-G10</f>
        <v>68114627.451666713</v>
      </c>
      <c r="I10" s="208">
        <f>IF(H10=0,"",H10/G10)</f>
        <v>0.19574953213529014</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5604622337.1070862</v>
      </c>
      <c r="D11" s="658">
        <f t="shared" si="0"/>
        <v>5619800637.8910875</v>
      </c>
      <c r="E11" s="658">
        <f t="shared" si="0"/>
        <v>368880090.46999997</v>
      </c>
      <c r="F11" s="658">
        <f t="shared" si="0"/>
        <v>5120695219.8999996</v>
      </c>
      <c r="G11" s="659">
        <f t="shared" si="0"/>
        <v>5151483918.0668297</v>
      </c>
      <c r="H11" s="658">
        <f t="shared" ref="H11:H25" si="1">F11-G11</f>
        <v>-30788698.166830063</v>
      </c>
      <c r="I11" s="594">
        <f t="shared" ref="I11:I25" si="2">IF(H11=0,"",H11/G11)</f>
        <v>-5.9766658804564369E-3</v>
      </c>
      <c r="J11" s="660">
        <f t="shared" si="0"/>
        <v>5619800637.8910875</v>
      </c>
    </row>
    <row r="12" spans="1:10" ht="12.75" customHeight="1" x14ac:dyDescent="0.25">
      <c r="A12" s="152" t="s">
        <v>482</v>
      </c>
      <c r="B12" s="649">
        <f>'C4-FinPerf RE'!C25</f>
        <v>1268313732</v>
      </c>
      <c r="C12" s="650">
        <f>'C4-FinPerf RE'!D25</f>
        <v>1455869442.71</v>
      </c>
      <c r="D12" s="408">
        <f>'C4-FinPerf RE'!E25</f>
        <v>1455410731.7000008</v>
      </c>
      <c r="E12" s="408">
        <f>'C4-FinPerf RE'!F25</f>
        <v>103124589.31000015</v>
      </c>
      <c r="F12" s="408">
        <f>'C4-FinPerf RE'!G25</f>
        <v>1172123441.6800003</v>
      </c>
      <c r="G12" s="651">
        <f>'C4-FinPerf RE'!H25</f>
        <v>1334126504.0583339</v>
      </c>
      <c r="H12" s="408">
        <f t="shared" si="1"/>
        <v>-162003062.37833357</v>
      </c>
      <c r="I12" s="207">
        <f t="shared" si="2"/>
        <v>-0.12143006070678443</v>
      </c>
      <c r="J12" s="643">
        <f>'C4-FinPerf RE'!K25</f>
        <v>1455410731.7000008</v>
      </c>
    </row>
    <row r="13" spans="1:10" ht="12.75" customHeight="1" x14ac:dyDescent="0.25">
      <c r="A13" s="152" t="s">
        <v>853</v>
      </c>
      <c r="B13" s="649">
        <f>'C4-FinPerf RE'!C26</f>
        <v>48573499</v>
      </c>
      <c r="C13" s="650">
        <f>'C4-FinPerf RE'!D26</f>
        <v>51487908.93999999</v>
      </c>
      <c r="D13" s="408">
        <f>'C4-FinPerf RE'!E26</f>
        <v>51487908.93999999</v>
      </c>
      <c r="E13" s="408">
        <f>'C4-FinPerf RE'!F26</f>
        <v>3683708.9899999993</v>
      </c>
      <c r="F13" s="408">
        <f>'C4-FinPerf RE'!G26</f>
        <v>40067939.060000002</v>
      </c>
      <c r="G13" s="651">
        <f>'C4-FinPerf RE'!H26</f>
        <v>47197249.861666657</v>
      </c>
      <c r="H13" s="408">
        <f t="shared" si="1"/>
        <v>-7129310.8016666546</v>
      </c>
      <c r="I13" s="207">
        <f t="shared" si="2"/>
        <v>-0.15105352160480523</v>
      </c>
      <c r="J13" s="643">
        <f>'C4-FinPerf RE'!K26</f>
        <v>51487908.93999999</v>
      </c>
    </row>
    <row r="14" spans="1:10" ht="12.75" customHeight="1" x14ac:dyDescent="0.25">
      <c r="A14" s="582" t="s">
        <v>671</v>
      </c>
      <c r="B14" s="649">
        <f>'C4-FinPerf RE'!C28</f>
        <v>467691505</v>
      </c>
      <c r="C14" s="650">
        <f>'C4-FinPerf RE'!D28</f>
        <v>492025080.2500006</v>
      </c>
      <c r="D14" s="408">
        <f>'C4-FinPerf RE'!E28</f>
        <v>492071235.64999992</v>
      </c>
      <c r="E14" s="408">
        <f>'C4-FinPerf RE'!F28</f>
        <v>-13344484.979999984</v>
      </c>
      <c r="F14" s="408">
        <f>'C4-FinPerf RE'!G28</f>
        <v>378057287.31000036</v>
      </c>
      <c r="G14" s="651">
        <f>'C4-FinPerf RE'!H28</f>
        <v>451065299.34583324</v>
      </c>
      <c r="H14" s="408">
        <f t="shared" si="1"/>
        <v>-73008012.035832882</v>
      </c>
      <c r="I14" s="207">
        <f t="shared" si="2"/>
        <v>-0.16185685784677797</v>
      </c>
      <c r="J14" s="643">
        <f>'C4-FinPerf RE'!K28</f>
        <v>492071235.64999992</v>
      </c>
    </row>
    <row r="15" spans="1:10" ht="12.75" customHeight="1" x14ac:dyDescent="0.25">
      <c r="A15" s="152" t="s">
        <v>459</v>
      </c>
      <c r="B15" s="649">
        <f>'C4-FinPerf RE'!C29</f>
        <v>50676476</v>
      </c>
      <c r="C15" s="650">
        <f>'C4-FinPerf RE'!D29</f>
        <v>41660099</v>
      </c>
      <c r="D15" s="408">
        <f>'C4-FinPerf RE'!E29</f>
        <v>41660099</v>
      </c>
      <c r="E15" s="408">
        <f>'C4-FinPerf RE'!F29</f>
        <v>9633317.6600000001</v>
      </c>
      <c r="F15" s="408">
        <f>'C4-FinPerf RE'!G29</f>
        <v>40425570.939999998</v>
      </c>
      <c r="G15" s="651">
        <f>'C4-FinPerf RE'!H29</f>
        <v>38188424.083333328</v>
      </c>
      <c r="H15" s="408">
        <f t="shared" si="1"/>
        <v>2237146.8566666692</v>
      </c>
      <c r="I15" s="207">
        <f t="shared" si="2"/>
        <v>5.8581806145884742E-2</v>
      </c>
      <c r="J15" s="643">
        <f>'C4-FinPerf RE'!K29</f>
        <v>41660099</v>
      </c>
    </row>
    <row r="16" spans="1:10" ht="12.75" customHeight="1" x14ac:dyDescent="0.25">
      <c r="A16" s="152" t="s">
        <v>502</v>
      </c>
      <c r="B16" s="649">
        <f>SUM('C4-FinPerf RE'!C30:C31)</f>
        <v>2069128594.03</v>
      </c>
      <c r="C16" s="650">
        <f>SUM('C4-FinPerf RE'!D30:D31)</f>
        <v>2338356309.6285768</v>
      </c>
      <c r="D16" s="408">
        <f>SUM('C4-FinPerf RE'!E30:E31)</f>
        <v>2334160826.4085765</v>
      </c>
      <c r="E16" s="408">
        <f>SUM('C4-FinPerf RE'!F30:F31)</f>
        <v>133075633.67</v>
      </c>
      <c r="F16" s="408">
        <f>SUM('C4-FinPerf RE'!G30:G31)</f>
        <v>2227856439.3800001</v>
      </c>
      <c r="G16" s="651">
        <f>SUM('C4-FinPerf RE'!H30:H31)</f>
        <v>2139647424.2078619</v>
      </c>
      <c r="H16" s="408">
        <f t="shared" si="1"/>
        <v>88209015.172138214</v>
      </c>
      <c r="I16" s="592">
        <f t="shared" si="2"/>
        <v>4.1225958152799343E-2</v>
      </c>
      <c r="J16" s="643">
        <f>SUM('C4-FinPerf RE'!K30:K31)</f>
        <v>2334160826.4085765</v>
      </c>
    </row>
    <row r="17" spans="1:11" ht="12.75" customHeight="1" x14ac:dyDescent="0.25">
      <c r="A17" s="152" t="s">
        <v>1131</v>
      </c>
      <c r="B17" s="649">
        <f>'C4-FinPerf RE'!C33</f>
        <v>42492244</v>
      </c>
      <c r="C17" s="650">
        <f>'C4-FinPerf RE'!D33</f>
        <v>46379439.519999988</v>
      </c>
      <c r="D17" s="408">
        <f>'C4-FinPerf RE'!E33</f>
        <v>49902933.629999988</v>
      </c>
      <c r="E17" s="408">
        <f>'C4-FinPerf RE'!F33</f>
        <v>5490336.9500000002</v>
      </c>
      <c r="F17" s="408">
        <f>'C4-FinPerf RE'!G33</f>
        <v>48031949.670000002</v>
      </c>
      <c r="G17" s="651">
        <f>'C4-FinPerf RE'!H33</f>
        <v>45744355.827499986</v>
      </c>
      <c r="H17" s="408">
        <f t="shared" si="1"/>
        <v>2287593.8425000161</v>
      </c>
      <c r="I17" s="207">
        <f t="shared" si="2"/>
        <v>5.0008220710909886E-2</v>
      </c>
      <c r="J17" s="643">
        <f>'C4-FinPerf RE'!K33</f>
        <v>49902933.629999988</v>
      </c>
    </row>
    <row r="18" spans="1:11" ht="12.75" customHeight="1" x14ac:dyDescent="0.25">
      <c r="A18" s="152" t="s">
        <v>440</v>
      </c>
      <c r="B18" s="649">
        <f>'C4-FinPerf RE'!C36-SUM('C1-Sum'!B12:B17)</f>
        <v>987482388.97000122</v>
      </c>
      <c r="C18" s="650">
        <f>'C4-FinPerf RE'!D36-SUM('C1-Sum'!C12:C17)</f>
        <v>902728708.89999676</v>
      </c>
      <c r="D18" s="408">
        <f>'C4-FinPerf RE'!E36-SUM('C1-Sum'!D12:D17)</f>
        <v>807398337.28000069</v>
      </c>
      <c r="E18" s="408">
        <f>'C4-FinPerf RE'!F36-SUM('C1-Sum'!E12:E17)</f>
        <v>-807548738.71999991</v>
      </c>
      <c r="F18" s="408">
        <f>'C4-FinPerf RE'!G36-SUM('C1-Sum'!F12:F17)</f>
        <v>-127256861.89000034</v>
      </c>
      <c r="G18" s="651">
        <f>'C4-FinPerf RE'!H36-SUM('C1-Sum'!G12:G17)</f>
        <v>740115142.50666666</v>
      </c>
      <c r="H18" s="408">
        <f t="shared" si="1"/>
        <v>-867372004.396667</v>
      </c>
      <c r="I18" s="207">
        <f t="shared" si="2"/>
        <v>-1.171941978458918</v>
      </c>
      <c r="J18" s="643">
        <f>'C4-FinPerf RE'!K36-SUM('C1-Sum'!J12:J17)</f>
        <v>807398337.28000069</v>
      </c>
    </row>
    <row r="19" spans="1:11" ht="12.75" customHeight="1" x14ac:dyDescent="0.25">
      <c r="A19" s="584" t="s">
        <v>495</v>
      </c>
      <c r="B19" s="661">
        <f t="shared" ref="B19:G19" si="3">SUM(B12:B18)</f>
        <v>4934358439.000001</v>
      </c>
      <c r="C19" s="662">
        <f t="shared" si="3"/>
        <v>5328506988.948575</v>
      </c>
      <c r="D19" s="663">
        <f t="shared" si="3"/>
        <v>5232092072.6085777</v>
      </c>
      <c r="E19" s="663">
        <f t="shared" si="3"/>
        <v>-565885637.11999977</v>
      </c>
      <c r="F19" s="663">
        <f t="shared" si="3"/>
        <v>3779305766.1500006</v>
      </c>
      <c r="G19" s="664">
        <f t="shared" si="3"/>
        <v>4796084399.8911953</v>
      </c>
      <c r="H19" s="663">
        <f t="shared" si="1"/>
        <v>-1016778633.7411947</v>
      </c>
      <c r="I19" s="382">
        <f t="shared" si="2"/>
        <v>-0.2120018225209426</v>
      </c>
      <c r="J19" s="665">
        <f>SUM(J12:J18)</f>
        <v>5232092072.6085777</v>
      </c>
    </row>
    <row r="20" spans="1:11" ht="12.75" customHeight="1" x14ac:dyDescent="0.25">
      <c r="A20" s="153" t="s">
        <v>496</v>
      </c>
      <c r="B20" s="666">
        <f t="shared" ref="B20:G20" si="4">B11-B19</f>
        <v>92986317.999999046</v>
      </c>
      <c r="C20" s="667">
        <f t="shared" si="4"/>
        <v>276115348.15851116</v>
      </c>
      <c r="D20" s="638">
        <f t="shared" si="4"/>
        <v>387708565.2825098</v>
      </c>
      <c r="E20" s="638">
        <f t="shared" si="4"/>
        <v>934765727.58999968</v>
      </c>
      <c r="F20" s="638">
        <f t="shared" si="4"/>
        <v>1341389453.749999</v>
      </c>
      <c r="G20" s="668">
        <f t="shared" si="4"/>
        <v>355399518.17563438</v>
      </c>
      <c r="H20" s="638">
        <f t="shared" si="1"/>
        <v>985989935.57436466</v>
      </c>
      <c r="I20" s="206">
        <f t="shared" si="2"/>
        <v>2.7743142158316032</v>
      </c>
      <c r="J20" s="642">
        <f>J11-J19</f>
        <v>387708565.2825098</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45043895.799999997</v>
      </c>
      <c r="F21" s="408">
        <f>'C4-FinPerf RE'!G39</f>
        <v>306507259.23999989</v>
      </c>
      <c r="G21" s="651">
        <f>'C4-FinPerf RE'!H39</f>
        <v>618587198.16666675</v>
      </c>
      <c r="H21" s="408">
        <f t="shared" si="1"/>
        <v>-312079938.92666686</v>
      </c>
      <c r="I21" s="207">
        <f t="shared" si="2"/>
        <v>-0.50450436066506299</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715457748.15851116</v>
      </c>
      <c r="D23" s="658">
        <f t="shared" si="5"/>
        <v>1062530963.2825098</v>
      </c>
      <c r="E23" s="658">
        <f t="shared" si="5"/>
        <v>979809623.38999963</v>
      </c>
      <c r="F23" s="658">
        <f t="shared" si="5"/>
        <v>1647896712.9899988</v>
      </c>
      <c r="G23" s="659">
        <f t="shared" si="5"/>
        <v>973986716.34230113</v>
      </c>
      <c r="H23" s="658">
        <f t="shared" si="1"/>
        <v>673909996.64769769</v>
      </c>
      <c r="I23" s="593">
        <f t="shared" si="2"/>
        <v>0.69190881696876916</v>
      </c>
      <c r="J23" s="660">
        <f>J20+J21+J22</f>
        <v>1062530963.2825098</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715457748.15851116</v>
      </c>
      <c r="D25" s="638">
        <f t="shared" si="6"/>
        <v>1062530963.2825098</v>
      </c>
      <c r="E25" s="638">
        <f t="shared" si="6"/>
        <v>979809623.38999963</v>
      </c>
      <c r="F25" s="638">
        <f t="shared" si="6"/>
        <v>1647896712.9899988</v>
      </c>
      <c r="G25" s="668">
        <f t="shared" si="6"/>
        <v>973986716.34230113</v>
      </c>
      <c r="H25" s="638">
        <f t="shared" si="1"/>
        <v>673909996.64769769</v>
      </c>
      <c r="I25" s="206">
        <f t="shared" si="2"/>
        <v>0.69190881696876916</v>
      </c>
      <c r="J25" s="642">
        <f>J23+J24</f>
        <v>1062530963.2825098</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555371301.39999998</v>
      </c>
      <c r="D28" s="663">
        <f>'C5-Capex'!E40</f>
        <v>746737136.71000004</v>
      </c>
      <c r="E28" s="663">
        <f>'C5-Capex'!F40</f>
        <v>25664642.069999997</v>
      </c>
      <c r="F28" s="663">
        <f>'C5-Capex'!G40</f>
        <v>288107545.88999999</v>
      </c>
      <c r="G28" s="664">
        <f>'C5-Capex'!H40</f>
        <v>684509041.98416674</v>
      </c>
      <c r="H28" s="663">
        <f t="shared" ref="H28:H33" si="7">F28-G28</f>
        <v>-396401496.09416676</v>
      </c>
      <c r="I28" s="382">
        <f t="shared" ref="I28:I33" si="8">IF(H28=0,"",H28/G28)</f>
        <v>-0.57910337450785032</v>
      </c>
      <c r="J28" s="665">
        <f>'C5-Capex'!K40</f>
        <v>746737136.71000004</v>
      </c>
    </row>
    <row r="29" spans="1:11" ht="12.75" customHeight="1" x14ac:dyDescent="0.25">
      <c r="A29" s="152" t="s">
        <v>506</v>
      </c>
      <c r="B29" s="649">
        <f>'C5-Capex'!C70</f>
        <v>466029304</v>
      </c>
      <c r="C29" s="650">
        <f>'C5-Capex'!D70</f>
        <v>439342400</v>
      </c>
      <c r="D29" s="408">
        <f>'C5-Capex'!E70</f>
        <v>667412194</v>
      </c>
      <c r="E29" s="408">
        <f>'C5-Capex'!F70</f>
        <v>25963769.59</v>
      </c>
      <c r="F29" s="408">
        <f>'C5-Capex'!G70</f>
        <v>279198552.04000002</v>
      </c>
      <c r="G29" s="651">
        <f>'C5-Capex'!H70</f>
        <v>611794511.16666663</v>
      </c>
      <c r="H29" s="408">
        <f t="shared" si="7"/>
        <v>-332595959.12666661</v>
      </c>
      <c r="I29" s="592">
        <f t="shared" si="8"/>
        <v>-0.54363998541343561</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0</v>
      </c>
      <c r="F31" s="408">
        <f>'C5-Capex'!G72</f>
        <v>2507448.04</v>
      </c>
      <c r="G31" s="651">
        <f>'C5-Capex'!H72</f>
        <v>5161790.333333334</v>
      </c>
      <c r="H31" s="408">
        <f t="shared" si="7"/>
        <v>-2654342.2933333339</v>
      </c>
      <c r="I31" s="207">
        <f t="shared" si="8"/>
        <v>-0.51422900232742252</v>
      </c>
      <c r="J31" s="643">
        <f>'C5-Capex'!K72</f>
        <v>5631044</v>
      </c>
      <c r="K31" s="156"/>
    </row>
    <row r="32" spans="1:11" ht="12.75" customHeight="1" x14ac:dyDescent="0.25">
      <c r="A32" s="152" t="s">
        <v>479</v>
      </c>
      <c r="B32" s="661">
        <f>'C5-Capex'!C73</f>
        <v>100404385</v>
      </c>
      <c r="C32" s="662">
        <f>'C5-Capex'!D73</f>
        <v>110397875</v>
      </c>
      <c r="D32" s="663">
        <f>'C5-Capex'!E73</f>
        <v>73693898.710000008</v>
      </c>
      <c r="E32" s="663">
        <f>'C5-Capex'!F73</f>
        <v>-299127.52000000048</v>
      </c>
      <c r="F32" s="663">
        <f>'C5-Capex'!G73</f>
        <v>6401545.8099999987</v>
      </c>
      <c r="G32" s="664">
        <f>'C5-Capex'!H73</f>
        <v>67552740.484166682</v>
      </c>
      <c r="H32" s="663">
        <f t="shared" si="7"/>
        <v>-61151194.674166679</v>
      </c>
      <c r="I32" s="382">
        <f t="shared" si="8"/>
        <v>-0.90523632699253076</v>
      </c>
      <c r="J32" s="665">
        <f>'C5-Capex'!K73</f>
        <v>73693898.710000008</v>
      </c>
      <c r="K32" s="156"/>
    </row>
    <row r="33" spans="1:10" ht="12.75" customHeight="1" x14ac:dyDescent="0.25">
      <c r="A33" s="584" t="s">
        <v>143</v>
      </c>
      <c r="B33" s="669">
        <f t="shared" ref="B33:G33" si="9">+B29+B31+B32</f>
        <v>613486541</v>
      </c>
      <c r="C33" s="614">
        <f t="shared" si="9"/>
        <v>555371319</v>
      </c>
      <c r="D33" s="612">
        <f t="shared" si="9"/>
        <v>746737136.71000004</v>
      </c>
      <c r="E33" s="612">
        <f t="shared" si="9"/>
        <v>25664642.07</v>
      </c>
      <c r="F33" s="612">
        <f t="shared" si="9"/>
        <v>288107545.89000005</v>
      </c>
      <c r="G33" s="613">
        <f t="shared" si="9"/>
        <v>684509041.98416662</v>
      </c>
      <c r="H33" s="612">
        <f t="shared" si="7"/>
        <v>-396401496.09416658</v>
      </c>
      <c r="I33" s="595">
        <f t="shared" si="8"/>
        <v>-0.57910337450785021</v>
      </c>
      <c r="J33" s="615">
        <f>+J29+J31+J32</f>
        <v>746737136.71000004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1437363761.4122667</v>
      </c>
      <c r="D36" s="408">
        <f>'C6-FinPos'!E13</f>
        <v>1437510257.9922667</v>
      </c>
      <c r="E36" s="408"/>
      <c r="F36" s="408">
        <f>'C6-FinPos'!F13</f>
        <v>3963463609.6800027</v>
      </c>
      <c r="G36" s="217"/>
      <c r="H36" s="217"/>
      <c r="I36" s="219"/>
      <c r="J36" s="643">
        <f>'C6-FinPos'!G13</f>
        <v>1437510257.9922667</v>
      </c>
    </row>
    <row r="37" spans="1:10" ht="12.75" customHeight="1" x14ac:dyDescent="0.25">
      <c r="A37" s="152" t="s">
        <v>638</v>
      </c>
      <c r="B37" s="649">
        <f>'C6-FinPos'!C25</f>
        <v>8217504095</v>
      </c>
      <c r="C37" s="650">
        <f>'C6-FinPos'!D25</f>
        <v>8039624767.2796135</v>
      </c>
      <c r="D37" s="408">
        <f>'C6-FinPos'!E25</f>
        <v>7945534905.2796135</v>
      </c>
      <c r="E37" s="408"/>
      <c r="F37" s="408">
        <f>'C6-FinPos'!F25</f>
        <v>8086594023.0699987</v>
      </c>
      <c r="G37" s="217"/>
      <c r="H37" s="217"/>
      <c r="I37" s="219"/>
      <c r="J37" s="643">
        <f>'C6-FinPos'!G25</f>
        <v>7945534905.2796135</v>
      </c>
    </row>
    <row r="38" spans="1:10" ht="12.75" customHeight="1" x14ac:dyDescent="0.25">
      <c r="A38" s="152" t="s">
        <v>466</v>
      </c>
      <c r="B38" s="649">
        <f>'C6-FinPos'!C35</f>
        <v>1473390857</v>
      </c>
      <c r="C38" s="650">
        <f>'C6-FinPos'!D35</f>
        <v>1320730517.8144519</v>
      </c>
      <c r="D38" s="408">
        <f>'C6-FinPos'!E35</f>
        <v>1320730517.8144519</v>
      </c>
      <c r="E38" s="408"/>
      <c r="F38" s="408">
        <f>'C6-FinPos'!F35</f>
        <v>1368736504.95</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991034434.39999998</v>
      </c>
      <c r="G39" s="217"/>
      <c r="H39" s="217"/>
      <c r="I39" s="219"/>
      <c r="J39" s="643">
        <f>'C6-FinPos'!G40</f>
        <v>1202464023.8183651</v>
      </c>
    </row>
    <row r="40" spans="1:10" ht="12.75" customHeight="1" x14ac:dyDescent="0.25">
      <c r="A40" s="152" t="s">
        <v>142</v>
      </c>
      <c r="B40" s="666">
        <f>'C6-FinPos'!C48</f>
        <v>6868524280</v>
      </c>
      <c r="C40" s="667">
        <f>'C6-FinPos'!D48</f>
        <v>6953793987.059062</v>
      </c>
      <c r="D40" s="638">
        <f>'C6-FinPos'!E48</f>
        <v>6859850621.6390638</v>
      </c>
      <c r="E40" s="408"/>
      <c r="F40" s="638">
        <f>'C6-FinPos'!F48</f>
        <v>9690286693.4000015</v>
      </c>
      <c r="G40" s="596"/>
      <c r="H40" s="596"/>
      <c r="I40" s="597"/>
      <c r="J40" s="642">
        <f>'C6-FinPos'!G48</f>
        <v>6859850621.6390638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645280409.45052338</v>
      </c>
      <c r="D43" s="408">
        <f>'C7-CFlow'!E18</f>
        <v>1025121583.2866912</v>
      </c>
      <c r="E43" s="408">
        <f>'C7-CFlow'!F18</f>
        <v>0</v>
      </c>
      <c r="F43" s="408">
        <f>'C7-CFlow'!G18</f>
        <v>0</v>
      </c>
      <c r="G43" s="651">
        <f>'C7-CFlow'!H18</f>
        <v>939694784.6794672</v>
      </c>
      <c r="H43" s="408">
        <f>G43-F43</f>
        <v>939694784.6794672</v>
      </c>
      <c r="I43" s="207">
        <f>IF(H43=0,"",H43/G43)</f>
        <v>1</v>
      </c>
      <c r="J43" s="643">
        <f>'C7-CFlow'!K18</f>
        <v>1025121583.2866912</v>
      </c>
    </row>
    <row r="44" spans="1:10" ht="12.75" customHeight="1" x14ac:dyDescent="0.25">
      <c r="A44" s="152" t="s">
        <v>656</v>
      </c>
      <c r="B44" s="649">
        <f>'C7-CFlow'!C28</f>
        <v>0</v>
      </c>
      <c r="C44" s="650">
        <f>'C7-CFlow'!D28</f>
        <v>-527602753.05000001</v>
      </c>
      <c r="D44" s="408">
        <f>'C7-CFlow'!E28</f>
        <v>-700730232.32999992</v>
      </c>
      <c r="E44" s="408">
        <f>'C7-CFlow'!F28</f>
        <v>0</v>
      </c>
      <c r="F44" s="408">
        <f>'C7-CFlow'!G28</f>
        <v>0</v>
      </c>
      <c r="G44" s="651">
        <f>'C7-CFlow'!H28</f>
        <v>-642336046.30250001</v>
      </c>
      <c r="H44" s="408">
        <f>G44-F44</f>
        <v>-642336046.30250001</v>
      </c>
      <c r="I44" s="207">
        <f>IF(H44=0,"",H44/G44)</f>
        <v>1</v>
      </c>
      <c r="J44" s="643">
        <f>'C7-CFlow'!K28</f>
        <v>-700730232.32999992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-72468098.083333343</v>
      </c>
      <c r="H45" s="408">
        <f>G45-F45</f>
        <v>-72468098.083333343</v>
      </c>
      <c r="I45" s="207">
        <f>IF(H45=0,"",H45/G45)</f>
        <v>1</v>
      </c>
      <c r="J45" s="643">
        <f>'C7-CFlow'!K37</f>
        <v>-79056107</v>
      </c>
    </row>
    <row r="46" spans="1:10" ht="12.75" customHeight="1" x14ac:dyDescent="0.25">
      <c r="A46" s="153" t="s">
        <v>54</v>
      </c>
      <c r="B46" s="666">
        <f>'C7-CFlow'!C41</f>
        <v>0</v>
      </c>
      <c r="C46" s="667">
        <f>'C7-CFlow'!D41</f>
        <v>499740557.05905336</v>
      </c>
      <c r="D46" s="638">
        <f>'C7-CFlow'!E41</f>
        <v>536121506.61522126</v>
      </c>
      <c r="E46" s="638">
        <f>'C7-CFlow'!F41</f>
        <v>0</v>
      </c>
      <c r="F46" s="638">
        <f>'C7-CFlow'!G41</f>
        <v>0</v>
      </c>
      <c r="G46" s="668">
        <f>'C7-CFlow'!H41</f>
        <v>515676902.95216382</v>
      </c>
      <c r="H46" s="638">
        <f>G46-F46</f>
        <v>515676902.95216382</v>
      </c>
      <c r="I46" s="206">
        <f>IF(H46=0,"",H46/G46)</f>
        <v>1</v>
      </c>
      <c r="J46" s="642">
        <f>'C7-CFlow'!K41</f>
        <v>245335243.95669127</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544796088.12999988</v>
      </c>
      <c r="C50" s="650">
        <f>'SC3'!D14</f>
        <v>134082105.61000001</v>
      </c>
      <c r="D50" s="408">
        <f>'SC3'!E14</f>
        <v>107816829.06</v>
      </c>
      <c r="E50" s="408">
        <f>'SC3'!F14</f>
        <v>104195684.89</v>
      </c>
      <c r="F50" s="408">
        <f>'SC3'!G14</f>
        <v>93072838.600000009</v>
      </c>
      <c r="G50" s="651">
        <f>'SC3'!H14</f>
        <v>122498073.30000001</v>
      </c>
      <c r="H50" s="408">
        <f>'SC3'!I14</f>
        <v>494026774.62</v>
      </c>
      <c r="I50" s="651">
        <f>'SC3'!J14</f>
        <v>2751479564.2600002</v>
      </c>
      <c r="J50" s="643">
        <f>'SC3'!K14</f>
        <v>4351967958.4700003</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783393712.88000011</v>
      </c>
      <c r="C52" s="650">
        <f>'SC4'!D15</f>
        <v>5458502.6100000096</v>
      </c>
      <c r="D52" s="408">
        <f>'SC4'!E15</f>
        <v>2572035.92</v>
      </c>
      <c r="E52" s="408">
        <f>'SC4'!F15</f>
        <v>14805013.49</v>
      </c>
      <c r="F52" s="408">
        <f>'SC4'!G15</f>
        <v>102997.77</v>
      </c>
      <c r="G52" s="651">
        <f>'SC4'!H15</f>
        <v>1176126.03</v>
      </c>
      <c r="H52" s="408">
        <f>'SC4'!I15</f>
        <v>716902.82</v>
      </c>
      <c r="I52" s="651">
        <f>'SC4'!J15</f>
        <v>1233557.01</v>
      </c>
      <c r="J52" s="643">
        <f>'SC4'!K15</f>
        <v>809458848.52999997</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9"/>
      <c r="B55" s="1019"/>
      <c r="C55" s="1019"/>
      <c r="D55" s="1019"/>
      <c r="E55" s="1019"/>
      <c r="F55" s="1019"/>
      <c r="G55" s="1019"/>
      <c r="H55" s="1019"/>
      <c r="I55" s="1019"/>
      <c r="J55" s="1019"/>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sqref="A1:K5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9" t="str">
        <f>muni&amp; " - "&amp;S71A&amp; " - "&amp;date</f>
        <v>KZN225 Msunduzi - Table C2 Consolidated Monthly Budget Statement - Financial Performance (functional classification)  - M10 April</v>
      </c>
      <c r="B1" s="1029"/>
      <c r="C1" s="1029"/>
      <c r="D1" s="1029"/>
      <c r="E1" s="1029"/>
      <c r="F1" s="1029"/>
      <c r="G1" s="1029"/>
      <c r="H1" s="1029"/>
      <c r="I1" s="1029"/>
      <c r="J1" s="1029"/>
      <c r="K1" s="1029"/>
    </row>
    <row r="2" spans="1:18" x14ac:dyDescent="0.25">
      <c r="A2" s="1027" t="str">
        <f>desc</f>
        <v>Description</v>
      </c>
      <c r="B2" s="1025" t="str">
        <f>head27</f>
        <v>Ref</v>
      </c>
      <c r="C2" s="24" t="str">
        <f>Head1</f>
        <v>2018/19</v>
      </c>
      <c r="D2" s="231" t="str">
        <f>Head2</f>
        <v>Budget Year 2019/20</v>
      </c>
      <c r="E2" s="229"/>
      <c r="F2" s="229"/>
      <c r="G2" s="229"/>
      <c r="H2" s="229"/>
      <c r="I2" s="229"/>
      <c r="J2" s="229"/>
      <c r="K2" s="230"/>
    </row>
    <row r="3" spans="1:18" ht="25.5" x14ac:dyDescent="0.25">
      <c r="A3" s="1028"/>
      <c r="B3" s="1026"/>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1810164797.24</v>
      </c>
      <c r="E6" s="638">
        <f t="shared" si="0"/>
        <v>1798563515.8799996</v>
      </c>
      <c r="F6" s="638">
        <f t="shared" si="0"/>
        <v>117622758.89000002</v>
      </c>
      <c r="G6" s="638">
        <f t="shared" si="0"/>
        <v>1546893191.0200002</v>
      </c>
      <c r="H6" s="638">
        <f t="shared" si="0"/>
        <v>1647653617.5949998</v>
      </c>
      <c r="I6" s="47">
        <f t="shared" ref="I6:I13" si="1">G6-H6</f>
        <v>-100760426.57499957</v>
      </c>
      <c r="J6" s="200">
        <f>IF(I6=0,"",I6/H6)</f>
        <v>-6.1153889081416689E-2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958500</v>
      </c>
      <c r="G7" s="408">
        <f>'C2C'!G7</f>
        <v>3697500</v>
      </c>
      <c r="H7" s="408">
        <f>'C2C'!H7</f>
        <v>3902219.3099999996</v>
      </c>
      <c r="I7" s="47">
        <f t="shared" si="1"/>
        <v>-204719.30999999959</v>
      </c>
      <c r="J7" s="200">
        <f t="shared" ref="J7:J26" si="2">IF(I7=0,"",I7/H7)</f>
        <v>-5.2462276908777743E-2</v>
      </c>
      <c r="K7" s="643">
        <f>'C2C'!K7</f>
        <v>4256966.5199999996</v>
      </c>
      <c r="L7" s="100"/>
      <c r="Q7" s="69"/>
      <c r="R7" s="70"/>
    </row>
    <row r="8" spans="1:18" ht="12.75" customHeight="1" x14ac:dyDescent="0.25">
      <c r="A8" s="416" t="s">
        <v>1136</v>
      </c>
      <c r="B8" s="415"/>
      <c r="C8" s="644">
        <f>'C2C'!C10</f>
        <v>1881355008</v>
      </c>
      <c r="D8" s="672">
        <f>'C2C'!D10</f>
        <v>1805907830.72</v>
      </c>
      <c r="E8" s="673">
        <f>'C2C'!E10</f>
        <v>1794306549.3599997</v>
      </c>
      <c r="F8" s="673">
        <f>'C2C'!F10</f>
        <v>116664258.89000002</v>
      </c>
      <c r="G8" s="673">
        <f>'C2C'!G10</f>
        <v>1543195691.0200002</v>
      </c>
      <c r="H8" s="673">
        <f>'C2C'!H10</f>
        <v>1643751398.2849998</v>
      </c>
      <c r="I8" s="47">
        <f t="shared" si="1"/>
        <v>-100555707.26499963</v>
      </c>
      <c r="J8" s="200">
        <f t="shared" si="2"/>
        <v>-6.117452272278761E-2</v>
      </c>
      <c r="K8" s="674">
        <f>'C2C'!K10</f>
        <v>1794306549.3599997</v>
      </c>
      <c r="L8" s="100"/>
      <c r="Q8" s="69"/>
      <c r="R8" s="70"/>
    </row>
    <row r="9" spans="1:18" ht="12.75" customHeight="1" x14ac:dyDescent="0.25">
      <c r="A9" s="416" t="s">
        <v>1147</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353558391.57999998</v>
      </c>
      <c r="F10" s="638">
        <f t="shared" si="3"/>
        <v>5627967.329999988</v>
      </c>
      <c r="G10" s="638">
        <f t="shared" si="3"/>
        <v>122858259.19999936</v>
      </c>
      <c r="H10" s="638">
        <f t="shared" si="3"/>
        <v>324004442.2816667</v>
      </c>
      <c r="I10" s="47">
        <f t="shared" si="1"/>
        <v>-201146183.08166733</v>
      </c>
      <c r="J10" s="200">
        <f t="shared" si="2"/>
        <v>-0.62081304091134948</v>
      </c>
      <c r="K10" s="642">
        <f>SUM(K11:K15)</f>
        <v>353459391.57999998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3580202.13</v>
      </c>
      <c r="G11" s="408">
        <f>'C2C'!G27</f>
        <v>13591292.170000004</v>
      </c>
      <c r="H11" s="408">
        <f>'C2C'!H27</f>
        <v>42076867.305</v>
      </c>
      <c r="I11" s="47">
        <f t="shared" si="1"/>
        <v>-28485575.134999998</v>
      </c>
      <c r="J11" s="200">
        <f t="shared" si="2"/>
        <v>-0.67698897183857254</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0</v>
      </c>
      <c r="G12" s="408">
        <f>'C2C'!G49</f>
        <v>678651.36999999988</v>
      </c>
      <c r="H12" s="408">
        <f>'C2C'!H49</f>
        <v>243078.93499999959</v>
      </c>
      <c r="I12" s="47">
        <f t="shared" si="1"/>
        <v>435572.43500000029</v>
      </c>
      <c r="J12" s="200">
        <f t="shared" si="2"/>
        <v>1.7918970847885318</v>
      </c>
      <c r="K12" s="643">
        <f>'C2C'!K49</f>
        <v>265177.01999999955</v>
      </c>
      <c r="L12" s="100"/>
      <c r="Q12" s="69"/>
      <c r="R12" s="70"/>
    </row>
    <row r="13" spans="1:18" ht="12.75" customHeight="1" x14ac:dyDescent="0.25">
      <c r="A13" s="416" t="s">
        <v>116</v>
      </c>
      <c r="B13" s="415"/>
      <c r="C13" s="643">
        <f>'C2C'!C55</f>
        <v>23856429</v>
      </c>
      <c r="D13" s="671">
        <f>'C2C'!D55</f>
        <v>3606445.4200000004</v>
      </c>
      <c r="E13" s="408">
        <f>'C2C'!E55</f>
        <v>3705445.4200000004</v>
      </c>
      <c r="F13" s="408">
        <f>'C2C'!F55</f>
        <v>195142.69999998808</v>
      </c>
      <c r="G13" s="408">
        <f>'C2C'!G55</f>
        <v>19704469.029999353</v>
      </c>
      <c r="H13" s="408">
        <f>'C2C'!H55</f>
        <v>3305908.3016666672</v>
      </c>
      <c r="I13" s="47">
        <f t="shared" si="1"/>
        <v>16398560.728332685</v>
      </c>
      <c r="J13" s="200">
        <f t="shared" si="2"/>
        <v>4.9603797903485054</v>
      </c>
      <c r="K13" s="643">
        <f>'C2C'!K55</f>
        <v>3606445.4200000004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1852622.5</v>
      </c>
      <c r="G14" s="408">
        <f>'C2C'!G64</f>
        <v>88883846.63000001</v>
      </c>
      <c r="H14" s="408">
        <f>'C2C'!H64</f>
        <v>278378587.74000001</v>
      </c>
      <c r="I14" s="47">
        <f t="shared" ref="I14:I19" si="4">G14-H14</f>
        <v>-189494741.11000001</v>
      </c>
      <c r="J14" s="200">
        <f t="shared" ref="J14:J19" si="5">IF(I14=0,"",I14/H14)</f>
        <v>-0.68070875223702287</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31884410.330000002</v>
      </c>
      <c r="G16" s="638">
        <f t="shared" si="6"/>
        <v>188551967.08999997</v>
      </c>
      <c r="H16" s="638">
        <f t="shared" si="6"/>
        <v>333391186.27833331</v>
      </c>
      <c r="I16" s="47">
        <f t="shared" si="4"/>
        <v>-144839219.18833333</v>
      </c>
      <c r="J16" s="200">
        <f t="shared" si="5"/>
        <v>-0.43444225627312649</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8000</v>
      </c>
      <c r="G17" s="408">
        <f>'C2C'!G76</f>
        <v>4755740.92</v>
      </c>
      <c r="H17" s="408">
        <f>'C2C'!H76</f>
        <v>46741230.396666661</v>
      </c>
      <c r="I17" s="47">
        <f t="shared" si="4"/>
        <v>-41985489.476666659</v>
      </c>
      <c r="J17" s="200">
        <f t="shared" si="5"/>
        <v>-0.8982538354330708</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31874210.330000002</v>
      </c>
      <c r="G18" s="408">
        <f>'C2C'!G87</f>
        <v>183753076.16999999</v>
      </c>
      <c r="H18" s="408">
        <f>'C2C'!H87</f>
        <v>286554914.25</v>
      </c>
      <c r="I18" s="47">
        <f t="shared" si="4"/>
        <v>-102801838.08000001</v>
      </c>
      <c r="J18" s="200">
        <f t="shared" si="5"/>
        <v>-0.35875091637867457</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2200</v>
      </c>
      <c r="G19" s="408">
        <f>'C2C'!G92</f>
        <v>43150</v>
      </c>
      <c r="H19" s="408">
        <f>'C2C'!H92</f>
        <v>95041.631666666653</v>
      </c>
      <c r="I19" s="47">
        <f t="shared" si="4"/>
        <v>-51891.631666666653</v>
      </c>
      <c r="J19" s="200">
        <f t="shared" si="5"/>
        <v>-0.54598843429648602</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256515751.11999997</v>
      </c>
      <c r="G20" s="638">
        <f t="shared" si="7"/>
        <v>3539590124.7400002</v>
      </c>
      <c r="H20" s="638">
        <f t="shared" si="7"/>
        <v>3692216006.3616662</v>
      </c>
      <c r="I20" s="47">
        <f t="shared" si="7"/>
        <v>-152625881.62166601</v>
      </c>
      <c r="J20" s="200">
        <f t="shared" si="2"/>
        <v>-4.1337202741847316E-2</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151800274.63</v>
      </c>
      <c r="G21" s="408">
        <f>'C2C'!G100</f>
        <v>2194441562.6900001</v>
      </c>
      <c r="H21" s="408">
        <f>'C2C'!H100</f>
        <v>2271036382.7249994</v>
      </c>
      <c r="I21" s="47">
        <f>G21-H21</f>
        <v>-76594820.034999371</v>
      </c>
      <c r="J21" s="200">
        <f t="shared" si="2"/>
        <v>-3.3726813281209446E-2</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73947010.950000003</v>
      </c>
      <c r="G22" s="408">
        <f>'C2C'!G104</f>
        <v>995125177.05000007</v>
      </c>
      <c r="H22" s="408">
        <f>'C2C'!H104</f>
        <v>1059642627.8441668</v>
      </c>
      <c r="I22" s="47">
        <f>G22-H22</f>
        <v>-64517450.794166684</v>
      </c>
      <c r="J22" s="200">
        <f t="shared" si="2"/>
        <v>-6.0886046954742513E-2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20213387.809999999</v>
      </c>
      <c r="G23" s="673">
        <f>'C2C'!G108</f>
        <v>219314232.91000003</v>
      </c>
      <c r="H23" s="673">
        <f>'C2C'!H108</f>
        <v>204921585.75166664</v>
      </c>
      <c r="I23" s="47">
        <f>G23-H23</f>
        <v>14392647.158333391</v>
      </c>
      <c r="J23" s="200">
        <f t="shared" si="2"/>
        <v>7.0234900367085101E-2</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10555077.729999999</v>
      </c>
      <c r="G24" s="408">
        <f>'C2C'!G113</f>
        <v>130709152.08999999</v>
      </c>
      <c r="H24" s="408">
        <f>'C2C'!H113</f>
        <v>156615410.04083332</v>
      </c>
      <c r="I24" s="47">
        <f>G24-H24</f>
        <v>-25906257.950833336</v>
      </c>
      <c r="J24" s="200">
        <f t="shared" si="2"/>
        <v>-0.16541321153569094</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2273098.5999999996</v>
      </c>
      <c r="G25" s="638">
        <f>'C2C'!G118</f>
        <v>29308937.09</v>
      </c>
      <c r="H25" s="638">
        <f>'C2C'!H118</f>
        <v>53993851.230000012</v>
      </c>
      <c r="I25" s="102">
        <f>G25-H25</f>
        <v>-24684914.140000012</v>
      </c>
      <c r="J25" s="714">
        <f t="shared" si="2"/>
        <v>-0.45718009694934675</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6351937471.4078579</v>
      </c>
      <c r="E26" s="546">
        <f t="shared" si="8"/>
        <v>6602595773.5</v>
      </c>
      <c r="F26" s="546">
        <f t="shared" si="8"/>
        <v>413923986.26999998</v>
      </c>
      <c r="G26" s="546">
        <f t="shared" si="8"/>
        <v>5427202479.1399994</v>
      </c>
      <c r="H26" s="546">
        <f t="shared" si="8"/>
        <v>6051259103.746666</v>
      </c>
      <c r="I26" s="546">
        <f t="shared" si="8"/>
        <v>-624056624.60666621</v>
      </c>
      <c r="J26" s="600">
        <f t="shared" si="2"/>
        <v>-0.10312839260514867</v>
      </c>
      <c r="K26" s="598">
        <f>K6+K10+K16+K20+K25</f>
        <v>6602496773.5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1417089009.8287084</v>
      </c>
      <c r="E29" s="638">
        <f t="shared" si="9"/>
        <v>1363591242.0299995</v>
      </c>
      <c r="F29" s="638">
        <f t="shared" si="9"/>
        <v>-141610907.97999987</v>
      </c>
      <c r="G29" s="638">
        <f t="shared" si="9"/>
        <v>600872642.35000002</v>
      </c>
      <c r="H29" s="638">
        <f t="shared" si="9"/>
        <v>1249958638.5274999</v>
      </c>
      <c r="I29" s="47">
        <f t="shared" ref="I29:I48" si="10">G29-H29</f>
        <v>-649085996.17749989</v>
      </c>
      <c r="J29" s="200">
        <f>IF(I29=0,"",I29/H29)</f>
        <v>-0.51928597968821477</v>
      </c>
      <c r="K29" s="642">
        <f>SUM(K30:K32)</f>
        <v>1363591242.0299995</v>
      </c>
      <c r="L29" s="100"/>
      <c r="Q29" s="69"/>
    </row>
    <row r="30" spans="1:18" ht="12.75" customHeight="1" x14ac:dyDescent="0.25">
      <c r="A30" s="416" t="s">
        <v>112</v>
      </c>
      <c r="B30" s="428"/>
      <c r="C30" s="643">
        <f>'C2C'!C129</f>
        <v>157678062.53999999</v>
      </c>
      <c r="D30" s="671">
        <f>'C2C'!D129</f>
        <v>189360836.78000003</v>
      </c>
      <c r="E30" s="408">
        <f>'C2C'!E129</f>
        <v>181807088.15000004</v>
      </c>
      <c r="F30" s="408">
        <f>'C2C'!F129</f>
        <v>8538496.6199999992</v>
      </c>
      <c r="G30" s="408">
        <f>'C2C'!G129</f>
        <v>111870575.04999998</v>
      </c>
      <c r="H30" s="408">
        <f>'C2C'!H129</f>
        <v>166656497.47083336</v>
      </c>
      <c r="I30" s="47">
        <f t="shared" si="10"/>
        <v>-54785922.420833379</v>
      </c>
      <c r="J30" s="200">
        <f t="shared" ref="J30:J49" si="11">IF(I30=0,"",I30/H30)</f>
        <v>-0.32873559238469829</v>
      </c>
      <c r="K30" s="643">
        <f>'C2C'!K129</f>
        <v>181807088.15000004</v>
      </c>
      <c r="L30" s="100"/>
      <c r="Q30" s="69"/>
    </row>
    <row r="31" spans="1:18" ht="12.75" customHeight="1" x14ac:dyDescent="0.25">
      <c r="A31" s="416" t="s">
        <v>1136</v>
      </c>
      <c r="B31" s="428"/>
      <c r="C31" s="644">
        <f>'C2C'!C132</f>
        <v>1407041307.4400001</v>
      </c>
      <c r="D31" s="672">
        <f>'C2C'!D132</f>
        <v>1213645200.0587084</v>
      </c>
      <c r="E31" s="673">
        <f>'C2C'!E132</f>
        <v>1159737793.0099995</v>
      </c>
      <c r="F31" s="673">
        <f>'C2C'!F132</f>
        <v>-151071316.30999988</v>
      </c>
      <c r="G31" s="673">
        <f>'C2C'!G132</f>
        <v>476499805.05000007</v>
      </c>
      <c r="H31" s="673">
        <f>'C2C'!H132</f>
        <v>1063092976.9258331</v>
      </c>
      <c r="I31" s="47">
        <f t="shared" si="10"/>
        <v>-586593171.87583303</v>
      </c>
      <c r="J31" s="200">
        <f t="shared" si="11"/>
        <v>-0.55177974514712347</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921911.70999999985</v>
      </c>
      <c r="G32" s="408">
        <f>'C2C'!G146</f>
        <v>12502262.250000004</v>
      </c>
      <c r="H32" s="408">
        <f>'C2C'!H146</f>
        <v>20209164.130833331</v>
      </c>
      <c r="I32" s="47">
        <f t="shared" si="10"/>
        <v>-7706901.8808333278</v>
      </c>
      <c r="J32" s="200">
        <f t="shared" si="11"/>
        <v>-0.38135678600753348</v>
      </c>
      <c r="K32" s="643">
        <f>'C2C'!K146</f>
        <v>22046360.869999997</v>
      </c>
      <c r="L32" s="100"/>
      <c r="Q32" s="69"/>
    </row>
    <row r="33" spans="1:17" ht="12.75" customHeight="1" x14ac:dyDescent="0.25">
      <c r="A33" s="414" t="s">
        <v>113</v>
      </c>
      <c r="B33" s="428"/>
      <c r="C33" s="642">
        <f t="shared" ref="C33:H33" si="12">SUM(C34:C38)</f>
        <v>527521416.53999996</v>
      </c>
      <c r="D33" s="670">
        <f t="shared" si="12"/>
        <v>520692886.04000002</v>
      </c>
      <c r="E33" s="638">
        <f t="shared" si="12"/>
        <v>537217388.96000004</v>
      </c>
      <c r="F33" s="638">
        <f t="shared" si="12"/>
        <v>41806012.340000078</v>
      </c>
      <c r="G33" s="638">
        <f t="shared" si="12"/>
        <v>448474433.10999846</v>
      </c>
      <c r="H33" s="638">
        <f t="shared" si="12"/>
        <v>492449273.21333337</v>
      </c>
      <c r="I33" s="47">
        <f t="shared" si="10"/>
        <v>-43974840.103334904</v>
      </c>
      <c r="J33" s="200">
        <f t="shared" si="11"/>
        <v>-8.929821302484614E-2</v>
      </c>
      <c r="K33" s="642">
        <f>SUM(K34:K38)</f>
        <v>537217388.96000004</v>
      </c>
      <c r="L33" s="100"/>
      <c r="Q33" s="69"/>
    </row>
    <row r="34" spans="1:17" ht="12.75" customHeight="1" x14ac:dyDescent="0.25">
      <c r="A34" s="416" t="s">
        <v>114</v>
      </c>
      <c r="B34" s="428"/>
      <c r="C34" s="643">
        <f>'C2C'!C149</f>
        <v>114264920.00000001</v>
      </c>
      <c r="D34" s="671">
        <f>'C2C'!D149</f>
        <v>115536350.22</v>
      </c>
      <c r="E34" s="408">
        <f>'C2C'!E149</f>
        <v>114956798.07999998</v>
      </c>
      <c r="F34" s="408">
        <f>'C2C'!F149</f>
        <v>10844433.659999998</v>
      </c>
      <c r="G34" s="408">
        <f>'C2C'!G149</f>
        <v>104088355.20999999</v>
      </c>
      <c r="H34" s="408">
        <f>'C2C'!H149</f>
        <v>105377064.90666665</v>
      </c>
      <c r="I34" s="47">
        <f t="shared" si="10"/>
        <v>-1288709.6966666579</v>
      </c>
      <c r="J34" s="200">
        <f t="shared" si="11"/>
        <v>-1.2229508364159496E-2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8720532.9100000001</v>
      </c>
      <c r="G35" s="408">
        <f>'C2C'!G171</f>
        <v>111927477.53</v>
      </c>
      <c r="H35" s="408">
        <f>'C2C'!H171</f>
        <v>112465449.77250001</v>
      </c>
      <c r="I35" s="47">
        <f t="shared" si="10"/>
        <v>-537972.24250000715</v>
      </c>
      <c r="J35" s="200">
        <f t="shared" si="11"/>
        <v>-4.7834445475320713E-3</v>
      </c>
      <c r="K35" s="643">
        <f>'C2C'!K171</f>
        <v>122689581.57000002</v>
      </c>
      <c r="L35" s="100"/>
      <c r="Q35" s="69"/>
    </row>
    <row r="36" spans="1:17" ht="12.75" customHeight="1" x14ac:dyDescent="0.25">
      <c r="A36" s="416" t="s">
        <v>116</v>
      </c>
      <c r="B36" s="426"/>
      <c r="C36" s="643">
        <f>'C2C'!C177</f>
        <v>170573214.72</v>
      </c>
      <c r="D36" s="671">
        <f>'C2C'!D177</f>
        <v>180293582.25999999</v>
      </c>
      <c r="E36" s="408">
        <f>'C2C'!E177</f>
        <v>183547611.95000002</v>
      </c>
      <c r="F36" s="408">
        <f>'C2C'!F177</f>
        <v>18498011.330000073</v>
      </c>
      <c r="G36" s="408">
        <f>'C2C'!G177</f>
        <v>184493752.06999844</v>
      </c>
      <c r="H36" s="408">
        <f>'C2C'!H177</f>
        <v>168251977.62083334</v>
      </c>
      <c r="I36" s="47">
        <f t="shared" si="10"/>
        <v>16241774.449165106</v>
      </c>
      <c r="J36" s="200">
        <f t="shared" si="11"/>
        <v>9.6532443058511858E-2</v>
      </c>
      <c r="K36" s="643">
        <f>'C2C'!K177</f>
        <v>183547611.95000002</v>
      </c>
      <c r="L36" s="100"/>
      <c r="Q36" s="70"/>
    </row>
    <row r="37" spans="1:17" ht="12.75" customHeight="1" x14ac:dyDescent="0.25">
      <c r="A37" s="416" t="s">
        <v>720</v>
      </c>
      <c r="B37" s="426"/>
      <c r="C37" s="643">
        <f>'C2C'!C186</f>
        <v>120625836</v>
      </c>
      <c r="D37" s="671">
        <f>'C2C'!D186</f>
        <v>98864970.179999977</v>
      </c>
      <c r="E37" s="408">
        <f>'C2C'!E186</f>
        <v>115817824.73</v>
      </c>
      <c r="F37" s="408">
        <f>'C2C'!F186</f>
        <v>3326899.1200000015</v>
      </c>
      <c r="G37" s="408">
        <f>'C2C'!G186</f>
        <v>42932614.299999997</v>
      </c>
      <c r="H37" s="408">
        <f>'C2C'!H186</f>
        <v>106166339.33583334</v>
      </c>
      <c r="I37" s="47">
        <f t="shared" si="10"/>
        <v>-63233725.035833344</v>
      </c>
      <c r="J37" s="200">
        <f t="shared" si="11"/>
        <v>-0.59560992148187075</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416135.32000000007</v>
      </c>
      <c r="G38" s="673">
        <f>'C2C'!G189</f>
        <v>5032234</v>
      </c>
      <c r="H38" s="673">
        <f>'C2C'!H189</f>
        <v>188441.57749999998</v>
      </c>
      <c r="I38" s="47">
        <f t="shared" si="10"/>
        <v>4843792.4225000003</v>
      </c>
      <c r="J38" s="200">
        <f t="shared" si="11"/>
        <v>25.704478208902707</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26338441.630000003</v>
      </c>
      <c r="G39" s="638">
        <f t="shared" si="13"/>
        <v>311925073.70000011</v>
      </c>
      <c r="H39" s="638">
        <f t="shared" si="13"/>
        <v>225724759.10416663</v>
      </c>
      <c r="I39" s="47">
        <f t="shared" si="10"/>
        <v>86200314.59583348</v>
      </c>
      <c r="J39" s="200">
        <f t="shared" si="11"/>
        <v>0.38188240819454849</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4895166.42</v>
      </c>
      <c r="G40" s="408">
        <f>'C2C'!G198</f>
        <v>62690563.619999975</v>
      </c>
      <c r="H40" s="408">
        <f>'C2C'!H198</f>
        <v>76359001.775833309</v>
      </c>
      <c r="I40" s="47">
        <f t="shared" si="10"/>
        <v>-13668438.155833334</v>
      </c>
      <c r="J40" s="200">
        <f t="shared" si="11"/>
        <v>-0.17900231587573251</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19720120.890000001</v>
      </c>
      <c r="G41" s="408">
        <f>'C2C'!G209</f>
        <v>230674267.67000014</v>
      </c>
      <c r="H41" s="408">
        <f>'C2C'!H209</f>
        <v>133547150.27499996</v>
      </c>
      <c r="I41" s="47">
        <f t="shared" si="10"/>
        <v>97127117.395000175</v>
      </c>
      <c r="J41" s="200">
        <f t="shared" si="11"/>
        <v>0.72728708321365343</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1723154.32</v>
      </c>
      <c r="G42" s="408">
        <f>'C2C'!G214</f>
        <v>18560242.41</v>
      </c>
      <c r="H42" s="408">
        <f>'C2C'!H214</f>
        <v>15818607.053333331</v>
      </c>
      <c r="I42" s="47">
        <f t="shared" si="10"/>
        <v>2741635.3566666692</v>
      </c>
      <c r="J42" s="200">
        <f t="shared" si="11"/>
        <v>0.1733171161925377</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-496919439.20999998</v>
      </c>
      <c r="G43" s="638">
        <f t="shared" si="14"/>
        <v>2364553291.0100017</v>
      </c>
      <c r="H43" s="638">
        <f t="shared" si="14"/>
        <v>3047764346.4766679</v>
      </c>
      <c r="I43" s="47">
        <f t="shared" si="14"/>
        <v>-683211055.4666661</v>
      </c>
      <c r="J43" s="200">
        <f t="shared" si="11"/>
        <v>-0.22416794010222091</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34063479.070000045</v>
      </c>
      <c r="G44" s="408">
        <f>'C2C'!G222</f>
        <v>1868673664.0800006</v>
      </c>
      <c r="H44" s="408">
        <f>'C2C'!H222</f>
        <v>1844424045.8875005</v>
      </c>
      <c r="I44" s="47">
        <f t="shared" si="10"/>
        <v>24249618.192500114</v>
      </c>
      <c r="J44" s="200">
        <f t="shared" si="11"/>
        <v>1.3147528761929405E-2</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-463910441.85000002</v>
      </c>
      <c r="G45" s="408">
        <f>'C2C'!G226</f>
        <v>293801245.55000079</v>
      </c>
      <c r="H45" s="408">
        <f>'C2C'!H226</f>
        <v>826046162.00333381</v>
      </c>
      <c r="I45" s="47">
        <f t="shared" si="10"/>
        <v>-532244916.45333302</v>
      </c>
      <c r="J45" s="200">
        <f t="shared" si="11"/>
        <v>-0.64432829657186275</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-51368776.810000017</v>
      </c>
      <c r="G46" s="673">
        <f>'C2C'!G230</f>
        <v>126613545.52</v>
      </c>
      <c r="H46" s="673">
        <f>'C2C'!H230</f>
        <v>265975946.68333337</v>
      </c>
      <c r="I46" s="47">
        <f t="shared" si="10"/>
        <v>-139362401.16333336</v>
      </c>
      <c r="J46" s="200">
        <f t="shared" si="11"/>
        <v>-0.52396618153315933</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-15703699.619999997</v>
      </c>
      <c r="G47" s="408">
        <f>'C2C'!G235</f>
        <v>75464835.860000014</v>
      </c>
      <c r="H47" s="408">
        <f>'C2C'!H235</f>
        <v>111318191.90249994</v>
      </c>
      <c r="I47" s="47">
        <f t="shared" si="10"/>
        <v>-35853356.04249993</v>
      </c>
      <c r="J47" s="200">
        <f t="shared" si="11"/>
        <v>-0.32207993527152096</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4500256.0999999996</v>
      </c>
      <c r="G48" s="638">
        <f>'C2C'!G240</f>
        <v>53480325.980000004</v>
      </c>
      <c r="H48" s="638">
        <f>'C2C'!H240</f>
        <v>62495725.416666657</v>
      </c>
      <c r="I48" s="102">
        <f t="shared" si="10"/>
        <v>-9015399.4366666526</v>
      </c>
      <c r="J48" s="714">
        <f t="shared" si="11"/>
        <v>-0.14425625715294735</v>
      </c>
      <c r="K48" s="642">
        <f>'C2C'!K240</f>
        <v>68177155</v>
      </c>
      <c r="L48" s="100"/>
      <c r="Q48" s="70"/>
    </row>
    <row r="49" spans="1:17" ht="12.75" customHeight="1" x14ac:dyDescent="0.25">
      <c r="A49" s="92" t="s">
        <v>1222</v>
      </c>
      <c r="B49" s="422">
        <v>3</v>
      </c>
      <c r="C49" s="601">
        <f>C29+C33+C39+C43+C48</f>
        <v>5545120282.000001</v>
      </c>
      <c r="D49" s="599">
        <f t="shared" ref="D49:I49" si="15">D29+D33+D39+D43+D48</f>
        <v>5636479723.2493496</v>
      </c>
      <c r="E49" s="546">
        <f t="shared" si="15"/>
        <v>5540064810.2600002</v>
      </c>
      <c r="F49" s="546">
        <f t="shared" si="15"/>
        <v>-565885637.11999977</v>
      </c>
      <c r="G49" s="546">
        <f t="shared" si="15"/>
        <v>3779305766.1500001</v>
      </c>
      <c r="H49" s="546">
        <f t="shared" si="15"/>
        <v>5078392742.7383347</v>
      </c>
      <c r="I49" s="546">
        <f t="shared" si="15"/>
        <v>-1299086976.5883343</v>
      </c>
      <c r="J49" s="600">
        <f t="shared" si="11"/>
        <v>-0.2558067172819426</v>
      </c>
      <c r="K49" s="721">
        <f>K29+K33+K39+K43+K48</f>
        <v>5540064810.2600002</v>
      </c>
      <c r="L49" s="100"/>
      <c r="Q49" s="75"/>
    </row>
    <row r="50" spans="1:17" ht="12.75" customHeight="1" x14ac:dyDescent="0.25">
      <c r="A50" s="94" t="s">
        <v>905</v>
      </c>
      <c r="B50" s="429"/>
      <c r="C50" s="541">
        <f t="shared" ref="C50:H50" si="16">C26-C49</f>
        <v>553128996.99999905</v>
      </c>
      <c r="D50" s="641">
        <f t="shared" si="16"/>
        <v>715457748.1585083</v>
      </c>
      <c r="E50" s="635">
        <f t="shared" si="16"/>
        <v>1062530963.2399998</v>
      </c>
      <c r="F50" s="635">
        <f t="shared" si="16"/>
        <v>979809623.38999975</v>
      </c>
      <c r="G50" s="635">
        <f t="shared" si="16"/>
        <v>1647896712.9899993</v>
      </c>
      <c r="H50" s="635">
        <f t="shared" si="16"/>
        <v>972866361.0083313</v>
      </c>
      <c r="I50" s="635">
        <f>I26-I49</f>
        <v>675030351.98166811</v>
      </c>
      <c r="J50" s="639">
        <f>IF(I50=0,"",I50/H50)</f>
        <v>0.69385722339297473</v>
      </c>
      <c r="K50" s="640">
        <f>K26-K49</f>
        <v>1062431963.2399998</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30" t="s">
        <v>1225</v>
      </c>
      <c r="B55" s="1030"/>
      <c r="C55" s="1030"/>
      <c r="D55" s="1030"/>
      <c r="E55" s="1030"/>
      <c r="F55" s="1030"/>
      <c r="G55" s="1030"/>
      <c r="H55" s="1030"/>
      <c r="I55" s="1030"/>
      <c r="J55" s="1030"/>
      <c r="K55" s="1030"/>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45" activePane="bottomRight" state="frozen"/>
      <selection pane="topRight"/>
      <selection pane="bottomLeft"/>
      <selection pane="bottomRight" activeCell="O265" sqref="O265"/>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9" t="str">
        <f>muni&amp; " - "&amp;S71A&amp; " - "&amp;date</f>
        <v>KZN225 Msunduzi - Table C2 Consolidated Monthly Budget Statement - Financial Performance (functional classification)  - M10 April</v>
      </c>
      <c r="B1" s="1029"/>
      <c r="C1" s="1029"/>
      <c r="D1" s="1029"/>
      <c r="E1" s="1029"/>
      <c r="F1" s="1029"/>
      <c r="G1" s="1029"/>
      <c r="H1" s="1029"/>
      <c r="I1" s="1029"/>
      <c r="J1" s="1029"/>
      <c r="K1" s="1029"/>
    </row>
    <row r="2" spans="1:12" ht="13.5" customHeight="1" x14ac:dyDescent="0.25">
      <c r="A2" s="1027" t="str">
        <f>desc</f>
        <v>Description</v>
      </c>
      <c r="B2" s="1025" t="str">
        <f>head27</f>
        <v>Ref</v>
      </c>
      <c r="C2" s="24" t="str">
        <f>Head1</f>
        <v>2018/19</v>
      </c>
      <c r="D2" s="231" t="str">
        <f>Head2</f>
        <v>Budget Year 2019/20</v>
      </c>
      <c r="E2" s="229"/>
      <c r="F2" s="229"/>
      <c r="G2" s="229"/>
      <c r="H2" s="229"/>
      <c r="I2" s="229"/>
      <c r="J2" s="229"/>
      <c r="K2" s="230"/>
    </row>
    <row r="3" spans="1:12" ht="25.5" x14ac:dyDescent="0.25">
      <c r="A3" s="1028"/>
      <c r="B3" s="1026"/>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1810164797.24</v>
      </c>
      <c r="E6" s="606">
        <f t="shared" si="0"/>
        <v>1798563515.8799996</v>
      </c>
      <c r="F6" s="606">
        <f t="shared" si="0"/>
        <v>117622758.89000002</v>
      </c>
      <c r="G6" s="606">
        <f t="shared" si="0"/>
        <v>1546893191.0200002</v>
      </c>
      <c r="H6" s="606">
        <f t="shared" si="0"/>
        <v>1647653617.5949998</v>
      </c>
      <c r="I6" s="633">
        <f>G6-H6</f>
        <v>-100760426.57499957</v>
      </c>
      <c r="J6" s="634">
        <f>IF(I6=0,"",I6/H6)</f>
        <v>-6.1153889081416689E-2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958500</v>
      </c>
      <c r="G7" s="609">
        <f t="shared" si="1"/>
        <v>3697500</v>
      </c>
      <c r="H7" s="609">
        <f t="shared" si="1"/>
        <v>3902219.3099999996</v>
      </c>
      <c r="I7" s="609">
        <f t="shared" ref="I7:I123" si="2">G7-H7</f>
        <v>-204719.30999999959</v>
      </c>
      <c r="J7" s="609">
        <f t="shared" ref="J7:J123" si="3">IF(I7=0,"",I7/H7)</f>
        <v>-5.2462276908777743E-2</v>
      </c>
      <c r="K7" s="611">
        <f t="shared" si="1"/>
        <v>4256966.5199999996</v>
      </c>
      <c r="L7" s="100"/>
    </row>
    <row r="8" spans="1:12" x14ac:dyDescent="0.25">
      <c r="A8" s="696" t="s">
        <v>166</v>
      </c>
      <c r="B8" s="415"/>
      <c r="C8" s="734"/>
      <c r="D8" s="734"/>
      <c r="E8" s="734"/>
      <c r="F8" s="734"/>
      <c r="G8" s="734"/>
      <c r="H8" s="734"/>
      <c r="I8" s="408">
        <f t="shared" si="2"/>
        <v>0</v>
      </c>
      <c r="J8" s="408" t="str">
        <f t="shared" si="3"/>
        <v/>
      </c>
      <c r="K8" s="736"/>
      <c r="L8" s="100"/>
    </row>
    <row r="9" spans="1:12" ht="22.5" x14ac:dyDescent="0.25">
      <c r="A9" s="696" t="s">
        <v>1135</v>
      </c>
      <c r="B9" s="415"/>
      <c r="C9" s="734">
        <v>3096549</v>
      </c>
      <c r="D9" s="734">
        <v>4256966.5199999996</v>
      </c>
      <c r="E9" s="734">
        <v>4256966.5199999996</v>
      </c>
      <c r="F9" s="734">
        <v>958500</v>
      </c>
      <c r="G9" s="734">
        <v>3697500</v>
      </c>
      <c r="H9" s="734">
        <f>E9/12*11</f>
        <v>3902219.3099999996</v>
      </c>
      <c r="I9" s="408">
        <f t="shared" si="2"/>
        <v>-204719.30999999959</v>
      </c>
      <c r="J9" s="408">
        <f t="shared" si="3"/>
        <v>-5.2462276908777743E-2</v>
      </c>
      <c r="K9" s="736">
        <f>E9</f>
        <v>4256966.5199999996</v>
      </c>
      <c r="L9" s="100"/>
    </row>
    <row r="10" spans="1:12" x14ac:dyDescent="0.25">
      <c r="A10" s="608" t="s">
        <v>1136</v>
      </c>
      <c r="B10" s="415"/>
      <c r="C10" s="609">
        <f t="shared" ref="C10:H10" si="4">SUM(C11:C23)</f>
        <v>1881355008</v>
      </c>
      <c r="D10" s="609">
        <f t="shared" si="4"/>
        <v>1805907830.72</v>
      </c>
      <c r="E10" s="609">
        <f t="shared" si="4"/>
        <v>1794306549.3599997</v>
      </c>
      <c r="F10" s="609">
        <f t="shared" si="4"/>
        <v>116664258.89000002</v>
      </c>
      <c r="G10" s="609">
        <f t="shared" si="4"/>
        <v>1543195691.0200002</v>
      </c>
      <c r="H10" s="609">
        <f t="shared" si="4"/>
        <v>1643751398.2849998</v>
      </c>
      <c r="I10" s="609">
        <f t="shared" ref="I10:I15" si="5">G10-H10</f>
        <v>-100555707.26499963</v>
      </c>
      <c r="J10" s="609">
        <f t="shared" ref="J10:J15" si="6">IF(I10=0,"",I10/H10)</f>
        <v>-6.117452272278761E-2</v>
      </c>
      <c r="K10" s="609">
        <f>SUM(K11:K23)</f>
        <v>1794306549.3599997</v>
      </c>
      <c r="L10" s="100"/>
    </row>
    <row r="11" spans="1:12" x14ac:dyDescent="0.25">
      <c r="A11" s="696" t="s">
        <v>1137</v>
      </c>
      <c r="B11" s="415"/>
      <c r="C11" s="734">
        <v>380</v>
      </c>
      <c r="D11" s="734"/>
      <c r="E11" s="734"/>
      <c r="F11" s="734"/>
      <c r="G11" s="734"/>
      <c r="H11" s="734"/>
      <c r="I11" s="408">
        <f t="shared" si="5"/>
        <v>0</v>
      </c>
      <c r="J11" s="408" t="str">
        <f t="shared" si="6"/>
        <v/>
      </c>
      <c r="K11" s="736"/>
      <c r="L11" s="100"/>
    </row>
    <row r="12" spans="1:12" x14ac:dyDescent="0.25">
      <c r="A12" s="696" t="s">
        <v>1138</v>
      </c>
      <c r="B12" s="415"/>
      <c r="C12" s="734">
        <v>280027</v>
      </c>
      <c r="D12" s="734">
        <v>10640040.439999999</v>
      </c>
      <c r="E12" s="734">
        <v>365384.11999999918</v>
      </c>
      <c r="F12" s="734"/>
      <c r="G12" s="734">
        <v>1352942.81</v>
      </c>
      <c r="H12" s="734">
        <f t="shared" ref="H12:H13" si="7">E12/12*11</f>
        <v>334935.44333333254</v>
      </c>
      <c r="I12" s="408">
        <f t="shared" si="5"/>
        <v>1018007.3666666675</v>
      </c>
      <c r="J12" s="408">
        <f t="shared" si="6"/>
        <v>3.0394136748720619</v>
      </c>
      <c r="K12" s="736">
        <f>E12</f>
        <v>365384.11999999918</v>
      </c>
      <c r="L12" s="100"/>
    </row>
    <row r="13" spans="1:12" x14ac:dyDescent="0.25">
      <c r="A13" s="696" t="s">
        <v>1139</v>
      </c>
      <c r="B13" s="415"/>
      <c r="C13" s="734">
        <v>1834465983</v>
      </c>
      <c r="D13" s="734">
        <v>1762302546</v>
      </c>
      <c r="E13" s="734">
        <v>1772478202.9399998</v>
      </c>
      <c r="F13" s="734">
        <v>110349841.22000001</v>
      </c>
      <c r="G13" s="734">
        <v>1504651786.1700003</v>
      </c>
      <c r="H13" s="734">
        <f t="shared" si="7"/>
        <v>1624771686.0283332</v>
      </c>
      <c r="I13" s="408">
        <f t="shared" si="5"/>
        <v>-120119899.85833287</v>
      </c>
      <c r="J13" s="408">
        <f t="shared" si="6"/>
        <v>-7.3930325652067155E-2</v>
      </c>
      <c r="K13" s="736">
        <f>E13</f>
        <v>1772478202.9399998</v>
      </c>
      <c r="L13" s="100"/>
    </row>
    <row r="14" spans="1:12" x14ac:dyDescent="0.25">
      <c r="A14" s="696" t="s">
        <v>1140</v>
      </c>
      <c r="B14" s="415"/>
      <c r="C14" s="734"/>
      <c r="D14" s="734"/>
      <c r="E14" s="734"/>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1145724.4099999999</v>
      </c>
      <c r="G15" s="734">
        <v>6991218.2799999993</v>
      </c>
      <c r="H15" s="734">
        <f t="shared" ref="H15:H17" si="8">E15/12*11</f>
        <v>7875591.1849999996</v>
      </c>
      <c r="I15" s="408">
        <f t="shared" si="5"/>
        <v>-884372.90500000026</v>
      </c>
      <c r="J15" s="408">
        <f t="shared" si="6"/>
        <v>-0.1122928913177202</v>
      </c>
      <c r="K15" s="736">
        <f>E15</f>
        <v>8591554.0199999996</v>
      </c>
      <c r="L15" s="100"/>
    </row>
    <row r="16" spans="1:12" x14ac:dyDescent="0.25">
      <c r="A16" s="696" t="s">
        <v>168</v>
      </c>
      <c r="B16" s="415"/>
      <c r="C16" s="734">
        <v>11858</v>
      </c>
      <c r="D16" s="734">
        <v>1929.2</v>
      </c>
      <c r="E16" s="734">
        <v>1929.2</v>
      </c>
      <c r="F16" s="734"/>
      <c r="G16" s="734">
        <v>417.36000000000007</v>
      </c>
      <c r="H16" s="734">
        <f t="shared" si="8"/>
        <v>1768.4333333333334</v>
      </c>
      <c r="I16" s="408">
        <f t="shared" ref="I16:I23" si="9">G16-H16</f>
        <v>-1351.0733333333333</v>
      </c>
      <c r="J16" s="408">
        <f t="shared" ref="J16:J23" si="10">IF(I16=0,"",I16/H16)</f>
        <v>-0.76399449606996772</v>
      </c>
      <c r="K16" s="736">
        <f>E16</f>
        <v>1929.2</v>
      </c>
      <c r="L16" s="100"/>
    </row>
    <row r="17" spans="1:12" x14ac:dyDescent="0.25">
      <c r="A17" s="696" t="s">
        <v>1141</v>
      </c>
      <c r="B17" s="415"/>
      <c r="C17" s="734">
        <v>9395</v>
      </c>
      <c r="D17" s="734">
        <v>246034.48</v>
      </c>
      <c r="E17" s="734">
        <v>246034.48</v>
      </c>
      <c r="F17" s="734"/>
      <c r="G17" s="734">
        <v>113.4</v>
      </c>
      <c r="H17" s="734">
        <f t="shared" si="8"/>
        <v>225531.60666666666</v>
      </c>
      <c r="I17" s="408">
        <f t="shared" si="9"/>
        <v>-225418.20666666667</v>
      </c>
      <c r="J17" s="408">
        <f t="shared" si="10"/>
        <v>-0.99949718799206888</v>
      </c>
      <c r="K17" s="736">
        <f>E17</f>
        <v>246034.48</v>
      </c>
      <c r="L17" s="100"/>
    </row>
    <row r="18" spans="1:12" ht="22.5" x14ac:dyDescent="0.25">
      <c r="A18" s="696" t="s">
        <v>1142</v>
      </c>
      <c r="B18" s="415"/>
      <c r="C18" s="734"/>
      <c r="D18" s="734"/>
      <c r="E18" s="734"/>
      <c r="F18" s="734"/>
      <c r="G18" s="734"/>
      <c r="H18" s="734"/>
      <c r="I18" s="408">
        <f t="shared" si="9"/>
        <v>0</v>
      </c>
      <c r="J18" s="408" t="str">
        <f t="shared" si="10"/>
        <v/>
      </c>
      <c r="K18" s="736"/>
      <c r="L18" s="100"/>
    </row>
    <row r="19" spans="1:12" x14ac:dyDescent="0.25">
      <c r="A19" s="696" t="s">
        <v>169</v>
      </c>
      <c r="B19" s="415"/>
      <c r="C19" s="734">
        <v>21864521</v>
      </c>
      <c r="D19" s="734">
        <v>12355263.540000001</v>
      </c>
      <c r="E19" s="734">
        <v>12355263.540000001</v>
      </c>
      <c r="F19" s="734">
        <v>5168519.3400000008</v>
      </c>
      <c r="G19" s="734">
        <v>30011961.429999996</v>
      </c>
      <c r="H19" s="734">
        <f>E19/12*10</f>
        <v>10296052.950000001</v>
      </c>
      <c r="I19" s="408">
        <f t="shared" si="9"/>
        <v>19715908.479999997</v>
      </c>
      <c r="J19" s="408">
        <f t="shared" si="10"/>
        <v>1.9148996781334535</v>
      </c>
      <c r="K19" s="736">
        <f>E19</f>
        <v>12355263.540000001</v>
      </c>
      <c r="L19" s="100"/>
    </row>
    <row r="20" spans="1:12" x14ac:dyDescent="0.25">
      <c r="A20" s="696" t="s">
        <v>1143</v>
      </c>
      <c r="B20" s="415"/>
      <c r="C20" s="734"/>
      <c r="D20" s="734"/>
      <c r="E20" s="734"/>
      <c r="F20" s="734"/>
      <c r="G20" s="734"/>
      <c r="H20" s="734"/>
      <c r="I20" s="408">
        <f t="shared" si="9"/>
        <v>0</v>
      </c>
      <c r="J20" s="408" t="str">
        <f t="shared" si="10"/>
        <v/>
      </c>
      <c r="K20" s="736"/>
      <c r="L20" s="100"/>
    </row>
    <row r="21" spans="1:12" x14ac:dyDescent="0.25">
      <c r="A21" s="696" t="s">
        <v>1144</v>
      </c>
      <c r="B21" s="415"/>
      <c r="C21" s="734">
        <v>138</v>
      </c>
      <c r="D21" s="734"/>
      <c r="E21" s="734"/>
      <c r="F21" s="734"/>
      <c r="G21" s="734"/>
      <c r="H21" s="734"/>
      <c r="I21" s="408">
        <f t="shared" si="9"/>
        <v>0</v>
      </c>
      <c r="J21" s="408" t="str">
        <f t="shared" si="10"/>
        <v/>
      </c>
      <c r="K21" s="736"/>
      <c r="L21" s="100"/>
    </row>
    <row r="22" spans="1:12" x14ac:dyDescent="0.25">
      <c r="A22" s="696" t="s">
        <v>1145</v>
      </c>
      <c r="B22" s="415"/>
      <c r="C22" s="734">
        <v>236685</v>
      </c>
      <c r="D22" s="734">
        <v>268181.06000000006</v>
      </c>
      <c r="E22" s="734">
        <v>268181.06000000006</v>
      </c>
      <c r="F22" s="734">
        <v>173.92</v>
      </c>
      <c r="G22" s="734">
        <v>187251.57</v>
      </c>
      <c r="H22" s="734">
        <f>E22/12*11</f>
        <v>245832.63833333339</v>
      </c>
      <c r="I22" s="408">
        <f t="shared" si="9"/>
        <v>-58581.068333333387</v>
      </c>
      <c r="J22" s="408">
        <f t="shared" si="10"/>
        <v>-0.2382965448790457</v>
      </c>
      <c r="K22" s="736">
        <f>E22</f>
        <v>268181.06000000006</v>
      </c>
      <c r="L22" s="100"/>
    </row>
    <row r="23" spans="1:12" x14ac:dyDescent="0.25">
      <c r="A23" s="696" t="s">
        <v>1146</v>
      </c>
      <c r="B23" s="415"/>
      <c r="C23" s="734"/>
      <c r="D23" s="734"/>
      <c r="E23" s="734">
        <v>0</v>
      </c>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v>
      </c>
      <c r="G24" s="609">
        <f t="shared" si="11"/>
        <v>0</v>
      </c>
      <c r="H24" s="609">
        <f t="shared" si="11"/>
        <v>0</v>
      </c>
      <c r="I24" s="609">
        <f t="shared" si="2"/>
        <v>0</v>
      </c>
      <c r="J24" s="609" t="str">
        <f t="shared" si="3"/>
        <v/>
      </c>
      <c r="K24" s="611">
        <f>SUM(K25:K25)</f>
        <v>0</v>
      </c>
      <c r="L24" s="100"/>
    </row>
    <row r="25" spans="1:12" x14ac:dyDescent="0.25">
      <c r="A25" s="696" t="s">
        <v>1148</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189741250</v>
      </c>
      <c r="D26" s="606">
        <f t="shared" ref="D26:K26" si="12">D27+D49+D55+D64+D67</f>
        <v>109380497.92200559</v>
      </c>
      <c r="E26" s="606">
        <f t="shared" si="12"/>
        <v>353558391.57999998</v>
      </c>
      <c r="F26" s="606">
        <f t="shared" si="12"/>
        <v>5627967.329999988</v>
      </c>
      <c r="G26" s="606">
        <f t="shared" si="12"/>
        <v>122858259.19999936</v>
      </c>
      <c r="H26" s="606">
        <f t="shared" si="12"/>
        <v>324004442.2816667</v>
      </c>
      <c r="I26" s="606">
        <f t="shared" si="2"/>
        <v>-201146183.08166733</v>
      </c>
      <c r="J26" s="606">
        <f t="shared" si="3"/>
        <v>-0.62081304091134948</v>
      </c>
      <c r="K26" s="607">
        <f t="shared" si="12"/>
        <v>353459391.57999998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3580202.13</v>
      </c>
      <c r="G27" s="612">
        <f t="shared" si="13"/>
        <v>13591292.170000004</v>
      </c>
      <c r="H27" s="612">
        <f t="shared" si="13"/>
        <v>42076867.305</v>
      </c>
      <c r="I27" s="612">
        <f t="shared" si="2"/>
        <v>-28485575.134999998</v>
      </c>
      <c r="J27" s="612">
        <f t="shared" si="3"/>
        <v>-0.67698897183857254</v>
      </c>
      <c r="K27" s="612">
        <f>SUM(K28:K48)</f>
        <v>45902037.060000002</v>
      </c>
      <c r="L27" s="100"/>
    </row>
    <row r="28" spans="1:12" x14ac:dyDescent="0.25">
      <c r="A28" s="696" t="s">
        <v>171</v>
      </c>
      <c r="B28" s="415"/>
      <c r="C28" s="734"/>
      <c r="D28" s="734"/>
      <c r="E28" s="734"/>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187232.22999999998</v>
      </c>
      <c r="G31" s="734">
        <v>2567540.0099999998</v>
      </c>
      <c r="H31" s="734">
        <f>E31/12*11</f>
        <v>9696003.2033333313</v>
      </c>
      <c r="I31" s="408">
        <f t="shared" si="14"/>
        <v>-7128463.1933333315</v>
      </c>
      <c r="J31" s="408">
        <f t="shared" si="15"/>
        <v>-0.73519604354943691</v>
      </c>
      <c r="K31" s="736">
        <f>E31</f>
        <v>10577458.039999999</v>
      </c>
      <c r="L31" s="100"/>
    </row>
    <row r="32" spans="1:12" x14ac:dyDescent="0.25">
      <c r="A32" s="696" t="s">
        <v>1152</v>
      </c>
      <c r="B32" s="415"/>
      <c r="C32" s="734"/>
      <c r="D32" s="734"/>
      <c r="E32" s="734"/>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1555497.51</v>
      </c>
      <c r="G33" s="734">
        <v>6173545.3400000026</v>
      </c>
      <c r="H33" s="734">
        <f>E33/12*11</f>
        <v>7149242.8516666666</v>
      </c>
      <c r="I33" s="408">
        <f t="shared" si="14"/>
        <v>-975697.51166666392</v>
      </c>
      <c r="J33" s="408">
        <f t="shared" si="15"/>
        <v>-0.13647564251355715</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1837472.39</v>
      </c>
      <c r="G41" s="734">
        <v>4299438.1900000004</v>
      </c>
      <c r="H41" s="734">
        <f>E41/12*11</f>
        <v>24314824.416666668</v>
      </c>
      <c r="I41" s="408">
        <f t="shared" si="2"/>
        <v>-20015386.226666667</v>
      </c>
      <c r="J41" s="408">
        <f t="shared" si="3"/>
        <v>-0.82317626003283251</v>
      </c>
      <c r="K41" s="736">
        <f>E41</f>
        <v>26525263</v>
      </c>
      <c r="L41" s="100"/>
    </row>
    <row r="42" spans="1:12" x14ac:dyDescent="0.25">
      <c r="A42" s="696" t="s">
        <v>1160</v>
      </c>
      <c r="B42" s="415"/>
      <c r="C42" s="734"/>
      <c r="D42" s="734"/>
      <c r="E42" s="734"/>
      <c r="F42" s="734"/>
      <c r="G42" s="734"/>
      <c r="H42" s="734"/>
      <c r="I42" s="408">
        <f t="shared" si="2"/>
        <v>0</v>
      </c>
      <c r="J42" s="408" t="str">
        <f t="shared" si="3"/>
        <v/>
      </c>
      <c r="K42" s="736"/>
      <c r="L42" s="100"/>
    </row>
    <row r="43" spans="1:12" x14ac:dyDescent="0.25">
      <c r="A43" s="696" t="s">
        <v>1161</v>
      </c>
      <c r="B43" s="415"/>
      <c r="C43" s="734"/>
      <c r="D43" s="734"/>
      <c r="E43" s="734"/>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c r="G44" s="734">
        <v>550768.63</v>
      </c>
      <c r="H44" s="734">
        <f>E44/12*11</f>
        <v>916796.83333333337</v>
      </c>
      <c r="I44" s="408">
        <f t="shared" si="2"/>
        <v>-366028.20333333337</v>
      </c>
      <c r="J44" s="408">
        <f t="shared" si="3"/>
        <v>-0.39924680149964159</v>
      </c>
      <c r="K44" s="736">
        <f>E44</f>
        <v>1000142</v>
      </c>
      <c r="L44" s="100"/>
    </row>
    <row r="45" spans="1:12" x14ac:dyDescent="0.25">
      <c r="A45" s="696" t="s">
        <v>1163</v>
      </c>
      <c r="B45" s="415"/>
      <c r="C45" s="734">
        <v>25153</v>
      </c>
      <c r="D45" s="734"/>
      <c r="E45" s="734"/>
      <c r="F45" s="734"/>
      <c r="G45" s="734"/>
      <c r="H45" s="734"/>
      <c r="I45" s="408">
        <f t="shared" si="2"/>
        <v>0</v>
      </c>
      <c r="J45" s="408" t="str">
        <f t="shared" si="3"/>
        <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0</v>
      </c>
      <c r="G49" s="612">
        <f t="shared" si="18"/>
        <v>678651.36999999988</v>
      </c>
      <c r="H49" s="612">
        <f t="shared" si="18"/>
        <v>243078.93499999959</v>
      </c>
      <c r="I49" s="612">
        <f t="shared" ref="I49:I54" si="19">G49-H49</f>
        <v>435572.43500000029</v>
      </c>
      <c r="J49" s="612">
        <f t="shared" ref="J49:J54" si="20">IF(I49=0,"",I49/H49)</f>
        <v>1.7918970847885318</v>
      </c>
      <c r="K49" s="615">
        <f t="shared" si="18"/>
        <v>265177.01999999955</v>
      </c>
      <c r="L49" s="100"/>
    </row>
    <row r="50" spans="1:12" x14ac:dyDescent="0.25">
      <c r="A50" s="696" t="s">
        <v>1167</v>
      </c>
      <c r="B50" s="415"/>
      <c r="C50" s="734"/>
      <c r="D50" s="734"/>
      <c r="E50" s="734"/>
      <c r="F50" s="734"/>
      <c r="G50" s="734"/>
      <c r="H50" s="734"/>
      <c r="I50" s="408">
        <f t="shared" si="19"/>
        <v>0</v>
      </c>
      <c r="J50" s="408" t="str">
        <f t="shared" si="20"/>
        <v/>
      </c>
      <c r="K50" s="736"/>
      <c r="L50" s="100"/>
    </row>
    <row r="51" spans="1:12" x14ac:dyDescent="0.25">
      <c r="A51" s="696" t="s">
        <v>1168</v>
      </c>
      <c r="B51" s="415"/>
      <c r="C51" s="734"/>
      <c r="D51" s="734"/>
      <c r="E51" s="734"/>
      <c r="F51" s="734"/>
      <c r="G51" s="734"/>
      <c r="H51" s="734"/>
      <c r="I51" s="408">
        <f t="shared" si="19"/>
        <v>0</v>
      </c>
      <c r="J51" s="408" t="str">
        <f t="shared" si="20"/>
        <v/>
      </c>
      <c r="K51" s="736"/>
      <c r="L51" s="100"/>
    </row>
    <row r="52" spans="1:12" x14ac:dyDescent="0.25">
      <c r="A52" s="696" t="s">
        <v>1169</v>
      </c>
      <c r="B52" s="415"/>
      <c r="C52" s="734"/>
      <c r="D52" s="734"/>
      <c r="E52" s="734"/>
      <c r="F52" s="734"/>
      <c r="G52" s="734"/>
      <c r="H52" s="734"/>
      <c r="I52" s="408">
        <f t="shared" si="19"/>
        <v>0</v>
      </c>
      <c r="J52" s="408" t="str">
        <f t="shared" si="20"/>
        <v/>
      </c>
      <c r="K52" s="736"/>
      <c r="L52" s="100"/>
    </row>
    <row r="53" spans="1:12" x14ac:dyDescent="0.25">
      <c r="A53" s="696" t="s">
        <v>1170</v>
      </c>
      <c r="B53" s="415"/>
      <c r="C53" s="734">
        <v>10053818</v>
      </c>
      <c r="D53" s="734">
        <v>10383827.442005599</v>
      </c>
      <c r="E53" s="734">
        <v>265177.01999999955</v>
      </c>
      <c r="F53" s="734"/>
      <c r="G53" s="734">
        <v>678651.36999999988</v>
      </c>
      <c r="H53" s="734">
        <f>E53/12*11</f>
        <v>243078.93499999959</v>
      </c>
      <c r="I53" s="408">
        <f t="shared" si="19"/>
        <v>435572.43500000029</v>
      </c>
      <c r="J53" s="408">
        <f t="shared" si="20"/>
        <v>1.7918970847885318</v>
      </c>
      <c r="K53" s="736">
        <f>E53</f>
        <v>265177.01999999955</v>
      </c>
      <c r="L53" s="100"/>
    </row>
    <row r="54" spans="1:12" x14ac:dyDescent="0.25">
      <c r="A54" s="696" t="s">
        <v>1171</v>
      </c>
      <c r="B54" s="415"/>
      <c r="C54" s="734"/>
      <c r="D54" s="734"/>
      <c r="E54" s="734"/>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3705445.4200000004</v>
      </c>
      <c r="F55" s="612">
        <f t="shared" si="21"/>
        <v>195142.69999998808</v>
      </c>
      <c r="G55" s="612">
        <f t="shared" si="21"/>
        <v>19704469.029999353</v>
      </c>
      <c r="H55" s="612">
        <f t="shared" si="21"/>
        <v>3305908.3016666672</v>
      </c>
      <c r="I55" s="612">
        <f t="shared" si="2"/>
        <v>16398560.728332685</v>
      </c>
      <c r="J55" s="612">
        <f t="shared" si="3"/>
        <v>4.9603797903485054</v>
      </c>
      <c r="K55" s="615">
        <f t="shared" si="21"/>
        <v>3606445.4200000004</v>
      </c>
      <c r="L55" s="100"/>
    </row>
    <row r="56" spans="1:12" x14ac:dyDescent="0.25">
      <c r="A56" s="696" t="s">
        <v>173</v>
      </c>
      <c r="B56" s="415"/>
      <c r="C56" s="734">
        <v>5397</v>
      </c>
      <c r="D56" s="734"/>
      <c r="E56" s="734">
        <v>99000</v>
      </c>
      <c r="F56" s="734"/>
      <c r="G56" s="734"/>
      <c r="H56" s="734"/>
      <c r="I56" s="408">
        <f t="shared" si="2"/>
        <v>0</v>
      </c>
      <c r="J56" s="408" t="str">
        <f t="shared" si="3"/>
        <v/>
      </c>
      <c r="K56" s="736"/>
      <c r="L56" s="100"/>
    </row>
    <row r="57" spans="1:12" x14ac:dyDescent="0.25">
      <c r="A57" s="696" t="s">
        <v>1172</v>
      </c>
      <c r="B57" s="415"/>
      <c r="C57" s="734"/>
      <c r="D57" s="734"/>
      <c r="E57" s="734"/>
      <c r="F57" s="734"/>
      <c r="G57" s="734"/>
      <c r="H57" s="734"/>
      <c r="I57" s="408">
        <f t="shared" si="2"/>
        <v>0</v>
      </c>
      <c r="J57" s="408" t="str">
        <f t="shared" si="3"/>
        <v/>
      </c>
      <c r="K57" s="736"/>
      <c r="L57" s="100"/>
    </row>
    <row r="58" spans="1:12" x14ac:dyDescent="0.25">
      <c r="A58" s="696" t="s">
        <v>1173</v>
      </c>
      <c r="B58" s="415"/>
      <c r="C58" s="734"/>
      <c r="D58" s="734"/>
      <c r="E58" s="734"/>
      <c r="F58" s="734"/>
      <c r="G58" s="734"/>
      <c r="H58" s="734"/>
      <c r="I58" s="408">
        <f>G58-H58</f>
        <v>0</v>
      </c>
      <c r="J58" s="408" t="str">
        <f>IF(I58=0,"",I58/H58)</f>
        <v/>
      </c>
      <c r="K58" s="736"/>
      <c r="L58" s="100"/>
    </row>
    <row r="59" spans="1:12" x14ac:dyDescent="0.25">
      <c r="A59" s="696" t="s">
        <v>1174</v>
      </c>
      <c r="B59" s="415"/>
      <c r="C59" s="734"/>
      <c r="D59" s="734"/>
      <c r="E59" s="734"/>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4104.41</v>
      </c>
      <c r="G60" s="734">
        <v>198746.35999999996</v>
      </c>
      <c r="H60" s="734">
        <f>E60/12*11</f>
        <v>293218.87833333341</v>
      </c>
      <c r="I60" s="408">
        <f t="shared" si="2"/>
        <v>-94472.518333333457</v>
      </c>
      <c r="J60" s="408">
        <f t="shared" si="3"/>
        <v>-0.32219111835608483</v>
      </c>
      <c r="K60" s="736">
        <f>E60</f>
        <v>319875.14000000007</v>
      </c>
      <c r="L60" s="100"/>
    </row>
    <row r="61" spans="1:12" x14ac:dyDescent="0.25">
      <c r="A61" s="696" t="s">
        <v>1176</v>
      </c>
      <c r="B61" s="415"/>
      <c r="C61" s="734"/>
      <c r="D61" s="734"/>
      <c r="E61" s="734"/>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191038.28999998808</v>
      </c>
      <c r="G62" s="734">
        <v>19505722.669999354</v>
      </c>
      <c r="H62" s="734">
        <f>E62/12*11</f>
        <v>3012689.4233333338</v>
      </c>
      <c r="I62" s="408">
        <f>G62-H62</f>
        <v>16493033.24666602</v>
      </c>
      <c r="J62" s="408">
        <f>IF(I62=0,"",I62/H62)</f>
        <v>5.4745215749513312</v>
      </c>
      <c r="K62" s="736">
        <f>E62</f>
        <v>3286570.2800000003</v>
      </c>
      <c r="L62" s="100"/>
    </row>
    <row r="63" spans="1:12" x14ac:dyDescent="0.25">
      <c r="A63" s="696" t="s">
        <v>1195</v>
      </c>
      <c r="B63" s="415"/>
      <c r="C63" s="734"/>
      <c r="D63" s="734"/>
      <c r="E63" s="734"/>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1852622.5</v>
      </c>
      <c r="G64" s="612">
        <f t="shared" si="22"/>
        <v>88883846.63000001</v>
      </c>
      <c r="H64" s="612">
        <f t="shared" si="22"/>
        <v>278378587.74000001</v>
      </c>
      <c r="I64" s="612">
        <f>G64-H64</f>
        <v>-189494741.11000001</v>
      </c>
      <c r="J64" s="612">
        <f>IF(I64=0,"",I64/H64)</f>
        <v>-0.68070875223702287</v>
      </c>
      <c r="K64" s="615">
        <f>SUM(K65:K66)</f>
        <v>303685732.07999998</v>
      </c>
      <c r="L64" s="100"/>
    </row>
    <row r="65" spans="1:12" x14ac:dyDescent="0.25">
      <c r="A65" s="696" t="s">
        <v>720</v>
      </c>
      <c r="B65" s="415"/>
      <c r="C65" s="734">
        <v>126796992</v>
      </c>
      <c r="D65" s="734">
        <v>70502989</v>
      </c>
      <c r="E65" s="734">
        <v>303685732.07999998</v>
      </c>
      <c r="F65" s="734">
        <v>1852622.5</v>
      </c>
      <c r="G65" s="734">
        <v>88883846.63000001</v>
      </c>
      <c r="H65" s="734">
        <f>E65/12*11</f>
        <v>278378587.74000001</v>
      </c>
      <c r="I65" s="408">
        <f>G65-H65</f>
        <v>-189494741.11000001</v>
      </c>
      <c r="J65" s="408">
        <f>IF(I65=0,"",I65/H65)</f>
        <v>-0.68070875223702287</v>
      </c>
      <c r="K65" s="736">
        <f>E65</f>
        <v>303685732.07999998</v>
      </c>
      <c r="L65" s="100"/>
    </row>
    <row r="66" spans="1:12" x14ac:dyDescent="0.25">
      <c r="A66" s="696" t="s">
        <v>1177</v>
      </c>
      <c r="B66" s="415"/>
      <c r="C66" s="734"/>
      <c r="D66" s="734"/>
      <c r="E66" s="734"/>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31884410.330000002</v>
      </c>
      <c r="G75" s="606">
        <f t="shared" si="24"/>
        <v>188551967.08999997</v>
      </c>
      <c r="H75" s="606">
        <f t="shared" si="24"/>
        <v>333391186.27833331</v>
      </c>
      <c r="I75" s="606">
        <f t="shared" si="2"/>
        <v>-144839219.18833333</v>
      </c>
      <c r="J75" s="606">
        <f t="shared" si="3"/>
        <v>-0.43444225627312649</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8000</v>
      </c>
      <c r="G76" s="612">
        <f t="shared" si="25"/>
        <v>4755740.92</v>
      </c>
      <c r="H76" s="612">
        <f t="shared" si="25"/>
        <v>46741230.396666661</v>
      </c>
      <c r="I76" s="612">
        <f t="shared" si="2"/>
        <v>-41985489.476666659</v>
      </c>
      <c r="J76" s="612">
        <f t="shared" si="3"/>
        <v>-0.8982538354330708</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c r="G78" s="734"/>
      <c r="H78" s="734"/>
      <c r="I78" s="408">
        <f t="shared" si="2"/>
        <v>0</v>
      </c>
      <c r="J78" s="408" t="str">
        <f t="shared" si="3"/>
        <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c r="G81" s="734"/>
      <c r="H81" s="734"/>
      <c r="I81" s="408">
        <f>G81-H81</f>
        <v>0</v>
      </c>
      <c r="J81" s="408" t="str">
        <f>IF(I81=0,"",I81/H81)</f>
        <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8000</v>
      </c>
      <c r="G83" s="734">
        <v>4755740.92</v>
      </c>
      <c r="H83" s="734">
        <f>E83/12*11</f>
        <v>46741230.396666661</v>
      </c>
      <c r="I83" s="408">
        <f>G83-H83</f>
        <v>-41985489.476666659</v>
      </c>
      <c r="J83" s="408">
        <f>IF(I83=0,"",I83/H83)</f>
        <v>-0.8982538354330708</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31874210.330000002</v>
      </c>
      <c r="G87" s="612">
        <f t="shared" si="26"/>
        <v>183753076.16999999</v>
      </c>
      <c r="H87" s="612">
        <f t="shared" si="26"/>
        <v>286554914.25</v>
      </c>
      <c r="I87" s="612">
        <f t="shared" si="2"/>
        <v>-102801838.08000001</v>
      </c>
      <c r="J87" s="612">
        <f t="shared" si="3"/>
        <v>-0.35875091637867457</v>
      </c>
      <c r="K87" s="615">
        <f>SUM(K88:K91)</f>
        <v>312605361</v>
      </c>
      <c r="L87" s="100"/>
    </row>
    <row r="88" spans="1:12" x14ac:dyDescent="0.25">
      <c r="A88" s="696" t="s">
        <v>1196</v>
      </c>
      <c r="B88" s="417"/>
      <c r="C88" s="734">
        <v>199373912</v>
      </c>
      <c r="D88" s="734">
        <v>194665000</v>
      </c>
      <c r="E88" s="734">
        <v>198708500</v>
      </c>
      <c r="F88" s="734">
        <v>14608972.48</v>
      </c>
      <c r="G88" s="734">
        <v>94010068.319999993</v>
      </c>
      <c r="H88" s="734">
        <f>E88/12*11</f>
        <v>182149458.33333331</v>
      </c>
      <c r="I88" s="408">
        <f t="shared" si="2"/>
        <v>-88139390.013333321</v>
      </c>
      <c r="J88" s="408">
        <f t="shared" si="3"/>
        <v>-0.48388499652872058</v>
      </c>
      <c r="K88" s="736">
        <f>E88</f>
        <v>198708500</v>
      </c>
      <c r="L88" s="100"/>
    </row>
    <row r="89" spans="1:12" x14ac:dyDescent="0.25">
      <c r="A89" s="696" t="s">
        <v>1197</v>
      </c>
      <c r="B89" s="417"/>
      <c r="C89" s="734"/>
      <c r="D89" s="734"/>
      <c r="E89" s="734"/>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v>17265237.850000001</v>
      </c>
      <c r="G90" s="734">
        <v>89743007.849999994</v>
      </c>
      <c r="H90" s="734">
        <f>E90/12*11</f>
        <v>104405455.91666667</v>
      </c>
      <c r="I90" s="408">
        <f t="shared" si="2"/>
        <v>-14662448.066666678</v>
      </c>
      <c r="J90" s="408">
        <f t="shared" si="3"/>
        <v>-0.14043756562271811</v>
      </c>
      <c r="K90" s="736">
        <f>E90</f>
        <v>113896861</v>
      </c>
      <c r="L90" s="100"/>
    </row>
    <row r="91" spans="1:12" x14ac:dyDescent="0.25">
      <c r="A91" s="696" t="s">
        <v>1198</v>
      </c>
      <c r="B91" s="417"/>
      <c r="C91" s="734">
        <v>120913</v>
      </c>
      <c r="D91" s="734"/>
      <c r="E91" s="734"/>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2200</v>
      </c>
      <c r="G92" s="612">
        <f t="shared" si="27"/>
        <v>43150</v>
      </c>
      <c r="H92" s="612">
        <f t="shared" si="27"/>
        <v>95041.631666666653</v>
      </c>
      <c r="I92" s="612">
        <f t="shared" si="2"/>
        <v>-51891.631666666653</v>
      </c>
      <c r="J92" s="612">
        <f t="shared" si="3"/>
        <v>-0.54598843429648602</v>
      </c>
      <c r="K92" s="615">
        <f t="shared" si="27"/>
        <v>103681.78</v>
      </c>
      <c r="L92" s="100"/>
    </row>
    <row r="93" spans="1:12" x14ac:dyDescent="0.25">
      <c r="A93" s="696" t="s">
        <v>1199</v>
      </c>
      <c r="B93" s="417"/>
      <c r="C93" s="734"/>
      <c r="D93" s="734"/>
      <c r="E93" s="734"/>
      <c r="F93" s="734"/>
      <c r="G93" s="734"/>
      <c r="H93" s="734"/>
      <c r="I93" s="408">
        <f t="shared" si="2"/>
        <v>0</v>
      </c>
      <c r="J93" s="408" t="str">
        <f t="shared" si="3"/>
        <v/>
      </c>
      <c r="K93" s="736"/>
      <c r="L93" s="100"/>
    </row>
    <row r="94" spans="1:12" x14ac:dyDescent="0.25">
      <c r="A94" s="696" t="s">
        <v>1200</v>
      </c>
      <c r="B94" s="417"/>
      <c r="C94" s="734"/>
      <c r="D94" s="734"/>
      <c r="E94" s="734"/>
      <c r="F94" s="734"/>
      <c r="G94" s="734"/>
      <c r="H94" s="734"/>
      <c r="I94" s="408">
        <f t="shared" si="2"/>
        <v>0</v>
      </c>
      <c r="J94" s="408" t="str">
        <f t="shared" si="3"/>
        <v/>
      </c>
      <c r="K94" s="736"/>
      <c r="L94" s="100"/>
    </row>
    <row r="95" spans="1:12" x14ac:dyDescent="0.25">
      <c r="A95" s="696" t="s">
        <v>1201</v>
      </c>
      <c r="B95" s="417"/>
      <c r="C95" s="734"/>
      <c r="D95" s="734"/>
      <c r="E95" s="734"/>
      <c r="F95" s="734"/>
      <c r="G95" s="734"/>
      <c r="H95" s="734"/>
      <c r="I95" s="408">
        <f>G95-H95</f>
        <v>0</v>
      </c>
      <c r="J95" s="408" t="str">
        <f>IF(I95=0,"",I95/H95)</f>
        <v/>
      </c>
      <c r="K95" s="736"/>
      <c r="L95" s="100"/>
    </row>
    <row r="96" spans="1:12" x14ac:dyDescent="0.25">
      <c r="A96" s="696" t="s">
        <v>1202</v>
      </c>
      <c r="B96" s="417"/>
      <c r="C96" s="734"/>
      <c r="D96" s="734"/>
      <c r="E96" s="734"/>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2200</v>
      </c>
      <c r="G97" s="734">
        <v>43150</v>
      </c>
      <c r="H97" s="734">
        <f>E97/12*11</f>
        <v>95041.631666666653</v>
      </c>
      <c r="I97" s="408">
        <f t="shared" si="2"/>
        <v>-51891.631666666653</v>
      </c>
      <c r="J97" s="408">
        <f t="shared" si="3"/>
        <v>-0.54598843429648602</v>
      </c>
      <c r="K97" s="736">
        <f>E97</f>
        <v>103681.78</v>
      </c>
      <c r="L97" s="100"/>
    </row>
    <row r="98" spans="1:12" x14ac:dyDescent="0.25">
      <c r="A98" s="696" t="s">
        <v>1203</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256515751.11999997</v>
      </c>
      <c r="G99" s="606">
        <f t="shared" si="28"/>
        <v>3539590124.7400002</v>
      </c>
      <c r="H99" s="606">
        <f t="shared" si="28"/>
        <v>3692216006.3616662</v>
      </c>
      <c r="I99" s="606">
        <f t="shared" si="28"/>
        <v>-152625881.62166601</v>
      </c>
      <c r="J99" s="606">
        <f t="shared" si="3"/>
        <v>-4.1337202741847316E-2</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151800274.63</v>
      </c>
      <c r="G100" s="612">
        <f t="shared" si="29"/>
        <v>2194441562.6900001</v>
      </c>
      <c r="H100" s="612">
        <f t="shared" si="29"/>
        <v>2271036382.7249994</v>
      </c>
      <c r="I100" s="612">
        <f t="shared" si="2"/>
        <v>-76594820.034999371</v>
      </c>
      <c r="J100" s="612">
        <f t="shared" si="3"/>
        <v>-3.3726813281209446E-2</v>
      </c>
      <c r="K100" s="615">
        <f t="shared" si="29"/>
        <v>2477494235.6999993</v>
      </c>
      <c r="L100" s="100"/>
    </row>
    <row r="101" spans="1:12" x14ac:dyDescent="0.25">
      <c r="A101" s="696" t="s">
        <v>1205</v>
      </c>
      <c r="B101" s="417"/>
      <c r="C101" s="734">
        <v>2234877988</v>
      </c>
      <c r="D101" s="734">
        <v>2484432539.7090216</v>
      </c>
      <c r="E101" s="734">
        <v>2477494235.6999993</v>
      </c>
      <c r="F101" s="734">
        <v>151800274.63</v>
      </c>
      <c r="G101" s="734">
        <v>2194441562.6900001</v>
      </c>
      <c r="H101" s="734">
        <f>E101/12*11</f>
        <v>2271036382.7249994</v>
      </c>
      <c r="I101" s="408">
        <f t="shared" si="2"/>
        <v>-76594820.034999371</v>
      </c>
      <c r="J101" s="408">
        <f t="shared" si="3"/>
        <v>-3.3726813281209446E-2</v>
      </c>
      <c r="K101" s="736">
        <f>E101</f>
        <v>2477494235.6999993</v>
      </c>
      <c r="L101" s="100"/>
    </row>
    <row r="102" spans="1:12" x14ac:dyDescent="0.25">
      <c r="A102" s="696" t="s">
        <v>1206</v>
      </c>
      <c r="B102" s="417"/>
      <c r="C102" s="734">
        <v>594748</v>
      </c>
      <c r="D102" s="734"/>
      <c r="E102" s="734"/>
      <c r="F102" s="734"/>
      <c r="G102" s="734"/>
      <c r="H102" s="734"/>
      <c r="I102" s="408">
        <f>G102-H102</f>
        <v>0</v>
      </c>
      <c r="J102" s="408" t="str">
        <f>IF(I102=0,"",I102/H102)</f>
        <v/>
      </c>
      <c r="K102" s="736"/>
      <c r="L102" s="100"/>
    </row>
    <row r="103" spans="1:12" x14ac:dyDescent="0.25">
      <c r="A103" s="696" t="s">
        <v>1207</v>
      </c>
      <c r="B103" s="417"/>
      <c r="C103" s="734"/>
      <c r="D103" s="734"/>
      <c r="E103" s="734"/>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73947010.950000003</v>
      </c>
      <c r="G104" s="612">
        <f t="shared" si="30"/>
        <v>995125177.05000007</v>
      </c>
      <c r="H104" s="612">
        <f t="shared" si="30"/>
        <v>1059642627.8441668</v>
      </c>
      <c r="I104" s="612">
        <f t="shared" si="2"/>
        <v>-64517450.794166684</v>
      </c>
      <c r="J104" s="612">
        <f t="shared" si="3"/>
        <v>-6.0886046954742513E-2</v>
      </c>
      <c r="K104" s="615">
        <f t="shared" si="30"/>
        <v>1155973775.8300002</v>
      </c>
      <c r="L104" s="100"/>
    </row>
    <row r="105" spans="1:12" x14ac:dyDescent="0.25">
      <c r="A105" s="696" t="s">
        <v>1209</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73947010.950000003</v>
      </c>
      <c r="G106" s="734">
        <v>995125177.05000007</v>
      </c>
      <c r="H106" s="734">
        <f>E106/12*11</f>
        <v>1059642627.8441668</v>
      </c>
      <c r="I106" s="408">
        <f>G106-H106</f>
        <v>-64517450.794166684</v>
      </c>
      <c r="J106" s="408">
        <f>IF(I106=0,"",I106/H106)</f>
        <v>-6.0886046954742513E-2</v>
      </c>
      <c r="K106" s="736">
        <f>E106</f>
        <v>1155973775.8300002</v>
      </c>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20213387.809999999</v>
      </c>
      <c r="G108" s="612">
        <f t="shared" si="31"/>
        <v>219314232.91000003</v>
      </c>
      <c r="H108" s="612">
        <f t="shared" si="31"/>
        <v>204921585.75166664</v>
      </c>
      <c r="I108" s="612">
        <f t="shared" si="2"/>
        <v>14392647.158333391</v>
      </c>
      <c r="J108" s="612">
        <f t="shared" si="3"/>
        <v>7.0234900367085101E-2</v>
      </c>
      <c r="K108" s="615">
        <f t="shared" si="31"/>
        <v>223550820.81999996</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20213387.809999999</v>
      </c>
      <c r="G110" s="734">
        <v>219314232.91000003</v>
      </c>
      <c r="H110" s="734">
        <f>E110/12*11</f>
        <v>204921585.75166664</v>
      </c>
      <c r="I110" s="408">
        <f t="shared" si="2"/>
        <v>14392647.158333391</v>
      </c>
      <c r="J110" s="408">
        <f t="shared" si="3"/>
        <v>7.0234900367085101E-2</v>
      </c>
      <c r="K110" s="736">
        <f>E110</f>
        <v>223550820.81999996</v>
      </c>
      <c r="L110" s="100"/>
    </row>
    <row r="111" spans="1:12" x14ac:dyDescent="0.25">
      <c r="A111" s="696" t="s">
        <v>179</v>
      </c>
      <c r="B111" s="417"/>
      <c r="C111" s="734">
        <v>161</v>
      </c>
      <c r="D111" s="734"/>
      <c r="E111" s="734"/>
      <c r="F111" s="734"/>
      <c r="G111" s="734"/>
      <c r="H111" s="734"/>
      <c r="I111" s="408">
        <f>G111-H111</f>
        <v>0</v>
      </c>
      <c r="J111" s="408" t="str">
        <f>IF(I111=0,"",I111/H111)</f>
        <v/>
      </c>
      <c r="K111" s="736"/>
      <c r="L111" s="100"/>
    </row>
    <row r="112" spans="1:12" x14ac:dyDescent="0.25">
      <c r="A112" s="696" t="s">
        <v>1210</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10555077.729999999</v>
      </c>
      <c r="G113" s="612">
        <f t="shared" si="32"/>
        <v>130709152.08999999</v>
      </c>
      <c r="H113" s="612">
        <f t="shared" si="32"/>
        <v>156615410.04083332</v>
      </c>
      <c r="I113" s="612">
        <f t="shared" si="2"/>
        <v>-25906257.950833336</v>
      </c>
      <c r="J113" s="612">
        <f t="shared" si="3"/>
        <v>-0.16541321153569094</v>
      </c>
      <c r="K113" s="612">
        <f>SUM(K114:K117)</f>
        <v>170853174.58999997</v>
      </c>
      <c r="L113" s="100"/>
    </row>
    <row r="114" spans="1:12" x14ac:dyDescent="0.25">
      <c r="A114" s="696" t="s">
        <v>1211</v>
      </c>
      <c r="B114" s="417"/>
      <c r="C114" s="734"/>
      <c r="D114" s="734"/>
      <c r="E114" s="734"/>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1454308.1700000002</v>
      </c>
      <c r="G115" s="734">
        <v>22340604.439999998</v>
      </c>
      <c r="H115" s="734">
        <f t="shared" ref="H115:H116" si="33">E115/12*11</f>
        <v>40173163.451666661</v>
      </c>
      <c r="I115" s="408">
        <f>G115-H115</f>
        <v>-17832559.011666663</v>
      </c>
      <c r="J115" s="408">
        <f>IF(I115=0,"",I115/H115)</f>
        <v>-0.44389232710342719</v>
      </c>
      <c r="K115" s="736">
        <f>E115</f>
        <v>43825269.219999999</v>
      </c>
      <c r="L115" s="100"/>
    </row>
    <row r="116" spans="1:12" x14ac:dyDescent="0.25">
      <c r="A116" s="696" t="s">
        <v>1213</v>
      </c>
      <c r="B116" s="417"/>
      <c r="C116" s="734">
        <v>119534746</v>
      </c>
      <c r="D116" s="734">
        <v>127027860.05580001</v>
      </c>
      <c r="E116" s="734">
        <v>127027905.36999999</v>
      </c>
      <c r="F116" s="734">
        <v>9100769.5599999987</v>
      </c>
      <c r="G116" s="734">
        <v>108368547.64999999</v>
      </c>
      <c r="H116" s="734">
        <f t="shared" si="33"/>
        <v>116442246.58916666</v>
      </c>
      <c r="I116" s="408">
        <f t="shared" si="2"/>
        <v>-8073698.9391666651</v>
      </c>
      <c r="J116" s="408">
        <f t="shared" si="3"/>
        <v>-6.9336509520057737E-2</v>
      </c>
      <c r="K116" s="736">
        <f>E116</f>
        <v>127027905.36999999</v>
      </c>
      <c r="L116" s="100"/>
    </row>
    <row r="117" spans="1:12" x14ac:dyDescent="0.25">
      <c r="A117" s="696" t="s">
        <v>1214</v>
      </c>
      <c r="B117" s="417"/>
      <c r="C117" s="734"/>
      <c r="D117" s="734"/>
      <c r="E117" s="734"/>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2273098.5999999996</v>
      </c>
      <c r="G118" s="612">
        <f t="shared" si="34"/>
        <v>29308937.09</v>
      </c>
      <c r="H118" s="612">
        <f t="shared" si="34"/>
        <v>53993851.230000012</v>
      </c>
      <c r="I118" s="612">
        <f t="shared" si="2"/>
        <v>-24684914.140000012</v>
      </c>
      <c r="J118" s="612">
        <f t="shared" si="3"/>
        <v>-0.45718009694934675</v>
      </c>
      <c r="K118" s="615">
        <f t="shared" si="34"/>
        <v>58902383.160000011</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115780.99</v>
      </c>
      <c r="G120" s="734">
        <v>6161613.9099999992</v>
      </c>
      <c r="H120" s="734">
        <f t="shared" ref="H120:H123" si="35">E120/12*11</f>
        <v>8763789.1183333341</v>
      </c>
      <c r="I120" s="408">
        <f t="shared" si="2"/>
        <v>-2602175.2083333349</v>
      </c>
      <c r="J120" s="408">
        <f t="shared" si="3"/>
        <v>-0.29692353081496869</v>
      </c>
      <c r="K120" s="736">
        <f>E120</f>
        <v>9560497.2200000007</v>
      </c>
      <c r="L120" s="100"/>
    </row>
    <row r="121" spans="1:12" x14ac:dyDescent="0.25">
      <c r="A121" s="608" t="s">
        <v>1215</v>
      </c>
      <c r="B121" s="417"/>
      <c r="C121" s="734">
        <v>6918116</v>
      </c>
      <c r="D121" s="734">
        <v>7333202.96</v>
      </c>
      <c r="E121" s="734">
        <v>7333202.96</v>
      </c>
      <c r="F121" s="734">
        <v>800000</v>
      </c>
      <c r="G121" s="734">
        <v>4500000</v>
      </c>
      <c r="H121" s="734">
        <f t="shared" si="35"/>
        <v>6722102.7133333338</v>
      </c>
      <c r="I121" s="408">
        <f>G121-H121</f>
        <v>-2222102.7133333338</v>
      </c>
      <c r="J121" s="408">
        <f>IF(I121=0,"",I121/H121)</f>
        <v>-0.33056661108819102</v>
      </c>
      <c r="K121" s="736">
        <f>E121</f>
        <v>7333202.96</v>
      </c>
      <c r="L121" s="100"/>
    </row>
    <row r="122" spans="1:12" x14ac:dyDescent="0.25">
      <c r="A122" s="608" t="s">
        <v>1216</v>
      </c>
      <c r="B122" s="417"/>
      <c r="C122" s="734">
        <v>352870</v>
      </c>
      <c r="D122" s="734">
        <v>423052.36</v>
      </c>
      <c r="E122" s="734">
        <v>423052.36</v>
      </c>
      <c r="F122" s="734">
        <v>6470.44</v>
      </c>
      <c r="G122" s="734">
        <v>99916.23</v>
      </c>
      <c r="H122" s="734">
        <f t="shared" si="35"/>
        <v>387797.9966666667</v>
      </c>
      <c r="I122" s="408">
        <f t="shared" si="2"/>
        <v>-287881.76666666672</v>
      </c>
      <c r="J122" s="408">
        <f t="shared" si="3"/>
        <v>-0.74234980361210223</v>
      </c>
      <c r="K122" s="736">
        <f>E122</f>
        <v>423052.36</v>
      </c>
      <c r="L122" s="100"/>
    </row>
    <row r="123" spans="1:12" x14ac:dyDescent="0.25">
      <c r="A123" s="608" t="s">
        <v>448</v>
      </c>
      <c r="B123" s="415"/>
      <c r="C123" s="734">
        <v>12579768</v>
      </c>
      <c r="D123" s="734">
        <v>41585630.620000012</v>
      </c>
      <c r="E123" s="734">
        <v>41585630.620000012</v>
      </c>
      <c r="F123" s="734">
        <v>1350847.17</v>
      </c>
      <c r="G123" s="734">
        <v>18547406.949999999</v>
      </c>
      <c r="H123" s="734">
        <f t="shared" si="35"/>
        <v>38120161.401666678</v>
      </c>
      <c r="I123" s="408">
        <f t="shared" si="2"/>
        <v>-19572754.451666679</v>
      </c>
      <c r="J123" s="408">
        <f t="shared" si="3"/>
        <v>-0.51344888720253223</v>
      </c>
      <c r="K123" s="736">
        <f>E123</f>
        <v>41585630.620000012</v>
      </c>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6">C6+C26+C75+C99+C118</f>
        <v>6098249279</v>
      </c>
      <c r="D125" s="617">
        <f t="shared" si="36"/>
        <v>6351937471.4078579</v>
      </c>
      <c r="E125" s="617">
        <f t="shared" si="36"/>
        <v>6602595773.5</v>
      </c>
      <c r="F125" s="617">
        <f t="shared" si="36"/>
        <v>413923986.26999998</v>
      </c>
      <c r="G125" s="617">
        <f t="shared" si="36"/>
        <v>5427202479.1399994</v>
      </c>
      <c r="H125" s="617">
        <f t="shared" si="36"/>
        <v>6051259103.746666</v>
      </c>
      <c r="I125" s="617">
        <f>G125-H125</f>
        <v>-624056624.60666656</v>
      </c>
      <c r="J125" s="617">
        <f>IF(I125=0,"",I125/H125)</f>
        <v>-0.10312839260514872</v>
      </c>
      <c r="K125" s="618">
        <f>K6+K26+K75+K99+K118</f>
        <v>6602496773.5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1417089009.8287084</v>
      </c>
      <c r="E128" s="606">
        <f t="shared" si="38"/>
        <v>1363591242.0299995</v>
      </c>
      <c r="F128" s="606">
        <f t="shared" si="38"/>
        <v>-141610907.97999987</v>
      </c>
      <c r="G128" s="606">
        <f t="shared" si="38"/>
        <v>600872642.35000002</v>
      </c>
      <c r="H128" s="606">
        <f t="shared" si="38"/>
        <v>1249958638.5274999</v>
      </c>
      <c r="I128" s="606">
        <f t="shared" ref="I128:I244" si="39">G128-H128</f>
        <v>-649085996.17749989</v>
      </c>
      <c r="J128" s="606">
        <f t="shared" ref="J128:J244" si="40">IF(I128=0,"",I128/H128)</f>
        <v>-0.51928597968821477</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189360836.78000003</v>
      </c>
      <c r="E129" s="609">
        <v>181807088.15000004</v>
      </c>
      <c r="F129" s="609">
        <f t="shared" si="41"/>
        <v>8538496.6199999992</v>
      </c>
      <c r="G129" s="609">
        <f t="shared" si="41"/>
        <v>111870575.04999998</v>
      </c>
      <c r="H129" s="609">
        <f t="shared" si="41"/>
        <v>166656497.47083336</v>
      </c>
      <c r="I129" s="609">
        <f t="shared" si="39"/>
        <v>-54785922.420833379</v>
      </c>
      <c r="J129" s="609">
        <f t="shared" si="40"/>
        <v>-0.32873559238469829</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5543115.1899999995</v>
      </c>
      <c r="G130" s="734">
        <v>71560802.459999979</v>
      </c>
      <c r="H130" s="734">
        <f t="shared" ref="H130:H131" si="42">E130/12*11</f>
        <v>86128599.507500008</v>
      </c>
      <c r="I130" s="408">
        <f t="shared" si="39"/>
        <v>-14567797.047500029</v>
      </c>
      <c r="J130" s="408">
        <f t="shared" si="40"/>
        <v>-0.16914006649128757</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91403513.410000026</v>
      </c>
      <c r="E131" s="734">
        <v>87848615.960000023</v>
      </c>
      <c r="F131" s="734">
        <v>2995381.4299999992</v>
      </c>
      <c r="G131" s="734">
        <v>40309772.590000011</v>
      </c>
      <c r="H131" s="734">
        <f t="shared" si="42"/>
        <v>80527897.963333353</v>
      </c>
      <c r="I131" s="408">
        <f t="shared" si="39"/>
        <v>-40218125.373333342</v>
      </c>
      <c r="J131" s="408">
        <f t="shared" si="40"/>
        <v>-0.49943095983513441</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1213645200.0587084</v>
      </c>
      <c r="E132" s="609">
        <f t="shared" si="43"/>
        <v>1159737793.0099995</v>
      </c>
      <c r="F132" s="609">
        <f t="shared" si="43"/>
        <v>-151071316.30999988</v>
      </c>
      <c r="G132" s="609">
        <f t="shared" si="43"/>
        <v>476499805.05000007</v>
      </c>
      <c r="H132" s="609">
        <f t="shared" si="43"/>
        <v>1063092976.9258331</v>
      </c>
      <c r="I132" s="609">
        <f t="shared" si="39"/>
        <v>-586593171.87583303</v>
      </c>
      <c r="J132" s="609">
        <f t="shared" si="40"/>
        <v>-0.55177974514712347</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3938366.5399999996</v>
      </c>
      <c r="G133" s="734">
        <v>43425222.000000022</v>
      </c>
      <c r="H133" s="734">
        <f t="shared" ref="H133:H135" si="44">E133/12*11</f>
        <v>50325963.792499989</v>
      </c>
      <c r="I133" s="408">
        <f t="shared" si="39"/>
        <v>-6900741.7924999669</v>
      </c>
      <c r="J133" s="408">
        <f t="shared" si="40"/>
        <v>-0.1371209068335493</v>
      </c>
      <c r="K133" s="736">
        <f>E133</f>
        <v>54901051.409999982</v>
      </c>
      <c r="L133" s="100"/>
    </row>
    <row r="134" spans="1:12" x14ac:dyDescent="0.25">
      <c r="A134" s="696" t="str">
        <f t="shared" si="37"/>
        <v>Asset Management</v>
      </c>
      <c r="B134" s="415"/>
      <c r="C134" s="734">
        <v>108133005.81000002</v>
      </c>
      <c r="D134" s="734">
        <v>116359965.92725447</v>
      </c>
      <c r="E134" s="734">
        <v>114523026.37</v>
      </c>
      <c r="F134" s="734">
        <v>4787493.2300000014</v>
      </c>
      <c r="G134" s="734">
        <v>55579322.780000016</v>
      </c>
      <c r="H134" s="734">
        <f t="shared" si="44"/>
        <v>104979440.83916667</v>
      </c>
      <c r="I134" s="408">
        <f t="shared" si="39"/>
        <v>-49400118.059166655</v>
      </c>
      <c r="J134" s="408">
        <f t="shared" si="40"/>
        <v>-0.47056945306891002</v>
      </c>
      <c r="K134" s="736">
        <f>E134</f>
        <v>114523026.37</v>
      </c>
      <c r="L134" s="100"/>
    </row>
    <row r="135" spans="1:12" x14ac:dyDescent="0.25">
      <c r="A135" s="696" t="str">
        <f t="shared" si="37"/>
        <v>Finance</v>
      </c>
      <c r="B135" s="415"/>
      <c r="C135" s="734">
        <v>797933757.13</v>
      </c>
      <c r="D135" s="734">
        <v>522068793</v>
      </c>
      <c r="E135" s="734">
        <v>498498809.44999993</v>
      </c>
      <c r="F135" s="734">
        <v>-184183266.5099999</v>
      </c>
      <c r="G135" s="734">
        <v>12171470.320000002</v>
      </c>
      <c r="H135" s="734">
        <f t="shared" si="44"/>
        <v>456957241.99583322</v>
      </c>
      <c r="I135" s="408">
        <f t="shared" si="39"/>
        <v>-444785771.67583323</v>
      </c>
      <c r="J135" s="408">
        <f t="shared" si="40"/>
        <v>-0.97336409361445031</v>
      </c>
      <c r="K135" s="736">
        <f>E135</f>
        <v>498498809.44999993</v>
      </c>
      <c r="L135" s="100"/>
    </row>
    <row r="136" spans="1:12" x14ac:dyDescent="0.25">
      <c r="A136" s="696" t="str">
        <f t="shared" si="37"/>
        <v>Fleet Management</v>
      </c>
      <c r="B136" s="415"/>
      <c r="C136" s="734"/>
      <c r="D136" s="734"/>
      <c r="E136" s="734"/>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208925093</v>
      </c>
      <c r="E137" s="734">
        <v>204211215.34999985</v>
      </c>
      <c r="F137" s="734">
        <v>5318779.0199999996</v>
      </c>
      <c r="G137" s="734">
        <v>71757270.269999966</v>
      </c>
      <c r="H137" s="734">
        <f t="shared" ref="H137:H141" si="45">E137/12*11</f>
        <v>187193614.07083321</v>
      </c>
      <c r="I137" s="408">
        <f t="shared" si="39"/>
        <v>-115436343.80083324</v>
      </c>
      <c r="J137" s="408">
        <f t="shared" si="40"/>
        <v>-0.61666817200907642</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3190039.83</v>
      </c>
      <c r="G138" s="734">
        <v>33743903.270000003</v>
      </c>
      <c r="H138" s="734">
        <f t="shared" si="45"/>
        <v>31477752.084166676</v>
      </c>
      <c r="I138" s="408">
        <f t="shared" si="39"/>
        <v>2266151.1858333275</v>
      </c>
      <c r="J138" s="408">
        <f t="shared" si="40"/>
        <v>7.1992154324552374E-2</v>
      </c>
      <c r="K138" s="736">
        <f>E138</f>
        <v>34339365.910000011</v>
      </c>
      <c r="L138" s="100"/>
    </row>
    <row r="139" spans="1:12" x14ac:dyDescent="0.25">
      <c r="A139" s="696" t="str">
        <f t="shared" si="37"/>
        <v>Legal Services</v>
      </c>
      <c r="B139" s="415"/>
      <c r="C139" s="734">
        <v>10705121</v>
      </c>
      <c r="D139" s="734">
        <v>10073928.719999999</v>
      </c>
      <c r="E139" s="734">
        <v>13515157.719999993</v>
      </c>
      <c r="F139" s="734">
        <v>638244.51</v>
      </c>
      <c r="G139" s="734">
        <v>13343214.339999998</v>
      </c>
      <c r="H139" s="734">
        <f t="shared" si="45"/>
        <v>12388894.576666661</v>
      </c>
      <c r="I139" s="408">
        <f t="shared" si="39"/>
        <v>954319.76333333738</v>
      </c>
      <c r="J139" s="408">
        <f t="shared" si="40"/>
        <v>7.7030259433372744E-2</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1160834.5499999998</v>
      </c>
      <c r="G140" s="734">
        <v>14440284.390000002</v>
      </c>
      <c r="H140" s="734">
        <f t="shared" si="45"/>
        <v>7295319.4141666656</v>
      </c>
      <c r="I140" s="408">
        <f t="shared" si="39"/>
        <v>7144964.9758333368</v>
      </c>
      <c r="J140" s="408">
        <f t="shared" si="40"/>
        <v>0.97939028714200538</v>
      </c>
      <c r="K140" s="736">
        <f>E140</f>
        <v>7958530.2699999986</v>
      </c>
      <c r="L140" s="100"/>
    </row>
    <row r="141" spans="1:12" x14ac:dyDescent="0.25">
      <c r="A141" s="696" t="str">
        <f t="shared" si="37"/>
        <v>Property Services</v>
      </c>
      <c r="B141" s="415"/>
      <c r="C141" s="734">
        <v>58887380</v>
      </c>
      <c r="D141" s="734">
        <v>55766651.451453984</v>
      </c>
      <c r="E141" s="734">
        <v>53929921.32</v>
      </c>
      <c r="F141" s="734">
        <v>-6019379.629999998</v>
      </c>
      <c r="G141" s="734">
        <v>38762823.420000002</v>
      </c>
      <c r="H141" s="734">
        <f t="shared" si="45"/>
        <v>49435761.210000001</v>
      </c>
      <c r="I141" s="408">
        <f t="shared" si="39"/>
        <v>-10672937.789999999</v>
      </c>
      <c r="J141" s="408">
        <f t="shared" si="40"/>
        <v>-0.21589508341263386</v>
      </c>
      <c r="K141" s="736">
        <f>E141</f>
        <v>53929921.32</v>
      </c>
      <c r="L141" s="100"/>
    </row>
    <row r="142" spans="1:12" x14ac:dyDescent="0.25">
      <c r="A142" s="696" t="str">
        <f t="shared" si="37"/>
        <v>Risk Management</v>
      </c>
      <c r="B142" s="415"/>
      <c r="C142" s="734"/>
      <c r="D142" s="734"/>
      <c r="E142" s="734"/>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17671645.700000003</v>
      </c>
      <c r="G143" s="734">
        <v>144289689.53999999</v>
      </c>
      <c r="H143" s="734">
        <f t="shared" ref="H143:H144" si="46">E143/12*11</f>
        <v>104821568.83</v>
      </c>
      <c r="I143" s="408">
        <f t="shared" si="39"/>
        <v>39468120.709999993</v>
      </c>
      <c r="J143" s="408">
        <f t="shared" si="40"/>
        <v>0.37652671249377628</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2425926.4500000007</v>
      </c>
      <c r="G144" s="734">
        <v>48986604.720000014</v>
      </c>
      <c r="H144" s="734">
        <f t="shared" si="46"/>
        <v>58217420.112499997</v>
      </c>
      <c r="I144" s="408">
        <f t="shared" si="39"/>
        <v>-9230815.3924999833</v>
      </c>
      <c r="J144" s="408">
        <f t="shared" si="40"/>
        <v>-0.15855761685526862</v>
      </c>
      <c r="K144" s="736">
        <f>E144</f>
        <v>63509912.850000001</v>
      </c>
      <c r="L144" s="100"/>
    </row>
    <row r="145" spans="1:12" x14ac:dyDescent="0.25">
      <c r="A145" s="696" t="str">
        <f t="shared" si="37"/>
        <v>Valuation Service</v>
      </c>
      <c r="B145" s="415"/>
      <c r="C145" s="734"/>
      <c r="D145" s="734"/>
      <c r="E145" s="734"/>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921911.70999999985</v>
      </c>
      <c r="G146" s="609">
        <f t="shared" si="47"/>
        <v>12502262.250000004</v>
      </c>
      <c r="H146" s="609">
        <f t="shared" si="47"/>
        <v>20209164.130833331</v>
      </c>
      <c r="I146" s="609">
        <f t="shared" si="39"/>
        <v>-7706901.8808333278</v>
      </c>
      <c r="J146" s="609">
        <f t="shared" si="40"/>
        <v>-0.38135678600753348</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921911.70999999985</v>
      </c>
      <c r="G147" s="734">
        <v>12502262.250000004</v>
      </c>
      <c r="H147" s="734">
        <f>E147/12*11</f>
        <v>20209164.130833331</v>
      </c>
      <c r="I147" s="408">
        <f t="shared" si="39"/>
        <v>-7706901.8808333278</v>
      </c>
      <c r="J147" s="408">
        <f t="shared" si="40"/>
        <v>-0.38135678600753348</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520692886.04000002</v>
      </c>
      <c r="E148" s="606">
        <v>537217388.96000004</v>
      </c>
      <c r="F148" s="606">
        <f t="shared" si="48"/>
        <v>41806012.340000078</v>
      </c>
      <c r="G148" s="606">
        <f t="shared" si="48"/>
        <v>448474433.10999846</v>
      </c>
      <c r="H148" s="606">
        <f t="shared" si="48"/>
        <v>492449273.21333337</v>
      </c>
      <c r="I148" s="606">
        <f t="shared" si="39"/>
        <v>-43974840.103334904</v>
      </c>
      <c r="J148" s="606">
        <f t="shared" si="40"/>
        <v>-8.929821302484614E-2</v>
      </c>
      <c r="K148" s="607">
        <f>K149+K171+K177+K186+K189</f>
        <v>537217388.96000004</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10844433.659999998</v>
      </c>
      <c r="G149" s="612">
        <f t="shared" si="49"/>
        <v>104088355.20999999</v>
      </c>
      <c r="H149" s="612">
        <f t="shared" si="49"/>
        <v>105377064.90666665</v>
      </c>
      <c r="I149" s="612">
        <f t="shared" si="39"/>
        <v>-1288709.6966666579</v>
      </c>
      <c r="J149" s="612">
        <f t="shared" si="40"/>
        <v>-1.2229508364159496E-2</v>
      </c>
      <c r="K149" s="615">
        <f>SUM(K150:K170)</f>
        <v>114956798.07999998</v>
      </c>
      <c r="L149" s="100"/>
    </row>
    <row r="150" spans="1:12" x14ac:dyDescent="0.25">
      <c r="A150" s="696" t="str">
        <f t="shared" si="37"/>
        <v>Aged Care</v>
      </c>
      <c r="B150" s="621"/>
      <c r="C150" s="734">
        <v>4368270</v>
      </c>
      <c r="D150" s="734">
        <v>4717466.09</v>
      </c>
      <c r="E150" s="734">
        <v>4716629.0699999994</v>
      </c>
      <c r="F150" s="734">
        <v>91.39</v>
      </c>
      <c r="G150" s="734">
        <v>26520.58</v>
      </c>
      <c r="H150" s="734">
        <f>E150/12*11</f>
        <v>4323576.647499999</v>
      </c>
      <c r="I150" s="408">
        <f t="shared" si="39"/>
        <v>-4297056.067499999</v>
      </c>
      <c r="J150" s="408">
        <f t="shared" si="40"/>
        <v>-0.99386605531433447</v>
      </c>
      <c r="K150" s="736">
        <f>E150</f>
        <v>4716629.0699999994</v>
      </c>
      <c r="L150" s="100"/>
    </row>
    <row r="151" spans="1:12" x14ac:dyDescent="0.25">
      <c r="A151" s="696" t="str">
        <f t="shared" si="37"/>
        <v>Agricultural</v>
      </c>
      <c r="B151" s="621"/>
      <c r="C151" s="734"/>
      <c r="D151" s="734"/>
      <c r="E151" s="734"/>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v>223453.88</v>
      </c>
      <c r="G152" s="734">
        <v>1210322.42</v>
      </c>
      <c r="H152" s="734">
        <f>E152/12*11</f>
        <v>1213105.6666666665</v>
      </c>
      <c r="I152" s="408">
        <f t="shared" si="39"/>
        <v>-2783.246666666586</v>
      </c>
      <c r="J152" s="408">
        <f t="shared" si="40"/>
        <v>-2.2943151146217157E-3</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1973674.9800000004</v>
      </c>
      <c r="G153" s="734">
        <v>24089670.740000002</v>
      </c>
      <c r="H153" s="734">
        <f>E153/12*11</f>
        <v>21527947.869999997</v>
      </c>
      <c r="I153" s="408">
        <f t="shared" si="39"/>
        <v>2561722.8700000048</v>
      </c>
      <c r="J153" s="408">
        <f t="shared" si="40"/>
        <v>0.11899521893444669</v>
      </c>
      <c r="K153" s="736">
        <f>E153</f>
        <v>23485034.039999999</v>
      </c>
      <c r="L153" s="100"/>
    </row>
    <row r="154" spans="1:12" x14ac:dyDescent="0.25">
      <c r="A154" s="696" t="str">
        <f t="shared" si="37"/>
        <v>Child Care Facilities</v>
      </c>
      <c r="B154" s="621"/>
      <c r="C154" s="734"/>
      <c r="D154" s="734"/>
      <c r="E154" s="734"/>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1229399.9899999995</v>
      </c>
      <c r="G155" s="734">
        <v>15007180.140000001</v>
      </c>
      <c r="H155" s="734">
        <f>E155/12*11</f>
        <v>13409564.960000001</v>
      </c>
      <c r="I155" s="408">
        <f t="shared" si="39"/>
        <v>1597615.1799999997</v>
      </c>
      <c r="J155" s="408">
        <f t="shared" si="40"/>
        <v>0.11913997096591861</v>
      </c>
      <c r="K155" s="736">
        <f>E155</f>
        <v>14628616.32</v>
      </c>
      <c r="L155" s="100"/>
    </row>
    <row r="156" spans="1:12" x14ac:dyDescent="0.25">
      <c r="A156" s="696" t="str">
        <f t="shared" si="37"/>
        <v>Consumer Protection</v>
      </c>
      <c r="B156" s="621"/>
      <c r="C156" s="734"/>
      <c r="D156" s="734"/>
      <c r="E156" s="734"/>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c r="F158" s="734"/>
      <c r="G158" s="734"/>
      <c r="H158" s="734"/>
      <c r="I158" s="408">
        <f>G158-H158</f>
        <v>0</v>
      </c>
      <c r="J158" s="408" t="str">
        <f>IF(I158=0,"",I158/H158)</f>
        <v/>
      </c>
      <c r="K158" s="736"/>
      <c r="L158" s="100"/>
    </row>
    <row r="159" spans="1:12" x14ac:dyDescent="0.25">
      <c r="A159" s="696" t="str">
        <f t="shared" si="37"/>
        <v>Education</v>
      </c>
      <c r="B159" s="621"/>
      <c r="C159" s="734"/>
      <c r="D159" s="734"/>
      <c r="E159" s="734"/>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61567288.86999999</v>
      </c>
      <c r="F163" s="734">
        <v>6396965.3599999994</v>
      </c>
      <c r="G163" s="734">
        <v>52847872.25</v>
      </c>
      <c r="H163" s="734">
        <f>E163/12*11</f>
        <v>56436681.464166664</v>
      </c>
      <c r="I163" s="408">
        <f t="shared" si="50"/>
        <v>-3588809.2141666636</v>
      </c>
      <c r="J163" s="408">
        <f t="shared" si="51"/>
        <v>-6.3590011337667077E-2</v>
      </c>
      <c r="K163" s="736">
        <f>E163</f>
        <v>61567288.86999999</v>
      </c>
      <c r="L163" s="100"/>
    </row>
    <row r="164" spans="1:12" x14ac:dyDescent="0.25">
      <c r="A164" s="696" t="str">
        <f t="shared" si="52"/>
        <v>Literacy Programmes</v>
      </c>
      <c r="B164" s="621"/>
      <c r="C164" s="734"/>
      <c r="D164" s="734"/>
      <c r="E164" s="734"/>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7596650.6699999999</v>
      </c>
      <c r="F166" s="734">
        <v>519162.12</v>
      </c>
      <c r="G166" s="734">
        <v>6135274.6699999999</v>
      </c>
      <c r="H166" s="734">
        <f t="shared" ref="H166:H167" si="53">E166/12*11</f>
        <v>6963596.4475000007</v>
      </c>
      <c r="I166" s="408">
        <f t="shared" si="39"/>
        <v>-828321.77750000078</v>
      </c>
      <c r="J166" s="408">
        <f t="shared" si="40"/>
        <v>-0.11895028434586792</v>
      </c>
      <c r="K166" s="736">
        <f>E166</f>
        <v>7596650.6699999999</v>
      </c>
      <c r="L166" s="100"/>
    </row>
    <row r="167" spans="1:12" x14ac:dyDescent="0.25">
      <c r="A167" s="696" t="str">
        <f t="shared" si="52"/>
        <v>Population Development</v>
      </c>
      <c r="B167" s="621"/>
      <c r="C167" s="734">
        <v>1907175.54</v>
      </c>
      <c r="D167" s="734">
        <v>1980297.4200000004</v>
      </c>
      <c r="E167" s="734">
        <v>1639191.1100000003</v>
      </c>
      <c r="F167" s="734">
        <v>501148.62</v>
      </c>
      <c r="G167" s="734">
        <v>4765603.8900000025</v>
      </c>
      <c r="H167" s="734">
        <f t="shared" si="53"/>
        <v>1502591.8508333336</v>
      </c>
      <c r="I167" s="408">
        <f t="shared" si="39"/>
        <v>3263012.0391666689</v>
      </c>
      <c r="J167" s="408">
        <f t="shared" si="40"/>
        <v>2.1715890694848445</v>
      </c>
      <c r="K167" s="736">
        <f>E167</f>
        <v>1639191.1100000003</v>
      </c>
      <c r="L167" s="100"/>
    </row>
    <row r="168" spans="1:12" x14ac:dyDescent="0.25">
      <c r="A168" s="696" t="str">
        <f t="shared" si="52"/>
        <v>Provincial Cultural Matters</v>
      </c>
      <c r="B168" s="621"/>
      <c r="C168" s="734"/>
      <c r="D168" s="734"/>
      <c r="E168" s="734"/>
      <c r="F168" s="734"/>
      <c r="G168" s="734"/>
      <c r="H168" s="734"/>
      <c r="I168" s="408">
        <f t="shared" si="39"/>
        <v>0</v>
      </c>
      <c r="J168" s="408" t="str">
        <f t="shared" si="40"/>
        <v/>
      </c>
      <c r="K168" s="736"/>
      <c r="L168" s="100"/>
    </row>
    <row r="169" spans="1:12" x14ac:dyDescent="0.25">
      <c r="A169" s="696" t="str">
        <f t="shared" si="52"/>
        <v>Theatres</v>
      </c>
      <c r="B169" s="621"/>
      <c r="C169" s="734"/>
      <c r="D169" s="734"/>
      <c r="E169" s="734"/>
      <c r="F169" s="734">
        <v>537.32000000000005</v>
      </c>
      <c r="G169" s="734">
        <v>5910.52</v>
      </c>
      <c r="H169" s="734"/>
      <c r="I169" s="408">
        <f t="shared" si="39"/>
        <v>5910.52</v>
      </c>
      <c r="J169" s="408" t="e">
        <f t="shared" si="40"/>
        <v>#DIV/0!</v>
      </c>
      <c r="K169" s="736"/>
      <c r="L169" s="100"/>
    </row>
    <row r="170" spans="1:12" x14ac:dyDescent="0.25">
      <c r="A170" s="696" t="str">
        <f t="shared" si="52"/>
        <v>Zoo's</v>
      </c>
      <c r="B170" s="621"/>
      <c r="C170" s="734"/>
      <c r="D170" s="734"/>
      <c r="E170" s="734"/>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122689581.57000002</v>
      </c>
      <c r="F171" s="612">
        <f t="shared" si="54"/>
        <v>8720532.9100000001</v>
      </c>
      <c r="G171" s="612">
        <f t="shared" si="54"/>
        <v>111927477.53</v>
      </c>
      <c r="H171" s="612">
        <f t="shared" si="54"/>
        <v>112465449.77250001</v>
      </c>
      <c r="I171" s="612">
        <f t="shared" ref="I171:I176" si="55">G171-H171</f>
        <v>-537972.24250000715</v>
      </c>
      <c r="J171" s="612">
        <f t="shared" ref="J171:J176" si="56">IF(I171=0,"",I171/H171)</f>
        <v>-4.7834445475320713E-3</v>
      </c>
      <c r="K171" s="615">
        <f t="shared" si="54"/>
        <v>122689581.57000002</v>
      </c>
      <c r="L171" s="100"/>
    </row>
    <row r="172" spans="1:12" x14ac:dyDescent="0.25">
      <c r="A172" s="696" t="str">
        <f t="shared" si="52"/>
        <v xml:space="preserve">Beaches and Jetties </v>
      </c>
      <c r="B172" s="621"/>
      <c r="C172" s="734"/>
      <c r="D172" s="734"/>
      <c r="E172" s="734"/>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74482285.330000028</v>
      </c>
      <c r="F174" s="734">
        <v>2930665.65</v>
      </c>
      <c r="G174" s="734">
        <v>42620823.869999997</v>
      </c>
      <c r="H174" s="734">
        <f t="shared" ref="H174:H175" si="57">E174/12*11</f>
        <v>68275428.219166696</v>
      </c>
      <c r="I174" s="408">
        <f t="shared" si="55"/>
        <v>-25654604.349166699</v>
      </c>
      <c r="J174" s="408">
        <f t="shared" si="56"/>
        <v>-0.37575164328247718</v>
      </c>
      <c r="K174" s="736">
        <f>E174</f>
        <v>74482285.330000028</v>
      </c>
      <c r="L174" s="100"/>
    </row>
    <row r="175" spans="1:12" x14ac:dyDescent="0.25">
      <c r="A175" s="696" t="str">
        <f t="shared" si="52"/>
        <v>Recreational Facilities</v>
      </c>
      <c r="B175" s="621"/>
      <c r="C175" s="734">
        <v>53014934.75</v>
      </c>
      <c r="D175" s="734">
        <v>51424526.61999999</v>
      </c>
      <c r="E175" s="734">
        <v>48207296.239999987</v>
      </c>
      <c r="F175" s="734">
        <v>5789867.2599999998</v>
      </c>
      <c r="G175" s="734">
        <v>69306653.659999996</v>
      </c>
      <c r="H175" s="734">
        <f t="shared" si="57"/>
        <v>44190021.55333332</v>
      </c>
      <c r="I175" s="408">
        <f t="shared" si="55"/>
        <v>25116632.106666677</v>
      </c>
      <c r="J175" s="408">
        <f t="shared" si="56"/>
        <v>0.56837791030160956</v>
      </c>
      <c r="K175" s="736">
        <f>E175</f>
        <v>48207296.239999987</v>
      </c>
      <c r="L175" s="100"/>
    </row>
    <row r="176" spans="1:12" x14ac:dyDescent="0.25">
      <c r="A176" s="696" t="str">
        <f t="shared" si="52"/>
        <v>Sports Grounds and Stadiums</v>
      </c>
      <c r="B176" s="621"/>
      <c r="C176" s="734"/>
      <c r="D176" s="734"/>
      <c r="E176" s="734"/>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180293582.25999999</v>
      </c>
      <c r="E177" s="612">
        <f t="shared" si="58"/>
        <v>183547611.95000002</v>
      </c>
      <c r="F177" s="612">
        <f t="shared" si="58"/>
        <v>18498011.330000073</v>
      </c>
      <c r="G177" s="612">
        <f t="shared" si="58"/>
        <v>184493752.06999844</v>
      </c>
      <c r="H177" s="612">
        <f t="shared" si="58"/>
        <v>168251977.62083334</v>
      </c>
      <c r="I177" s="612">
        <f t="shared" si="39"/>
        <v>16241774.449165106</v>
      </c>
      <c r="J177" s="612">
        <f t="shared" si="40"/>
        <v>9.6532443058511858E-2</v>
      </c>
      <c r="K177" s="615">
        <f t="shared" si="58"/>
        <v>183547611.95000002</v>
      </c>
      <c r="L177" s="100"/>
    </row>
    <row r="178" spans="1:12" x14ac:dyDescent="0.25">
      <c r="A178" s="696" t="str">
        <f t="shared" si="52"/>
        <v>Civil Defence</v>
      </c>
      <c r="B178" s="621"/>
      <c r="C178" s="734">
        <v>1828973</v>
      </c>
      <c r="D178" s="734">
        <v>11267482.290000001</v>
      </c>
      <c r="E178" s="734">
        <v>15484913.91</v>
      </c>
      <c r="F178" s="734">
        <v>3243499.9699999997</v>
      </c>
      <c r="G178" s="734">
        <v>13755774.68</v>
      </c>
      <c r="H178" s="734">
        <f>E178/12*11</f>
        <v>14194504.417499999</v>
      </c>
      <c r="I178" s="408">
        <f t="shared" si="39"/>
        <v>-438729.73749999888</v>
      </c>
      <c r="J178" s="408">
        <f t="shared" si="40"/>
        <v>-3.0908422344009527E-2</v>
      </c>
      <c r="K178" s="736">
        <f>E178</f>
        <v>15484913.91</v>
      </c>
      <c r="L178" s="100"/>
    </row>
    <row r="179" spans="1:12" x14ac:dyDescent="0.25">
      <c r="A179" s="696" t="str">
        <f t="shared" si="52"/>
        <v>Cleansing</v>
      </c>
      <c r="B179" s="621"/>
      <c r="C179" s="734"/>
      <c r="D179" s="734"/>
      <c r="E179" s="734"/>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91350090.199999973</v>
      </c>
      <c r="F182" s="734">
        <v>7635204.4999999963</v>
      </c>
      <c r="G182" s="734">
        <v>90800807.999999955</v>
      </c>
      <c r="H182" s="734">
        <f>E182/12*11</f>
        <v>83737582.683333308</v>
      </c>
      <c r="I182" s="408">
        <f t="shared" si="39"/>
        <v>7063225.3166666478</v>
      </c>
      <c r="J182" s="408">
        <f t="shared" si="40"/>
        <v>8.4349524912575191E-2</v>
      </c>
      <c r="K182" s="736">
        <f>E182</f>
        <v>91350090.199999973</v>
      </c>
      <c r="L182" s="100"/>
    </row>
    <row r="183" spans="1:12" x14ac:dyDescent="0.25">
      <c r="A183" s="696" t="str">
        <f t="shared" si="52"/>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76712607.840000048</v>
      </c>
      <c r="F184" s="734">
        <v>7619306.8600000767</v>
      </c>
      <c r="G184" s="734">
        <v>79937169.38999851</v>
      </c>
      <c r="H184" s="734">
        <f>E184/12*11</f>
        <v>70319890.520000041</v>
      </c>
      <c r="I184" s="408">
        <f>G184-H184</f>
        <v>9617278.8699984699</v>
      </c>
      <c r="J184" s="408">
        <f>IF(I184=0,"",I184/H184)</f>
        <v>0.13676470197665014</v>
      </c>
      <c r="K184" s="736">
        <f>E184</f>
        <v>76712607.840000048</v>
      </c>
      <c r="L184" s="100"/>
    </row>
    <row r="185" spans="1:12" x14ac:dyDescent="0.25">
      <c r="A185" s="696" t="str">
        <f t="shared" si="52"/>
        <v>Pounds</v>
      </c>
      <c r="B185" s="621"/>
      <c r="C185" s="734"/>
      <c r="D185" s="734"/>
      <c r="E185" s="734"/>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115817824.73</v>
      </c>
      <c r="F186" s="612">
        <f t="shared" si="59"/>
        <v>3326899.1200000015</v>
      </c>
      <c r="G186" s="612">
        <f t="shared" si="59"/>
        <v>42932614.299999997</v>
      </c>
      <c r="H186" s="612">
        <f t="shared" si="59"/>
        <v>106166339.33583334</v>
      </c>
      <c r="I186" s="612">
        <f>G186-H186</f>
        <v>-63233725.035833344</v>
      </c>
      <c r="J186" s="612">
        <f>IF(I186=0,"",I186/H186)</f>
        <v>-0.59560992148187075</v>
      </c>
      <c r="K186" s="612">
        <f>SUM(K187:K188)</f>
        <v>115817824.73</v>
      </c>
      <c r="L186" s="100"/>
    </row>
    <row r="187" spans="1:12" x14ac:dyDescent="0.25">
      <c r="A187" s="696" t="str">
        <f t="shared" si="52"/>
        <v>Housing</v>
      </c>
      <c r="B187" s="621"/>
      <c r="C187" s="734">
        <v>120625836</v>
      </c>
      <c r="D187" s="734">
        <v>98864970.179999977</v>
      </c>
      <c r="E187" s="734">
        <v>115817824.73</v>
      </c>
      <c r="F187" s="734">
        <v>3326899.1200000015</v>
      </c>
      <c r="G187" s="734">
        <v>42932614.299999997</v>
      </c>
      <c r="H187" s="734">
        <f>E187/12*11</f>
        <v>106166339.33583334</v>
      </c>
      <c r="I187" s="408">
        <f>G187-H187</f>
        <v>-63233725.035833344</v>
      </c>
      <c r="J187" s="408">
        <f>IF(I187=0,"",I187/H187)</f>
        <v>-0.59560992148187075</v>
      </c>
      <c r="K187" s="736">
        <f>E187</f>
        <v>115817824.73</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205572.62999999998</v>
      </c>
      <c r="F189" s="612">
        <f t="shared" si="60"/>
        <v>416135.32000000007</v>
      </c>
      <c r="G189" s="612">
        <f t="shared" si="60"/>
        <v>5032234</v>
      </c>
      <c r="H189" s="612">
        <f t="shared" si="60"/>
        <v>188441.57749999998</v>
      </c>
      <c r="I189" s="612">
        <f t="shared" si="39"/>
        <v>4843792.4225000003</v>
      </c>
      <c r="J189" s="612">
        <f t="shared" si="40"/>
        <v>25.704478208902707</v>
      </c>
      <c r="K189" s="615">
        <f t="shared" si="60"/>
        <v>205572.62999999998</v>
      </c>
      <c r="L189" s="100"/>
    </row>
    <row r="190" spans="1:12" x14ac:dyDescent="0.25">
      <c r="A190" s="696" t="str">
        <f t="shared" si="52"/>
        <v>Ambulance</v>
      </c>
      <c r="B190" s="621"/>
      <c r="C190" s="734"/>
      <c r="D190" s="734"/>
      <c r="E190" s="734"/>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205572.62999999998</v>
      </c>
      <c r="F191" s="734">
        <v>416135.32000000007</v>
      </c>
      <c r="G191" s="734">
        <v>5032234</v>
      </c>
      <c r="H191" s="734">
        <f>E191/12*11</f>
        <v>188441.57749999998</v>
      </c>
      <c r="I191" s="408">
        <f t="shared" si="39"/>
        <v>4843792.4225000003</v>
      </c>
      <c r="J191" s="408">
        <f t="shared" si="40"/>
        <v>25.704478208902707</v>
      </c>
      <c r="K191" s="736">
        <f>E191</f>
        <v>205572.62999999998</v>
      </c>
      <c r="L191" s="100"/>
    </row>
    <row r="192" spans="1:12" x14ac:dyDescent="0.25">
      <c r="A192" s="696" t="str">
        <f t="shared" ref="A192:A223" si="61">A70</f>
        <v>Laboratory Services</v>
      </c>
      <c r="B192" s="621"/>
      <c r="C192" s="734"/>
      <c r="D192" s="734"/>
      <c r="E192" s="734"/>
      <c r="F192" s="734"/>
      <c r="G192" s="734"/>
      <c r="H192" s="734"/>
      <c r="I192" s="408">
        <f t="shared" si="39"/>
        <v>0</v>
      </c>
      <c r="J192" s="408" t="str">
        <f t="shared" si="40"/>
        <v/>
      </c>
      <c r="K192" s="736"/>
      <c r="L192" s="100"/>
    </row>
    <row r="193" spans="1:12" x14ac:dyDescent="0.25">
      <c r="A193" s="696" t="str">
        <f t="shared" si="6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246245191.74999994</v>
      </c>
      <c r="F197" s="606">
        <f t="shared" si="62"/>
        <v>26338441.630000003</v>
      </c>
      <c r="G197" s="606">
        <f t="shared" si="62"/>
        <v>311925073.70000011</v>
      </c>
      <c r="H197" s="606">
        <f t="shared" si="62"/>
        <v>225724759.10416663</v>
      </c>
      <c r="I197" s="606">
        <f t="shared" si="39"/>
        <v>86200314.59583348</v>
      </c>
      <c r="J197" s="606">
        <f t="shared" si="40"/>
        <v>0.38188240819454849</v>
      </c>
      <c r="K197" s="607">
        <f>K198+K209+K214</f>
        <v>246245191.74999994</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83300729.209999964</v>
      </c>
      <c r="F198" s="612">
        <f t="shared" si="63"/>
        <v>4895166.42</v>
      </c>
      <c r="G198" s="612">
        <f t="shared" si="63"/>
        <v>62690563.619999975</v>
      </c>
      <c r="H198" s="612">
        <f t="shared" si="63"/>
        <v>76359001.775833309</v>
      </c>
      <c r="I198" s="612">
        <f t="shared" si="39"/>
        <v>-13668438.155833334</v>
      </c>
      <c r="J198" s="612">
        <f t="shared" si="40"/>
        <v>-0.17900231587573251</v>
      </c>
      <c r="K198" s="615">
        <f t="shared" si="63"/>
        <v>83300729.209999964</v>
      </c>
      <c r="L198" s="100"/>
    </row>
    <row r="199" spans="1:12" x14ac:dyDescent="0.25">
      <c r="A199" s="696" t="str">
        <f t="shared" si="61"/>
        <v>Billboards</v>
      </c>
      <c r="B199" s="621"/>
      <c r="C199" s="734"/>
      <c r="D199" s="734"/>
      <c r="E199" s="734"/>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6127315.6299999999</v>
      </c>
      <c r="F200" s="734">
        <v>397998.36</v>
      </c>
      <c r="G200" s="734">
        <v>5091636.169999999</v>
      </c>
      <c r="H200" s="734">
        <f>E200/12*11</f>
        <v>5616705.9941666666</v>
      </c>
      <c r="I200" s="408">
        <f t="shared" si="39"/>
        <v>-525069.82416666765</v>
      </c>
      <c r="J200" s="408">
        <f t="shared" si="40"/>
        <v>-9.3483587125975362E-2</v>
      </c>
      <c r="K200" s="736">
        <f>E200</f>
        <v>6127315.6299999999</v>
      </c>
      <c r="L200" s="100"/>
    </row>
    <row r="201" spans="1:12" x14ac:dyDescent="0.25">
      <c r="A201" s="696" t="str">
        <f t="shared" si="61"/>
        <v>Central City Improvement District</v>
      </c>
      <c r="B201" s="621"/>
      <c r="C201" s="734"/>
      <c r="D201" s="734"/>
      <c r="E201" s="734"/>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16307827.890000001</v>
      </c>
      <c r="F203" s="734">
        <v>1182645.23</v>
      </c>
      <c r="G203" s="734">
        <v>12863286.43</v>
      </c>
      <c r="H203" s="734">
        <f>E203/12*11</f>
        <v>14948842.2325</v>
      </c>
      <c r="I203" s="408">
        <f>G203-H203</f>
        <v>-2085555.8025000002</v>
      </c>
      <c r="J203" s="408">
        <f>IF(I203=0,"",I203/H203)</f>
        <v>-0.13951286461274118</v>
      </c>
      <c r="K203" s="736">
        <f>E203</f>
        <v>16307827.890000001</v>
      </c>
      <c r="L203" s="100"/>
    </row>
    <row r="204" spans="1:12" x14ac:dyDescent="0.25">
      <c r="A204" s="696" t="str">
        <f t="shared" si="61"/>
        <v>Regional Planning and Development</v>
      </c>
      <c r="B204" s="621"/>
      <c r="C204" s="734"/>
      <c r="D204" s="734"/>
      <c r="E204" s="734"/>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60865585.68999996</v>
      </c>
      <c r="F205" s="734">
        <v>3314522.8299999996</v>
      </c>
      <c r="G205" s="734">
        <v>44735641.019999973</v>
      </c>
      <c r="H205" s="734">
        <f>E205/12*11</f>
        <v>55793453.549166635</v>
      </c>
      <c r="I205" s="408">
        <f>G205-H205</f>
        <v>-11057812.529166661</v>
      </c>
      <c r="J205" s="408">
        <f>IF(I205=0,"",I205/H205)</f>
        <v>-0.19819193517788303</v>
      </c>
      <c r="K205" s="736">
        <f>E205</f>
        <v>60865585.68999996</v>
      </c>
      <c r="L205" s="100"/>
    </row>
    <row r="206" spans="1:12" x14ac:dyDescent="0.25">
      <c r="A206" s="696" t="str">
        <f t="shared" si="6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145687800.29999995</v>
      </c>
      <c r="F209" s="612">
        <f t="shared" si="64"/>
        <v>19720120.890000001</v>
      </c>
      <c r="G209" s="612">
        <f t="shared" si="64"/>
        <v>230674267.67000014</v>
      </c>
      <c r="H209" s="612">
        <f t="shared" si="64"/>
        <v>133547150.27499996</v>
      </c>
      <c r="I209" s="612">
        <f t="shared" si="39"/>
        <v>97127117.395000175</v>
      </c>
      <c r="J209" s="612">
        <f t="shared" si="40"/>
        <v>0.72728708321365343</v>
      </c>
      <c r="K209" s="615">
        <f>SUM(K210:K213)</f>
        <v>145687800.29999995</v>
      </c>
      <c r="L209" s="100"/>
    </row>
    <row r="210" spans="1:12" x14ac:dyDescent="0.25">
      <c r="A210" s="696" t="str">
        <f t="shared" si="61"/>
        <v>Public Transport</v>
      </c>
      <c r="B210" s="621"/>
      <c r="C210" s="734">
        <v>5924719.6900000004</v>
      </c>
      <c r="D210" s="734">
        <v>10010366.51</v>
      </c>
      <c r="E210" s="734">
        <v>10018474.700000001</v>
      </c>
      <c r="F210" s="734">
        <v>436755.03999999992</v>
      </c>
      <c r="G210" s="734">
        <v>6569809.6199999992</v>
      </c>
      <c r="H210" s="734">
        <f>E210/12*11</f>
        <v>9183601.8083333336</v>
      </c>
      <c r="I210" s="408">
        <f t="shared" si="39"/>
        <v>-2613792.1883333344</v>
      </c>
      <c r="J210" s="408">
        <f t="shared" si="40"/>
        <v>-0.28461514805242771</v>
      </c>
      <c r="K210" s="736">
        <f>E210</f>
        <v>10018474.700000001</v>
      </c>
      <c r="L210" s="100"/>
    </row>
    <row r="211" spans="1:12" x14ac:dyDescent="0.25">
      <c r="A211" s="696" t="str">
        <f t="shared" si="6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131200448.76999995</v>
      </c>
      <c r="F212" s="734">
        <v>19066571.23</v>
      </c>
      <c r="G212" s="734">
        <v>221744648.24000013</v>
      </c>
      <c r="H212" s="734">
        <f t="shared" ref="H212:H213" si="65">E212/12*11</f>
        <v>120267078.03916663</v>
      </c>
      <c r="I212" s="408">
        <f t="shared" si="39"/>
        <v>101477570.2008335</v>
      </c>
      <c r="J212" s="408">
        <f t="shared" si="40"/>
        <v>0.84376848473682819</v>
      </c>
      <c r="K212" s="736">
        <f>E212</f>
        <v>131200448.76999995</v>
      </c>
      <c r="L212" s="100"/>
    </row>
    <row r="213" spans="1:12" x14ac:dyDescent="0.25">
      <c r="A213" s="696" t="str">
        <f t="shared" si="61"/>
        <v>Taxi Ranks</v>
      </c>
      <c r="B213" s="621"/>
      <c r="C213" s="734">
        <v>5758341.3100000005</v>
      </c>
      <c r="D213" s="734">
        <v>4056467.8300000005</v>
      </c>
      <c r="E213" s="734">
        <v>4468876.830000001</v>
      </c>
      <c r="F213" s="734">
        <v>216794.62</v>
      </c>
      <c r="G213" s="734">
        <v>2359809.81</v>
      </c>
      <c r="H213" s="734">
        <f t="shared" si="65"/>
        <v>4096470.4275000012</v>
      </c>
      <c r="I213" s="408">
        <f t="shared" si="39"/>
        <v>-1736660.6175000011</v>
      </c>
      <c r="J213" s="408">
        <f t="shared" si="40"/>
        <v>-0.42394071878113188</v>
      </c>
      <c r="K213" s="736">
        <f>E213</f>
        <v>4468876.830000001</v>
      </c>
      <c r="L213" s="100"/>
    </row>
    <row r="214" spans="1:12" x14ac:dyDescent="0.25">
      <c r="A214" s="608" t="str">
        <f t="shared" si="61"/>
        <v>Environmental protection</v>
      </c>
      <c r="B214" s="621"/>
      <c r="C214" s="612">
        <f t="shared" ref="C214:K214" si="66">SUM(C215:C220)</f>
        <v>16833333</v>
      </c>
      <c r="D214" s="612">
        <f t="shared" si="66"/>
        <v>18206432.420000002</v>
      </c>
      <c r="E214" s="612">
        <f t="shared" si="66"/>
        <v>17256662.239999998</v>
      </c>
      <c r="F214" s="612">
        <f t="shared" si="66"/>
        <v>1723154.32</v>
      </c>
      <c r="G214" s="612">
        <f t="shared" si="66"/>
        <v>18560242.41</v>
      </c>
      <c r="H214" s="612">
        <f t="shared" si="66"/>
        <v>15818607.053333331</v>
      </c>
      <c r="I214" s="612">
        <f t="shared" si="39"/>
        <v>2741635.3566666692</v>
      </c>
      <c r="J214" s="612">
        <f t="shared" si="40"/>
        <v>0.1733171161925377</v>
      </c>
      <c r="K214" s="615">
        <f t="shared" si="66"/>
        <v>17256662.239999998</v>
      </c>
      <c r="L214" s="100"/>
    </row>
    <row r="215" spans="1:12" x14ac:dyDescent="0.25">
      <c r="A215" s="696" t="str">
        <f t="shared" si="61"/>
        <v>Biodiversity and Landscape</v>
      </c>
      <c r="B215" s="621"/>
      <c r="C215" s="734"/>
      <c r="D215" s="734"/>
      <c r="E215" s="734"/>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3708427.8</v>
      </c>
      <c r="F218" s="734">
        <v>282947.96999999997</v>
      </c>
      <c r="G218" s="734">
        <v>4600510.3600000013</v>
      </c>
      <c r="H218" s="734">
        <f t="shared" ref="H218:H219" si="67">E218/12*11</f>
        <v>3399392.1499999994</v>
      </c>
      <c r="I218" s="408">
        <f>G218-H218</f>
        <v>1201118.2100000018</v>
      </c>
      <c r="J218" s="408">
        <f>IF(I218=0,"",I218/H218)</f>
        <v>0.35333323047180715</v>
      </c>
      <c r="K218" s="736">
        <f>E218</f>
        <v>3708427.8</v>
      </c>
      <c r="L218" s="100"/>
    </row>
    <row r="219" spans="1:12" x14ac:dyDescent="0.25">
      <c r="A219" s="696" t="str">
        <f t="shared" si="61"/>
        <v>Pollution Control</v>
      </c>
      <c r="B219" s="621"/>
      <c r="C219" s="734">
        <v>12993402</v>
      </c>
      <c r="D219" s="734">
        <v>14102055.100000001</v>
      </c>
      <c r="E219" s="734">
        <v>13548234.439999999</v>
      </c>
      <c r="F219" s="734">
        <v>1440206.35</v>
      </c>
      <c r="G219" s="734">
        <v>13959732.049999999</v>
      </c>
      <c r="H219" s="734">
        <f t="shared" si="67"/>
        <v>12419214.903333332</v>
      </c>
      <c r="I219" s="408">
        <f>G219-H219</f>
        <v>1540517.1466666665</v>
      </c>
      <c r="J219" s="408">
        <f>IF(I219=0,"",I219/H219)</f>
        <v>0.12404303803883689</v>
      </c>
      <c r="K219" s="736">
        <f>E219</f>
        <v>13548234.439999999</v>
      </c>
      <c r="L219" s="100"/>
    </row>
    <row r="220" spans="1:12" x14ac:dyDescent="0.25">
      <c r="A220" s="696" t="str">
        <f t="shared" si="61"/>
        <v>Soil Conservation</v>
      </c>
      <c r="B220" s="621"/>
      <c r="C220" s="734"/>
      <c r="D220" s="734"/>
      <c r="E220" s="734"/>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3324833832.5200005</v>
      </c>
      <c r="F221" s="606">
        <f t="shared" si="68"/>
        <v>-496919439.20999998</v>
      </c>
      <c r="G221" s="606">
        <f t="shared" si="68"/>
        <v>2364553291.0100017</v>
      </c>
      <c r="H221" s="606">
        <f t="shared" si="68"/>
        <v>3047764346.4766679</v>
      </c>
      <c r="I221" s="606">
        <f t="shared" si="68"/>
        <v>-683211055.4666661</v>
      </c>
      <c r="J221" s="606">
        <f t="shared" si="40"/>
        <v>-0.22416794010222091</v>
      </c>
      <c r="K221" s="607">
        <f>K222+K226+K230+K235</f>
        <v>3324833832.5200005</v>
      </c>
      <c r="L221" s="100"/>
    </row>
    <row r="222" spans="1:12" x14ac:dyDescent="0.25">
      <c r="A222" s="608" t="str">
        <f t="shared" si="61"/>
        <v>Energy sources</v>
      </c>
      <c r="B222" s="621"/>
      <c r="C222" s="612">
        <f t="shared" ref="C222:K222" si="69">SUM(C223:C225)</f>
        <v>1813418646.7900004</v>
      </c>
      <c r="D222" s="612">
        <f t="shared" si="69"/>
        <v>2021215276.45</v>
      </c>
      <c r="E222" s="612">
        <f t="shared" si="69"/>
        <v>2012098959.1500006</v>
      </c>
      <c r="F222" s="612">
        <f t="shared" si="69"/>
        <v>34063479.070000045</v>
      </c>
      <c r="G222" s="612">
        <f t="shared" si="69"/>
        <v>1868673664.0800006</v>
      </c>
      <c r="H222" s="612">
        <f t="shared" si="69"/>
        <v>1844424045.8875005</v>
      </c>
      <c r="I222" s="612">
        <f t="shared" si="39"/>
        <v>24249618.192500114</v>
      </c>
      <c r="J222" s="612">
        <f t="shared" si="40"/>
        <v>1.3147528761929405E-2</v>
      </c>
      <c r="K222" s="615">
        <f t="shared" si="69"/>
        <v>2012098959.1500006</v>
      </c>
      <c r="L222" s="100"/>
    </row>
    <row r="223" spans="1:12" x14ac:dyDescent="0.25">
      <c r="A223" s="696" t="str">
        <f t="shared" si="61"/>
        <v xml:space="preserve">Electricity </v>
      </c>
      <c r="B223" s="621"/>
      <c r="C223" s="734">
        <v>1781064131.3200004</v>
      </c>
      <c r="D223" s="734">
        <v>1998122240</v>
      </c>
      <c r="E223" s="734">
        <v>1992131683.3700006</v>
      </c>
      <c r="F223" s="734">
        <v>32203107.430000048</v>
      </c>
      <c r="G223" s="734">
        <v>1853201365.8900006</v>
      </c>
      <c r="H223" s="734">
        <f t="shared" ref="H223:H224" si="70">E223/12*11</f>
        <v>1826120709.7558339</v>
      </c>
      <c r="I223" s="408">
        <f t="shared" si="39"/>
        <v>27080656.134166718</v>
      </c>
      <c r="J223" s="408">
        <f t="shared" si="40"/>
        <v>1.4829609011875017E-2</v>
      </c>
      <c r="K223" s="736">
        <f>E223</f>
        <v>1992131683.3700006</v>
      </c>
      <c r="L223" s="100"/>
    </row>
    <row r="224" spans="1:12" x14ac:dyDescent="0.25">
      <c r="A224" s="696" t="str">
        <f t="shared" ref="A224:A246" si="71">A102</f>
        <v>Street Lighting and Signal Systems</v>
      </c>
      <c r="B224" s="621"/>
      <c r="C224" s="734">
        <v>32354515.469999999</v>
      </c>
      <c r="D224" s="734">
        <v>23093036.449999999</v>
      </c>
      <c r="E224" s="734">
        <v>19967275.780000001</v>
      </c>
      <c r="F224" s="734">
        <v>1860371.6400000001</v>
      </c>
      <c r="G224" s="734">
        <v>15472298.189999999</v>
      </c>
      <c r="H224" s="734">
        <f t="shared" si="70"/>
        <v>18303336.131666668</v>
      </c>
      <c r="I224" s="408">
        <f>G224-H224</f>
        <v>-2831037.9416666683</v>
      </c>
      <c r="J224" s="408">
        <f>IF(I224=0,"",I224/H224)</f>
        <v>-0.1546733295668804</v>
      </c>
      <c r="K224" s="736">
        <f>E224</f>
        <v>19967275.780000001</v>
      </c>
      <c r="L224" s="100"/>
    </row>
    <row r="225" spans="1:12" x14ac:dyDescent="0.25">
      <c r="A225" s="696" t="str">
        <f t="shared" si="71"/>
        <v>Nonelectric Energy</v>
      </c>
      <c r="B225" s="621"/>
      <c r="C225" s="734"/>
      <c r="D225" s="734"/>
      <c r="E225" s="734"/>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901141267.64000058</v>
      </c>
      <c r="F226" s="612">
        <f t="shared" si="72"/>
        <v>-463910441.85000002</v>
      </c>
      <c r="G226" s="612">
        <f t="shared" si="72"/>
        <v>293801245.55000079</v>
      </c>
      <c r="H226" s="612">
        <f t="shared" si="72"/>
        <v>826046162.00333381</v>
      </c>
      <c r="I226" s="612">
        <f t="shared" si="39"/>
        <v>-532244916.45333302</v>
      </c>
      <c r="J226" s="612">
        <f t="shared" si="40"/>
        <v>-0.64432829657186275</v>
      </c>
      <c r="K226" s="615">
        <f t="shared" si="72"/>
        <v>901141267.64000058</v>
      </c>
      <c r="L226" s="100"/>
    </row>
    <row r="227" spans="1:12" x14ac:dyDescent="0.25">
      <c r="A227" s="696" t="str">
        <f t="shared" si="71"/>
        <v>Water Treatment</v>
      </c>
      <c r="B227" s="621"/>
      <c r="C227" s="734"/>
      <c r="D227" s="734"/>
      <c r="E227" s="734"/>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901141267.64000058</v>
      </c>
      <c r="F228" s="734">
        <v>-463910441.85000002</v>
      </c>
      <c r="G228" s="734">
        <v>293801245.55000079</v>
      </c>
      <c r="H228" s="734">
        <f>E228/12*11</f>
        <v>826046162.00333381</v>
      </c>
      <c r="I228" s="408">
        <f>G228-H228</f>
        <v>-532244916.45333302</v>
      </c>
      <c r="J228" s="408">
        <f>IF(I228=0,"",I228/H228)</f>
        <v>-0.64432829657186275</v>
      </c>
      <c r="K228" s="736">
        <f>E228</f>
        <v>901141267.64000058</v>
      </c>
      <c r="L228" s="100"/>
    </row>
    <row r="229" spans="1:12" x14ac:dyDescent="0.25">
      <c r="A229" s="696" t="str">
        <f t="shared" si="71"/>
        <v>Water Storage</v>
      </c>
      <c r="B229" s="621"/>
      <c r="C229" s="734"/>
      <c r="D229" s="734"/>
      <c r="E229" s="734"/>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3">SUM(C231:C234)</f>
        <v>258354772.04000005</v>
      </c>
      <c r="D230" s="612">
        <f t="shared" si="73"/>
        <v>319854782.68395203</v>
      </c>
      <c r="E230" s="612">
        <f t="shared" si="73"/>
        <v>290155578.20000005</v>
      </c>
      <c r="F230" s="612">
        <f t="shared" si="73"/>
        <v>-51368776.810000017</v>
      </c>
      <c r="G230" s="612">
        <f t="shared" si="73"/>
        <v>126613545.52</v>
      </c>
      <c r="H230" s="612">
        <f t="shared" si="73"/>
        <v>265975946.68333337</v>
      </c>
      <c r="I230" s="612">
        <f t="shared" si="39"/>
        <v>-139362401.16333336</v>
      </c>
      <c r="J230" s="612">
        <f t="shared" si="40"/>
        <v>-0.52396618153315933</v>
      </c>
      <c r="K230" s="615">
        <f t="shared" si="73"/>
        <v>290155578.20000005</v>
      </c>
      <c r="L230" s="100"/>
    </row>
    <row r="231" spans="1:12" x14ac:dyDescent="0.25">
      <c r="A231" s="696" t="str">
        <f t="shared" si="71"/>
        <v>Public Toilets</v>
      </c>
      <c r="B231" s="621"/>
      <c r="C231" s="734">
        <v>6791651</v>
      </c>
      <c r="D231" s="734">
        <v>7558582.4799999995</v>
      </c>
      <c r="E231" s="734">
        <v>7870182.9299999997</v>
      </c>
      <c r="F231" s="734">
        <v>184166.30000000002</v>
      </c>
      <c r="G231" s="734">
        <v>2583953.33</v>
      </c>
      <c r="H231" s="734">
        <f t="shared" ref="H231:H233" si="74">E231/12*11</f>
        <v>7214334.3525</v>
      </c>
      <c r="I231" s="408">
        <f t="shared" si="39"/>
        <v>-4630381.0225</v>
      </c>
      <c r="J231" s="408">
        <f t="shared" si="40"/>
        <v>-0.64183066603995464</v>
      </c>
      <c r="K231" s="736">
        <f>E231</f>
        <v>7870182.9299999997</v>
      </c>
      <c r="L231" s="100"/>
    </row>
    <row r="232" spans="1:12" x14ac:dyDescent="0.25">
      <c r="A232" s="696" t="str">
        <f t="shared" si="71"/>
        <v>Sewerage</v>
      </c>
      <c r="B232" s="621"/>
      <c r="C232" s="734">
        <v>227706920.57000005</v>
      </c>
      <c r="D232" s="734">
        <v>257636183.80395201</v>
      </c>
      <c r="E232" s="734">
        <v>227642904.90000004</v>
      </c>
      <c r="F232" s="734">
        <v>-53495065.370000012</v>
      </c>
      <c r="G232" s="734">
        <v>99500863.489999995</v>
      </c>
      <c r="H232" s="734">
        <f t="shared" si="74"/>
        <v>208672662.82500005</v>
      </c>
      <c r="I232" s="408">
        <f t="shared" si="39"/>
        <v>-109171799.33500005</v>
      </c>
      <c r="J232" s="408">
        <f t="shared" si="40"/>
        <v>-0.52317250308228069</v>
      </c>
      <c r="K232" s="736">
        <f>E232</f>
        <v>227642904.90000004</v>
      </c>
      <c r="L232" s="100"/>
    </row>
    <row r="233" spans="1:12" x14ac:dyDescent="0.25">
      <c r="A233" s="696" t="str">
        <f t="shared" si="71"/>
        <v>Storm Water Management</v>
      </c>
      <c r="B233" s="621"/>
      <c r="C233" s="734">
        <v>23856200.469999995</v>
      </c>
      <c r="D233" s="734">
        <v>54660016.400000021</v>
      </c>
      <c r="E233" s="734">
        <v>54642490.370000005</v>
      </c>
      <c r="F233" s="734">
        <v>1942122.26</v>
      </c>
      <c r="G233" s="734">
        <v>24528728.700000007</v>
      </c>
      <c r="H233" s="734">
        <f t="shared" si="74"/>
        <v>50088949.505833335</v>
      </c>
      <c r="I233" s="408">
        <f>G233-H233</f>
        <v>-25560220.805833329</v>
      </c>
      <c r="J233" s="408">
        <f>IF(I233=0,"",I233/H233)</f>
        <v>-0.51029660350246708</v>
      </c>
      <c r="K233" s="736">
        <f>E233</f>
        <v>54642490.370000005</v>
      </c>
      <c r="L233" s="100"/>
    </row>
    <row r="234" spans="1:12" x14ac:dyDescent="0.25">
      <c r="A234" s="696" t="str">
        <f t="shared" si="71"/>
        <v>Waste Water Treatment</v>
      </c>
      <c r="B234" s="621"/>
      <c r="C234" s="734"/>
      <c r="D234" s="734"/>
      <c r="E234" s="734"/>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5">SUM(C236:C239)</f>
        <v>120357955.18000001</v>
      </c>
      <c r="D235" s="612">
        <f t="shared" si="75"/>
        <v>129059828.59580451</v>
      </c>
      <c r="E235" s="612">
        <f t="shared" si="75"/>
        <v>121438027.52999994</v>
      </c>
      <c r="F235" s="612">
        <f t="shared" si="75"/>
        <v>-15703699.619999997</v>
      </c>
      <c r="G235" s="612">
        <f t="shared" si="75"/>
        <v>75464835.860000014</v>
      </c>
      <c r="H235" s="612">
        <f t="shared" si="75"/>
        <v>111318191.90249994</v>
      </c>
      <c r="I235" s="612">
        <f t="shared" si="39"/>
        <v>-35853356.04249993</v>
      </c>
      <c r="J235" s="612">
        <f t="shared" si="40"/>
        <v>-0.32207993527152096</v>
      </c>
      <c r="K235" s="612">
        <f>SUM(K236:K239)</f>
        <v>121438027.52999994</v>
      </c>
      <c r="L235" s="100"/>
    </row>
    <row r="236" spans="1:12" x14ac:dyDescent="0.25">
      <c r="A236" s="696" t="str">
        <f t="shared" si="71"/>
        <v>Recycling</v>
      </c>
      <c r="B236" s="621"/>
      <c r="C236" s="734"/>
      <c r="D236" s="734"/>
      <c r="E236" s="734"/>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12417869.460000001</v>
      </c>
      <c r="F237" s="734">
        <v>588049.14000000013</v>
      </c>
      <c r="G237" s="734">
        <v>7261137.4499999993</v>
      </c>
      <c r="H237" s="734">
        <f t="shared" ref="H237:H238" si="76">E237/12*11</f>
        <v>11383047.005000001</v>
      </c>
      <c r="I237" s="408">
        <f>G237-H237</f>
        <v>-4121909.5550000016</v>
      </c>
      <c r="J237" s="408">
        <f>IF(I237=0,"",I237/H237)</f>
        <v>-0.3621095083934428</v>
      </c>
      <c r="K237" s="736">
        <f>E237</f>
        <v>12417869.460000001</v>
      </c>
      <c r="L237" s="100"/>
    </row>
    <row r="238" spans="1:12" x14ac:dyDescent="0.25">
      <c r="A238" s="696" t="str">
        <f t="shared" si="71"/>
        <v>Solid Waste Removal</v>
      </c>
      <c r="B238" s="621"/>
      <c r="C238" s="734">
        <v>103650262</v>
      </c>
      <c r="D238" s="734">
        <v>115620715.34580451</v>
      </c>
      <c r="E238" s="734">
        <v>109020158.06999995</v>
      </c>
      <c r="F238" s="734">
        <v>-16291748.759999998</v>
      </c>
      <c r="G238" s="734">
        <v>68203698.410000011</v>
      </c>
      <c r="H238" s="734">
        <f t="shared" si="76"/>
        <v>99935144.897499949</v>
      </c>
      <c r="I238" s="408">
        <f>G238-H238</f>
        <v>-31731446.487499937</v>
      </c>
      <c r="J238" s="408">
        <f>IF(I238=0,"",I238/H238)</f>
        <v>-0.31752039305137142</v>
      </c>
      <c r="K238" s="736">
        <f>E238</f>
        <v>109020158.06999995</v>
      </c>
      <c r="L238" s="100"/>
    </row>
    <row r="239" spans="1:12" x14ac:dyDescent="0.25">
      <c r="A239" s="696" t="str">
        <f t="shared" si="71"/>
        <v>Street Cleaning</v>
      </c>
      <c r="B239" s="415"/>
      <c r="C239" s="734"/>
      <c r="D239" s="734"/>
      <c r="E239" s="734"/>
      <c r="F239" s="734"/>
      <c r="G239" s="734"/>
      <c r="H239" s="734"/>
      <c r="I239" s="408">
        <f t="shared" si="39"/>
        <v>0</v>
      </c>
      <c r="J239" s="408" t="str">
        <f t="shared" si="40"/>
        <v/>
      </c>
      <c r="K239" s="736"/>
      <c r="L239" s="100"/>
    </row>
    <row r="240" spans="1:12" x14ac:dyDescent="0.25">
      <c r="A240" s="414" t="str">
        <f t="shared" si="71"/>
        <v>Other</v>
      </c>
      <c r="B240" s="415"/>
      <c r="C240" s="612">
        <f t="shared" ref="C240:K240" si="77">SUM(C241:C246)</f>
        <v>72379861.560000002</v>
      </c>
      <c r="D240" s="612">
        <f t="shared" si="77"/>
        <v>70459108.670000017</v>
      </c>
      <c r="E240" s="612">
        <f t="shared" si="77"/>
        <v>68177155</v>
      </c>
      <c r="F240" s="612">
        <f t="shared" si="77"/>
        <v>4500256.0999999996</v>
      </c>
      <c r="G240" s="612">
        <f t="shared" si="77"/>
        <v>53480325.980000004</v>
      </c>
      <c r="H240" s="612">
        <f t="shared" si="77"/>
        <v>62495725.416666657</v>
      </c>
      <c r="I240" s="612">
        <f t="shared" si="39"/>
        <v>-9015399.4366666526</v>
      </c>
      <c r="J240" s="612">
        <f t="shared" si="40"/>
        <v>-0.14425625715294735</v>
      </c>
      <c r="K240" s="615">
        <f t="shared" si="77"/>
        <v>68177155</v>
      </c>
      <c r="L240" s="100"/>
    </row>
    <row r="241" spans="1:12" x14ac:dyDescent="0.25">
      <c r="A241" s="608" t="str">
        <f t="shared" si="71"/>
        <v>Abattoirs</v>
      </c>
      <c r="B241" s="415"/>
      <c r="C241" s="734"/>
      <c r="D241" s="734"/>
      <c r="E241" s="734"/>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21862975.799999997</v>
      </c>
      <c r="F242" s="734">
        <v>1262398.73</v>
      </c>
      <c r="G242" s="734">
        <v>17182041.09</v>
      </c>
      <c r="H242" s="734">
        <f t="shared" ref="H242:H246" si="78">E242/12*11</f>
        <v>20041061.149999995</v>
      </c>
      <c r="I242" s="408">
        <f t="shared" si="39"/>
        <v>-2859020.0599999949</v>
      </c>
      <c r="J242" s="408">
        <f t="shared" si="40"/>
        <v>-0.14265811768155778</v>
      </c>
      <c r="K242" s="736">
        <f>E242</f>
        <v>21862975.799999997</v>
      </c>
      <c r="L242" s="100"/>
    </row>
    <row r="243" spans="1:12" x14ac:dyDescent="0.25">
      <c r="A243" s="608" t="str">
        <f t="shared" si="71"/>
        <v xml:space="preserve">Forestry </v>
      </c>
      <c r="B243" s="415"/>
      <c r="C243" s="734">
        <v>10860245.560000001</v>
      </c>
      <c r="D243" s="734">
        <v>5678262.9500000011</v>
      </c>
      <c r="E243" s="734">
        <v>5676418.4500000011</v>
      </c>
      <c r="F243" s="734">
        <v>167907.53</v>
      </c>
      <c r="G243" s="734">
        <v>1037264.76</v>
      </c>
      <c r="H243" s="734">
        <f t="shared" si="78"/>
        <v>5203383.5791666675</v>
      </c>
      <c r="I243" s="408">
        <f>G243-H243</f>
        <v>-4166118.8191666678</v>
      </c>
      <c r="J243" s="408">
        <f>IF(I243=0,"",I243/H243)</f>
        <v>-0.80065571868408747</v>
      </c>
      <c r="K243" s="736">
        <f>E243</f>
        <v>5676418.4500000011</v>
      </c>
      <c r="L243" s="100"/>
    </row>
    <row r="244" spans="1:12" x14ac:dyDescent="0.25">
      <c r="A244" s="608" t="str">
        <f t="shared" si="71"/>
        <v>Licensing and Regulation</v>
      </c>
      <c r="B244" s="415"/>
      <c r="C244" s="734">
        <v>5860897</v>
      </c>
      <c r="D244" s="734">
        <v>6302166.4400000004</v>
      </c>
      <c r="E244" s="734">
        <v>6203742.8500000024</v>
      </c>
      <c r="F244" s="734">
        <v>317677.81</v>
      </c>
      <c r="G244" s="734">
        <v>3758690.33</v>
      </c>
      <c r="H244" s="734">
        <f t="shared" si="78"/>
        <v>5686764.2791666687</v>
      </c>
      <c r="I244" s="408">
        <f t="shared" si="39"/>
        <v>-1928073.9491666686</v>
      </c>
      <c r="J244" s="408">
        <f t="shared" si="40"/>
        <v>-0.33904587116967788</v>
      </c>
      <c r="K244" s="736">
        <f>E244</f>
        <v>6203742.8500000024</v>
      </c>
      <c r="L244" s="100"/>
    </row>
    <row r="245" spans="1:12" x14ac:dyDescent="0.25">
      <c r="A245" s="608" t="str">
        <f t="shared" si="71"/>
        <v>Markets</v>
      </c>
      <c r="B245" s="415"/>
      <c r="C245" s="734">
        <v>29783152</v>
      </c>
      <c r="D245" s="734">
        <v>31542840.339999996</v>
      </c>
      <c r="E245" s="734">
        <v>30567253.569999997</v>
      </c>
      <c r="F245" s="734">
        <v>2553714.1599999997</v>
      </c>
      <c r="G245" s="734">
        <v>28224457.069999997</v>
      </c>
      <c r="H245" s="734">
        <f t="shared" si="78"/>
        <v>28019982.439166661</v>
      </c>
      <c r="I245" s="408">
        <f>G245-H245</f>
        <v>204474.63083333522</v>
      </c>
      <c r="J245" s="408">
        <f>IF(I245=0,"",I245/H245)</f>
        <v>7.2974574940317654E-3</v>
      </c>
      <c r="K245" s="736">
        <f>E245</f>
        <v>30567253.569999997</v>
      </c>
      <c r="L245" s="100"/>
    </row>
    <row r="246" spans="1:12" x14ac:dyDescent="0.25">
      <c r="A246" s="608" t="str">
        <f t="shared" si="71"/>
        <v>Tourism</v>
      </c>
      <c r="B246" s="415"/>
      <c r="C246" s="734">
        <v>3553123</v>
      </c>
      <c r="D246" s="734">
        <v>3050646.6500000004</v>
      </c>
      <c r="E246" s="734">
        <v>3866764.33</v>
      </c>
      <c r="F246" s="734">
        <v>198557.87</v>
      </c>
      <c r="G246" s="734">
        <v>3277872.7300000004</v>
      </c>
      <c r="H246" s="734">
        <f t="shared" si="78"/>
        <v>3544533.9691666667</v>
      </c>
      <c r="I246" s="408">
        <f>G246-H246</f>
        <v>-266661.23916666629</v>
      </c>
      <c r="J246" s="408">
        <f>IF(I246=0,"",I246/H246)</f>
        <v>-7.5231678264705518E-2</v>
      </c>
      <c r="K246" s="736">
        <f>E246</f>
        <v>3866764.33</v>
      </c>
      <c r="L246" s="100"/>
    </row>
    <row r="247" spans="1:12" x14ac:dyDescent="0.25">
      <c r="A247" s="616" t="str">
        <f>"Total "&amp;A127</f>
        <v>Total Expenditure - Functional</v>
      </c>
      <c r="B247" s="415">
        <v>3</v>
      </c>
      <c r="C247" s="546">
        <f t="shared" ref="C247:I247" si="79">C128+C148+C197+C221+C240</f>
        <v>5545120282.000001</v>
      </c>
      <c r="D247" s="546">
        <f t="shared" si="79"/>
        <v>5636479723.2493496</v>
      </c>
      <c r="E247" s="546">
        <f t="shared" si="79"/>
        <v>5540064810.2600002</v>
      </c>
      <c r="F247" s="546">
        <f t="shared" si="79"/>
        <v>-565885637.11999977</v>
      </c>
      <c r="G247" s="546">
        <f t="shared" si="79"/>
        <v>3779305766.1500001</v>
      </c>
      <c r="H247" s="546">
        <f t="shared" si="79"/>
        <v>5078392742.7383347</v>
      </c>
      <c r="I247" s="546">
        <f t="shared" si="79"/>
        <v>-1299086976.5883343</v>
      </c>
      <c r="J247" s="546">
        <f>IF(I247=0,"",I247/H247)</f>
        <v>-0.2558067172819426</v>
      </c>
      <c r="K247" s="598">
        <f>K128+K148+K197+K221+K240</f>
        <v>5540064810.2600002</v>
      </c>
      <c r="L247" s="100"/>
    </row>
    <row r="248" spans="1:12" x14ac:dyDescent="0.25">
      <c r="A248" s="622" t="str">
        <f>result</f>
        <v>Surplus/ (Deficit) for the year</v>
      </c>
      <c r="B248" s="623"/>
      <c r="C248" s="76">
        <f t="shared" ref="C248:H248" si="80">C125-C247</f>
        <v>553128996.99999905</v>
      </c>
      <c r="D248" s="76">
        <f t="shared" si="80"/>
        <v>715457748.1585083</v>
      </c>
      <c r="E248" s="76">
        <f t="shared" si="80"/>
        <v>1062530963.2399998</v>
      </c>
      <c r="F248" s="76">
        <f t="shared" si="80"/>
        <v>979809623.38999975</v>
      </c>
      <c r="G248" s="76">
        <f t="shared" si="80"/>
        <v>1647896712.9899993</v>
      </c>
      <c r="H248" s="76">
        <f t="shared" si="80"/>
        <v>972866361.0083313</v>
      </c>
      <c r="I248" s="635">
        <f>G248-H248</f>
        <v>675030351.981668</v>
      </c>
      <c r="J248" s="635">
        <f>IF(I248=0,"",I248/H248)</f>
        <v>0.69385722339297462</v>
      </c>
      <c r="K248" s="234">
        <f>K125-K247</f>
        <v>1062431963.2399998</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30" t="s">
        <v>1220</v>
      </c>
      <c r="B253" s="1030"/>
      <c r="C253" s="1030"/>
      <c r="D253" s="1030"/>
      <c r="E253" s="1030"/>
      <c r="F253" s="1030"/>
      <c r="G253" s="1030"/>
      <c r="H253" s="1030"/>
      <c r="I253" s="1030"/>
      <c r="J253" s="1030"/>
      <c r="K253" s="1030"/>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281187987.51316929</v>
      </c>
      <c r="I256" s="629">
        <f>I125-'C4-FinPerf RE'!I53</f>
        <v>-624056624.60666656</v>
      </c>
      <c r="J256" s="630"/>
      <c r="K256" s="629">
        <f>K125-'C4-FinPerf RE'!K53</f>
        <v>307873737.60891342</v>
      </c>
    </row>
    <row r="257" spans="1:11" x14ac:dyDescent="0.25">
      <c r="A257" s="81" t="s">
        <v>185</v>
      </c>
      <c r="B257" s="64"/>
      <c r="C257" s="629">
        <f>C247-'C4-FinPerf RE'!C36</f>
        <v>610761843</v>
      </c>
      <c r="D257" s="629">
        <f>D247-'C4-FinPerf RE'!D36</f>
        <v>307972734.30077457</v>
      </c>
      <c r="E257" s="629">
        <f>E247-'C4-FinPerf RE'!E36</f>
        <v>307972737.6514225</v>
      </c>
      <c r="F257" s="629">
        <f>F247-'C4-FinPerf RE'!F36</f>
        <v>0</v>
      </c>
      <c r="G257" s="629">
        <f>G247-'C4-FinPerf RE'!G36</f>
        <v>0</v>
      </c>
      <c r="H257" s="629">
        <f>H247-'C4-FinPerf RE'!H36</f>
        <v>282308342.84713936</v>
      </c>
      <c r="I257" s="629">
        <f>I247-'C4-FinPerf RE'!I36</f>
        <v>-282308342.8471396</v>
      </c>
      <c r="J257" s="630"/>
      <c r="K257" s="629">
        <f>K247-'C4-FinPerf RE'!K36</f>
        <v>307972737.6514225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8D51EC-0F4A-4AD1-9284-4A6742605F61}">
  <ds:schemaRefs>
    <ds:schemaRef ds:uri="http://schemas.microsoft.com/office/infopath/2007/PartnerControls"/>
    <ds:schemaRef ds:uri="http://www.w3.org/XML/1998/namespace"/>
    <ds:schemaRef ds:uri="http://schemas.microsoft.com/office/2006/documentManagement/types"/>
    <ds:schemaRef ds:uri="http://schemas.microsoft.com/sharepoint/v3"/>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2016-12-13T05:59:10Z</cp:lastPrinted>
  <dcterms:created xsi:type="dcterms:W3CDTF">2004-04-07T16:19:08Z</dcterms:created>
  <dcterms:modified xsi:type="dcterms:W3CDTF">2020-06-12T14:22:41Z</dcterms:modified>
</cp:coreProperties>
</file>