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Apr2021\"/>
    </mc:Choice>
  </mc:AlternateContent>
  <workbookProtection workbookPassword="FB84" lockStructure="1"/>
  <bookViews>
    <workbookView xWindow="0" yWindow="0" windowWidth="28800" windowHeight="12300" tabRatio="792" firstSheet="12" activeTab="3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5" i="177" l="1"/>
  <c r="H39" i="182" l="1"/>
  <c r="H221" i="323"/>
  <c r="H165" i="324"/>
  <c r="H161" i="242"/>
  <c r="H158" i="335"/>
  <c r="H152" i="335"/>
  <c r="H149" i="335"/>
  <c r="H144" i="335"/>
  <c r="H132" i="335"/>
  <c r="H108" i="335"/>
  <c r="H101"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8" i="326"/>
  <c r="H155" i="326"/>
  <c r="H152" i="326"/>
  <c r="H144" i="326"/>
  <c r="H132" i="326"/>
  <c r="H108" i="326"/>
  <c r="H77" i="326"/>
  <c r="H46" i="326"/>
  <c r="H41" i="326"/>
  <c r="H40" i="326"/>
  <c r="H30" i="326"/>
  <c r="H18" i="326"/>
  <c r="H9" i="326"/>
  <c r="H158" i="242"/>
  <c r="H155" i="242"/>
  <c r="H152" i="242"/>
  <c r="H149" i="242"/>
  <c r="H144" i="242"/>
  <c r="H96"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1" i="318"/>
  <c r="H73" i="318"/>
  <c r="H77" i="318"/>
  <c r="H76" i="318"/>
  <c r="H75"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5" i="270"/>
  <c r="H54" i="270"/>
  <c r="H53" i="270"/>
  <c r="H52" i="270"/>
  <c r="H51" i="270"/>
  <c r="H50" i="270"/>
  <c r="H49" i="270"/>
  <c r="H48" i="270"/>
  <c r="H47" i="270"/>
  <c r="H43" i="270"/>
  <c r="H39" i="270"/>
  <c r="H37" i="270"/>
  <c r="H27" i="270"/>
  <c r="H26" i="270"/>
  <c r="H23" i="270"/>
  <c r="H22" i="270"/>
  <c r="H16" i="270"/>
  <c r="H12" i="270"/>
  <c r="H10" i="270"/>
  <c r="H9" i="270"/>
  <c r="H36" i="177"/>
  <c r="H27" i="177"/>
  <c r="H17" i="177"/>
  <c r="H16" i="177"/>
  <c r="H15" i="177"/>
  <c r="H12" i="177"/>
  <c r="H11" i="177"/>
  <c r="H10" i="177"/>
  <c r="H9" i="177"/>
  <c r="H8" i="177"/>
  <c r="H7" i="177"/>
  <c r="H208" i="324"/>
  <c r="H207" i="324"/>
  <c r="H205" i="324"/>
  <c r="H197" i="324"/>
  <c r="H196" i="324"/>
  <c r="H194" i="324"/>
  <c r="H184" i="324"/>
  <c r="H175" i="324"/>
  <c r="H174" i="324"/>
  <c r="H173" i="324"/>
  <c r="H162" i="324"/>
  <c r="H161" i="324"/>
  <c r="H152" i="324"/>
  <c r="H151" i="324"/>
  <c r="H39" i="324"/>
  <c r="H38" i="324"/>
  <c r="H37" i="324"/>
  <c r="H36" i="324"/>
  <c r="H30" i="324"/>
  <c r="H25" i="324"/>
  <c r="H22" i="324"/>
  <c r="H21" i="324"/>
  <c r="H14" i="324"/>
  <c r="H9" i="324"/>
  <c r="H73" i="268"/>
  <c r="H67" i="268"/>
  <c r="H66" i="268"/>
  <c r="H62" i="268"/>
  <c r="H61" i="268"/>
  <c r="H60" i="268"/>
  <c r="H59" i="268"/>
  <c r="H58" i="268"/>
  <c r="H55" i="268"/>
  <c r="H54" i="268"/>
  <c r="H51" i="268"/>
  <c r="H48" i="268"/>
  <c r="H45" i="268"/>
  <c r="H44" i="268"/>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3" i="323"/>
  <c r="H232" i="323"/>
  <c r="H230" i="323"/>
  <c r="H223" i="323"/>
  <c r="H222" i="323"/>
  <c r="H220" i="323"/>
  <c r="H219" i="323"/>
  <c r="H212" i="323"/>
  <c r="H211" i="323"/>
  <c r="H210" i="323"/>
  <c r="H209" i="323"/>
  <c r="H208" i="323"/>
  <c r="H200" i="323"/>
  <c r="H199" i="323"/>
  <c r="H198" i="323"/>
  <c r="H190" i="323"/>
  <c r="H189" i="323"/>
  <c r="H188" i="323"/>
  <c r="H187" i="323"/>
  <c r="H186" i="323"/>
  <c r="H178" i="323"/>
  <c r="H177" i="323"/>
  <c r="H176" i="323"/>
  <c r="H175" i="323"/>
  <c r="H65" i="323"/>
  <c r="H64" i="323"/>
  <c r="H63" i="323"/>
  <c r="H62"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7" i="330"/>
  <c r="H16" i="330"/>
  <c r="H15" i="330"/>
  <c r="H13" i="330"/>
  <c r="H9" i="330"/>
  <c r="H119" i="242" l="1"/>
  <c r="K173" i="324" l="1"/>
  <c r="K96" i="242"/>
  <c r="K158" i="326"/>
  <c r="K144" i="326"/>
  <c r="K132" i="326"/>
  <c r="K108" i="326"/>
  <c r="K77" i="326"/>
  <c r="K41" i="326"/>
  <c r="K40" i="326"/>
  <c r="K30" i="326"/>
  <c r="K18" i="326"/>
  <c r="K144" i="335"/>
  <c r="K132" i="335"/>
  <c r="K101" i="335"/>
  <c r="K56" i="270" l="1"/>
  <c r="K55" i="270"/>
  <c r="K54" i="270"/>
  <c r="K53" i="270"/>
  <c r="K52" i="270"/>
  <c r="K51" i="270"/>
  <c r="K50" i="270"/>
  <c r="K48" i="270"/>
  <c r="K47" i="270"/>
  <c r="K38" i="270"/>
  <c r="K208" i="324" l="1"/>
  <c r="K184" i="324"/>
  <c r="K152" i="324"/>
  <c r="K151" i="324"/>
  <c r="K39" i="324"/>
  <c r="K30" i="324"/>
  <c r="K25" i="324"/>
  <c r="K35" i="182"/>
  <c r="K233" i="323"/>
  <c r="K232" i="323"/>
  <c r="K200" i="323"/>
  <c r="K199" i="323"/>
  <c r="K62" i="323"/>
  <c r="K228" i="330"/>
  <c r="K81" i="330"/>
  <c r="F177" i="330" l="1"/>
  <c r="G177" i="330"/>
  <c r="H108" i="242" l="1"/>
  <c r="H18" i="242"/>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49" i="270" l="1"/>
  <c r="K43" i="270"/>
  <c r="K39" i="270"/>
  <c r="K37" i="270"/>
  <c r="K27" i="270"/>
  <c r="K26" i="270"/>
  <c r="K23" i="270"/>
  <c r="K22"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2" i="178"/>
  <c r="G10" i="178"/>
  <c r="G9" i="178"/>
  <c r="G8" i="178"/>
  <c r="G7" i="178"/>
  <c r="K9" i="324"/>
  <c r="K14" i="324"/>
  <c r="K22" i="324"/>
  <c r="K21"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J12" i="267"/>
  <c r="D76"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s="1"/>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c r="H17" i="335"/>
  <c r="I17" i="335" s="1"/>
  <c r="J17" i="335" s="1"/>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G26" i="178" s="1"/>
  <c r="H39" i="174" s="1"/>
  <c r="F25" i="178"/>
  <c r="E25" i="178"/>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I53" i="333" s="1"/>
  <c r="J53" i="333" s="1"/>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I140" i="335" s="1"/>
  <c r="J140" i="335" s="1"/>
  <c r="G140" i="335"/>
  <c r="F140" i="335"/>
  <c r="F138" i="335" s="1"/>
  <c r="E140" i="335"/>
  <c r="E138" i="335" s="1"/>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s="1"/>
  <c r="I131" i="335"/>
  <c r="J131" i="335"/>
  <c r="K130" i="335"/>
  <c r="H130" i="335"/>
  <c r="H117" i="335" s="1"/>
  <c r="I117" i="335" s="1"/>
  <c r="J117" i="335" s="1"/>
  <c r="G130" i="335"/>
  <c r="F130" i="335"/>
  <c r="E130" i="335"/>
  <c r="E117" i="335" s="1"/>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G118" i="335"/>
  <c r="F118" i="335"/>
  <c r="F117" i="335"/>
  <c r="E118"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s="1"/>
  <c r="I143" i="326"/>
  <c r="J143" i="326"/>
  <c r="I142" i="326"/>
  <c r="J142" i="326"/>
  <c r="I141" i="326"/>
  <c r="J141" i="326"/>
  <c r="K140" i="326"/>
  <c r="K138" i="326" s="1"/>
  <c r="H140" i="326"/>
  <c r="H138" i="326" s="1"/>
  <c r="I138" i="326" s="1"/>
  <c r="J138" i="326" s="1"/>
  <c r="G140" i="326"/>
  <c r="G138" i="326"/>
  <c r="F140" i="326"/>
  <c r="F138" i="326"/>
  <c r="E140" i="326"/>
  <c r="E138" i="326" s="1"/>
  <c r="D140" i="326"/>
  <c r="D138" i="326"/>
  <c r="C140" i="326"/>
  <c r="C138" i="326"/>
  <c r="I139" i="326"/>
  <c r="J139" i="326"/>
  <c r="J137" i="326"/>
  <c r="I136" i="326"/>
  <c r="J136" i="326"/>
  <c r="K135" i="326"/>
  <c r="H135" i="326"/>
  <c r="G135" i="326"/>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G75" i="326" s="1"/>
  <c r="F76" i="326"/>
  <c r="F75" i="326" s="1"/>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H45" i="326"/>
  <c r="G45" i="326"/>
  <c r="F45" i="326"/>
  <c r="E45" i="326"/>
  <c r="D45" i="326"/>
  <c r="D7"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s="1"/>
  <c r="K17" i="326"/>
  <c r="H17" i="326"/>
  <c r="G17" i="326"/>
  <c r="F17" i="326"/>
  <c r="E17" i="326"/>
  <c r="D17" i="326"/>
  <c r="C17" i="326"/>
  <c r="I16" i="326"/>
  <c r="J16" i="326"/>
  <c r="I15" i="326"/>
  <c r="J15" i="326"/>
  <c r="I14" i="326"/>
  <c r="J14" i="326"/>
  <c r="K13" i="326"/>
  <c r="H13" i="326"/>
  <c r="G13" i="326"/>
  <c r="F13" i="326"/>
  <c r="E13" i="326"/>
  <c r="D13" i="326"/>
  <c r="C13" i="326"/>
  <c r="I12" i="326"/>
  <c r="J12" i="326" s="1"/>
  <c r="I11" i="326"/>
  <c r="J11" i="326" s="1"/>
  <c r="I10" i="326"/>
  <c r="J10" i="326" s="1"/>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s="1"/>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F76" i="242"/>
  <c r="E76" i="242"/>
  <c r="D76" i="242"/>
  <c r="C99" i="242"/>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47" i="241" s="1"/>
  <c r="G235" i="330"/>
  <c r="G47" i="241" s="1"/>
  <c r="F235" i="330"/>
  <c r="F47" i="241" s="1"/>
  <c r="E235" i="330"/>
  <c r="E47" i="241" s="1"/>
  <c r="D235" i="330"/>
  <c r="D47" i="241" s="1"/>
  <c r="C235" i="330"/>
  <c r="C47" i="241" s="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s="1"/>
  <c r="C186" i="330"/>
  <c r="C37" i="241" s="1"/>
  <c r="I188" i="330"/>
  <c r="J188" i="330" s="1"/>
  <c r="I187" i="330"/>
  <c r="J187" i="330" s="1"/>
  <c r="A176" i="330"/>
  <c r="A175" i="330"/>
  <c r="A174" i="330"/>
  <c r="K171" i="330"/>
  <c r="K35" i="241" s="1"/>
  <c r="G171" i="330"/>
  <c r="G35" i="241" s="1"/>
  <c r="F171" i="330"/>
  <c r="F35" i="241" s="1"/>
  <c r="E171" i="330"/>
  <c r="E35" i="241" s="1"/>
  <c r="D171" i="330"/>
  <c r="D35" i="241" s="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D29" i="241" s="1"/>
  <c r="K27" i="330"/>
  <c r="K11" i="241" s="1"/>
  <c r="H27" i="330"/>
  <c r="H11" i="241" s="1"/>
  <c r="G27" i="330"/>
  <c r="G11" i="241" s="1"/>
  <c r="F27" i="330"/>
  <c r="F11" i="241" s="1"/>
  <c r="E27" i="330"/>
  <c r="E11" i="241" s="1"/>
  <c r="D27" i="330"/>
  <c r="D11" i="241" s="1"/>
  <c r="C27" i="330"/>
  <c r="C11" i="241" s="1"/>
  <c r="C10" i="241" s="1"/>
  <c r="K10" i="330"/>
  <c r="G8" i="241"/>
  <c r="E10" i="330"/>
  <c r="D10" i="330"/>
  <c r="D6" i="330" s="1"/>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G32" i="241" s="1"/>
  <c r="H146" i="330"/>
  <c r="H32" i="241" s="1"/>
  <c r="K146" i="330"/>
  <c r="K32" i="241" s="1"/>
  <c r="I147" i="330"/>
  <c r="J147" i="330" s="1"/>
  <c r="A148" i="330"/>
  <c r="A149" i="330"/>
  <c r="C149" i="330"/>
  <c r="C34" i="241" s="1"/>
  <c r="C33" i="241" s="1"/>
  <c r="D149" i="330"/>
  <c r="D34" i="241" s="1"/>
  <c r="D33" i="241" s="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s="1"/>
  <c r="I77" i="330"/>
  <c r="J77" i="330" s="1"/>
  <c r="I81" i="330"/>
  <c r="J81" i="330" s="1"/>
  <c r="I80" i="330"/>
  <c r="J80" i="330" s="1"/>
  <c r="I79" i="330"/>
  <c r="J79" i="330" s="1"/>
  <c r="I78" i="330"/>
  <c r="J78" i="330" s="1"/>
  <c r="I83" i="330"/>
  <c r="J83" i="330" s="1"/>
  <c r="I82" i="330"/>
  <c r="J82" i="330" s="1"/>
  <c r="K67" i="330"/>
  <c r="K15" i="241" s="1"/>
  <c r="H67" i="330"/>
  <c r="H15" i="241" s="1"/>
  <c r="I15" i="241" s="1"/>
  <c r="J15" i="241" s="1"/>
  <c r="G67" i="330"/>
  <c r="F67" i="330"/>
  <c r="F15" i="241"/>
  <c r="E67" i="330"/>
  <c r="E15" i="241" s="1"/>
  <c r="D67" i="330"/>
  <c r="C67" i="330"/>
  <c r="C15" i="241"/>
  <c r="H64" i="330"/>
  <c r="H14" i="241" s="1"/>
  <c r="G64" i="330"/>
  <c r="G14" i="241" s="1"/>
  <c r="F64" i="330"/>
  <c r="F14" i="241" s="1"/>
  <c r="E64" i="330"/>
  <c r="E14" i="241" s="1"/>
  <c r="D64" i="330"/>
  <c r="D14" i="241"/>
  <c r="K64" i="330"/>
  <c r="K14" i="241" s="1"/>
  <c r="C64" i="330"/>
  <c r="C14" i="241"/>
  <c r="I69" i="330"/>
  <c r="J69" i="330"/>
  <c r="I68" i="330"/>
  <c r="J68" i="330" s="1"/>
  <c r="I71" i="330"/>
  <c r="J71" i="330"/>
  <c r="I70" i="330"/>
  <c r="J70" i="330"/>
  <c r="I66" i="330"/>
  <c r="J66" i="330" s="1"/>
  <c r="I65" i="330"/>
  <c r="J65" i="330" s="1"/>
  <c r="K49" i="330"/>
  <c r="K12" i="241" s="1"/>
  <c r="G49" i="330"/>
  <c r="G12" i="241" s="1"/>
  <c r="F49" i="330"/>
  <c r="F12" i="241" s="1"/>
  <c r="E49" i="330"/>
  <c r="E12" i="241" s="1"/>
  <c r="D49" i="330"/>
  <c r="D12" i="241" s="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s="1"/>
  <c r="I60" i="318"/>
  <c r="J60" i="318" s="1"/>
  <c r="I59" i="318"/>
  <c r="J59" i="318"/>
  <c r="I58" i="318"/>
  <c r="J58" i="318" s="1"/>
  <c r="I57" i="318"/>
  <c r="J57" i="318" s="1"/>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s="1"/>
  <c r="K57" i="268"/>
  <c r="G57" i="268"/>
  <c r="F57" i="268"/>
  <c r="E57" i="268"/>
  <c r="D57" i="268"/>
  <c r="C57" i="268"/>
  <c r="C118" i="330"/>
  <c r="C25" i="241" s="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s="1"/>
  <c r="K196" i="323"/>
  <c r="K26" i="272" s="1"/>
  <c r="K207" i="323"/>
  <c r="K27" i="272" s="1"/>
  <c r="K218" i="323"/>
  <c r="K28" i="272"/>
  <c r="K229" i="323"/>
  <c r="K29" i="272" s="1"/>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196" i="323"/>
  <c r="G26" i="272" s="1"/>
  <c r="G207" i="323"/>
  <c r="G27" i="272" s="1"/>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s="1"/>
  <c r="K171" i="324"/>
  <c r="K26" i="268" s="1"/>
  <c r="K160" i="324"/>
  <c r="K25" i="268" s="1"/>
  <c r="K149" i="324"/>
  <c r="K24" i="268" s="1"/>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H27" i="268" s="1"/>
  <c r="F182" i="324"/>
  <c r="F27" i="268" s="1"/>
  <c r="E182" i="324"/>
  <c r="E27" i="268" s="1"/>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s="1"/>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c r="K23" i="324"/>
  <c r="K9" i="268" s="1"/>
  <c r="K18" i="324"/>
  <c r="K8" i="268" s="1"/>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G10" i="268" s="1"/>
  <c r="F29" i="324"/>
  <c r="F10" i="268" s="1"/>
  <c r="E29" i="324"/>
  <c r="E10" i="268" s="1"/>
  <c r="D29" i="324"/>
  <c r="D10" i="268"/>
  <c r="G23" i="324"/>
  <c r="G9" i="268" s="1"/>
  <c r="F23" i="324"/>
  <c r="F9" i="268" s="1"/>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6" i="330" s="1"/>
  <c r="C24" i="330"/>
  <c r="C9" i="241"/>
  <c r="C87" i="330"/>
  <c r="C18" i="241" s="1"/>
  <c r="C92" i="330"/>
  <c r="C75" i="330" s="1"/>
  <c r="C19" i="241"/>
  <c r="C100" i="330"/>
  <c r="C104" i="330"/>
  <c r="C22" i="241" s="1"/>
  <c r="C20" i="241" s="1"/>
  <c r="C108" i="330"/>
  <c r="C23" i="241"/>
  <c r="K7" i="330"/>
  <c r="K24" i="330"/>
  <c r="K9" i="241" s="1"/>
  <c r="K87" i="330"/>
  <c r="K18" i="241" s="1"/>
  <c r="K92" i="330"/>
  <c r="K19" i="241"/>
  <c r="K100" i="330"/>
  <c r="K21" i="241" s="1"/>
  <c r="K104" i="330"/>
  <c r="K22" i="241" s="1"/>
  <c r="K108" i="330"/>
  <c r="K23" i="241" s="1"/>
  <c r="K118" i="330"/>
  <c r="K25" i="241" s="1"/>
  <c r="K129" i="330"/>
  <c r="K30" i="241" s="1"/>
  <c r="K177" i="330"/>
  <c r="K36" i="241" s="1"/>
  <c r="K189" i="330"/>
  <c r="K38" i="241" s="1"/>
  <c r="K198" i="330"/>
  <c r="K209" i="330"/>
  <c r="K41" i="241"/>
  <c r="K214" i="330"/>
  <c r="K42" i="241" s="1"/>
  <c r="K222" i="330"/>
  <c r="K44" i="241" s="1"/>
  <c r="K226" i="330"/>
  <c r="K45" i="241" s="1"/>
  <c r="K230" i="330"/>
  <c r="K46" i="241" s="1"/>
  <c r="K240" i="330"/>
  <c r="K48" i="241" s="1"/>
  <c r="H7" i="330"/>
  <c r="H7" i="241" s="1"/>
  <c r="H24" i="330"/>
  <c r="H9" i="241" s="1"/>
  <c r="H92" i="330"/>
  <c r="H19" i="241" s="1"/>
  <c r="H100" i="330"/>
  <c r="H21" i="241" s="1"/>
  <c r="H129" i="330"/>
  <c r="H189" i="330"/>
  <c r="H38" i="241" s="1"/>
  <c r="H209" i="330"/>
  <c r="H41" i="241" s="1"/>
  <c r="H226" i="330"/>
  <c r="I226" i="330" s="1"/>
  <c r="J226" i="330" s="1"/>
  <c r="H45" i="241"/>
  <c r="G7" i="330"/>
  <c r="G7" i="241" s="1"/>
  <c r="G24" i="330"/>
  <c r="G87" i="330"/>
  <c r="G18" i="241" s="1"/>
  <c r="G92" i="330"/>
  <c r="G100" i="330"/>
  <c r="G21" i="241" s="1"/>
  <c r="G104" i="330"/>
  <c r="G22" i="241" s="1"/>
  <c r="G108" i="330"/>
  <c r="G118" i="330"/>
  <c r="G25" i="241" s="1"/>
  <c r="G129" i="330"/>
  <c r="G30" i="241" s="1"/>
  <c r="G36" i="241"/>
  <c r="G189" i="330"/>
  <c r="G38" i="241" s="1"/>
  <c r="G198" i="330"/>
  <c r="G40" i="241" s="1"/>
  <c r="G209" i="330"/>
  <c r="G41" i="241" s="1"/>
  <c r="G214" i="330"/>
  <c r="G42" i="241" s="1"/>
  <c r="G222" i="330"/>
  <c r="G44" i="241" s="1"/>
  <c r="G226" i="330"/>
  <c r="G45" i="241" s="1"/>
  <c r="G230" i="330"/>
  <c r="G46" i="241" s="1"/>
  <c r="G240" i="330"/>
  <c r="F7" i="330"/>
  <c r="F24" i="330"/>
  <c r="F87" i="330"/>
  <c r="F18" i="241" s="1"/>
  <c r="F92" i="330"/>
  <c r="F19" i="241" s="1"/>
  <c r="F100" i="330"/>
  <c r="F104" i="330"/>
  <c r="F22" i="241" s="1"/>
  <c r="F108" i="330"/>
  <c r="F23" i="241" s="1"/>
  <c r="F118" i="330"/>
  <c r="F25" i="241" s="1"/>
  <c r="F129" i="330"/>
  <c r="F30" i="241" s="1"/>
  <c r="F36" i="241"/>
  <c r="F189" i="330"/>
  <c r="F38" i="241" s="1"/>
  <c r="F198" i="330"/>
  <c r="F40" i="241" s="1"/>
  <c r="F209" i="330"/>
  <c r="F41" i="241" s="1"/>
  <c r="F214" i="330"/>
  <c r="F42" i="241" s="1"/>
  <c r="F222" i="330"/>
  <c r="F44" i="241" s="1"/>
  <c r="F226" i="330"/>
  <c r="F45" i="241" s="1"/>
  <c r="F230" i="330"/>
  <c r="F46" i="241" s="1"/>
  <c r="F240" i="330"/>
  <c r="F48" i="241" s="1"/>
  <c r="E7" i="330"/>
  <c r="E7" i="241" s="1"/>
  <c r="E24" i="330"/>
  <c r="E9" i="241" s="1"/>
  <c r="E87" i="330"/>
  <c r="E18" i="241" s="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s="1"/>
  <c r="E230" i="330"/>
  <c r="E46" i="241" s="1"/>
  <c r="E240" i="330"/>
  <c r="E48" i="241" s="1"/>
  <c r="D7" i="330"/>
  <c r="D7" i="241"/>
  <c r="D6" i="241" s="1"/>
  <c r="D24" i="330"/>
  <c r="D9" i="241" s="1"/>
  <c r="D87" i="330"/>
  <c r="D75" i="330" s="1"/>
  <c r="D92" i="330"/>
  <c r="D19" i="241"/>
  <c r="D100" i="330"/>
  <c r="D21" i="241" s="1"/>
  <c r="D20" i="241" s="1"/>
  <c r="D104" i="330"/>
  <c r="D22" i="241"/>
  <c r="D108" i="330"/>
  <c r="D23" i="241"/>
  <c r="D118" i="330"/>
  <c r="D25" i="241"/>
  <c r="D129" i="330"/>
  <c r="D32" i="241"/>
  <c r="D177" i="330"/>
  <c r="D189" i="330"/>
  <c r="D148" i="330" s="1"/>
  <c r="D198" i="330"/>
  <c r="D197" i="330" s="1"/>
  <c r="D40" i="241"/>
  <c r="D209" i="330"/>
  <c r="D41" i="241"/>
  <c r="D214" i="330"/>
  <c r="D42" i="241"/>
  <c r="D222" i="330"/>
  <c r="D44" i="241"/>
  <c r="D43" i="241" s="1"/>
  <c r="D226" i="330"/>
  <c r="D45" i="241"/>
  <c r="D230" i="330"/>
  <c r="D46" i="241"/>
  <c r="D240" i="330"/>
  <c r="D48" i="241"/>
  <c r="C240" i="330"/>
  <c r="C48" i="241"/>
  <c r="C230" i="330"/>
  <c r="C46" i="241"/>
  <c r="C226" i="330"/>
  <c r="C45" i="241"/>
  <c r="C222" i="330"/>
  <c r="C44" i="241"/>
  <c r="C214" i="330"/>
  <c r="C42" i="241"/>
  <c r="C209" i="330"/>
  <c r="C197" i="330" s="1"/>
  <c r="C41" i="241"/>
  <c r="C39" i="241" s="1"/>
  <c r="C198" i="330"/>
  <c r="C40" i="241"/>
  <c r="C189" i="330"/>
  <c r="C38" i="241"/>
  <c r="C177" i="330"/>
  <c r="C148" i="330" s="1"/>
  <c r="C247" i="330" s="1"/>
  <c r="C257" i="330" s="1"/>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H37" i="177"/>
  <c r="G45" i="267" s="1"/>
  <c r="G37" i="177"/>
  <c r="F37" i="177"/>
  <c r="E45" i="267"/>
  <c r="E37" i="177"/>
  <c r="D45" i="267"/>
  <c r="D37" i="177"/>
  <c r="C45" i="267"/>
  <c r="C37" i="177"/>
  <c r="B45" i="267"/>
  <c r="K28" i="177"/>
  <c r="J44" i="267" s="1"/>
  <c r="H28" i="177"/>
  <c r="G44" i="267" s="1"/>
  <c r="G28" i="177"/>
  <c r="F28" i="177"/>
  <c r="E44" i="267" s="1"/>
  <c r="E28" i="177"/>
  <c r="D44" i="267" s="1"/>
  <c r="C28" i="177"/>
  <c r="B44" i="267"/>
  <c r="K18" i="177"/>
  <c r="J43" i="267" s="1"/>
  <c r="G18" i="177"/>
  <c r="F43" i="267" s="1"/>
  <c r="F18" i="177"/>
  <c r="E43" i="267" s="1"/>
  <c r="E18" i="177"/>
  <c r="D43" i="267" s="1"/>
  <c r="E77" i="100"/>
  <c r="E46" i="267"/>
  <c r="G48" i="178"/>
  <c r="H49" i="174" s="1"/>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c r="C28" i="323"/>
  <c r="C8" i="272"/>
  <c r="C39" i="323"/>
  <c r="C9" i="272"/>
  <c r="C50" i="323"/>
  <c r="C10" i="272"/>
  <c r="C61" i="323"/>
  <c r="C11" i="272"/>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9" i="272" s="1"/>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8" i="272"/>
  <c r="G30" i="272"/>
  <c r="I30" i="272"/>
  <c r="J30" i="272"/>
  <c r="G31" i="272"/>
  <c r="G32" i="272"/>
  <c r="I32" i="272"/>
  <c r="J32" i="272"/>
  <c r="H32"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s="1"/>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F13" i="178"/>
  <c r="G52" i="174" s="1"/>
  <c r="F48" i="178"/>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s="1"/>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s="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s="1"/>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7" i="174" s="1"/>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I67" i="318" s="1"/>
  <c r="J67" i="318" s="1"/>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s="1"/>
  <c r="I65" i="318"/>
  <c r="J65" i="318" s="1"/>
  <c r="I64" i="318"/>
  <c r="J64" i="318"/>
  <c r="I62" i="318"/>
  <c r="J62" i="318" s="1"/>
  <c r="I56" i="318"/>
  <c r="J56" i="318" s="1"/>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C28" i="272"/>
  <c r="D17" i="272"/>
  <c r="I72" i="323"/>
  <c r="J72" i="323"/>
  <c r="C31" i="183"/>
  <c r="F45" i="267"/>
  <c r="H15" i="272"/>
  <c r="I105" i="323"/>
  <c r="J105" i="323"/>
  <c r="J29" i="267"/>
  <c r="B100" i="100"/>
  <c r="K117" i="326"/>
  <c r="G110" i="335"/>
  <c r="I130" i="335"/>
  <c r="J130" i="335" s="1"/>
  <c r="H110" i="333"/>
  <c r="E117" i="333"/>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F110" i="325"/>
  <c r="E110" i="325"/>
  <c r="D7" i="325"/>
  <c r="I63" i="325"/>
  <c r="J63" i="325"/>
  <c r="H117" i="325"/>
  <c r="I157" i="325"/>
  <c r="J157" i="325"/>
  <c r="E7" i="325"/>
  <c r="E166" i="325" s="1"/>
  <c r="I99" i="325"/>
  <c r="J99" i="325"/>
  <c r="F110" i="326"/>
  <c r="E110" i="326"/>
  <c r="J63" i="326"/>
  <c r="I135" i="326"/>
  <c r="J135" i="326"/>
  <c r="I17" i="326"/>
  <c r="J17" i="326" s="1"/>
  <c r="I69" i="326"/>
  <c r="J69" i="326"/>
  <c r="I114" i="326"/>
  <c r="J114" i="326"/>
  <c r="I157" i="326"/>
  <c r="J157" i="326" s="1"/>
  <c r="C117" i="326"/>
  <c r="G117" i="326"/>
  <c r="I160" i="326"/>
  <c r="J160" i="326"/>
  <c r="I99" i="326"/>
  <c r="J99" i="326"/>
  <c r="H110" i="326"/>
  <c r="D117" i="326"/>
  <c r="H117" i="326"/>
  <c r="I117" i="326" s="1"/>
  <c r="J117" i="326" s="1"/>
  <c r="I148" i="326"/>
  <c r="J148" i="326"/>
  <c r="I13" i="326"/>
  <c r="J13" i="326"/>
  <c r="E7" i="326"/>
  <c r="J163" i="326"/>
  <c r="E117" i="326"/>
  <c r="J118" i="326"/>
  <c r="E75" i="326"/>
  <c r="I103" i="326"/>
  <c r="J103" i="326" s="1"/>
  <c r="I151" i="326"/>
  <c r="J151" i="326" s="1"/>
  <c r="C75" i="242"/>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99" i="242"/>
  <c r="J99" i="242"/>
  <c r="I24" i="330"/>
  <c r="J24" i="330" s="1"/>
  <c r="I67" i="330"/>
  <c r="J67" i="330" s="1"/>
  <c r="C21" i="241"/>
  <c r="G9" i="241"/>
  <c r="I9" i="241" s="1"/>
  <c r="J9" i="241" s="1"/>
  <c r="E8" i="241"/>
  <c r="C53" i="182"/>
  <c r="D28" i="174"/>
  <c r="D11" i="267"/>
  <c r="I53" i="242"/>
  <c r="J53" i="242"/>
  <c r="I114" i="242"/>
  <c r="J114" i="242" s="1"/>
  <c r="D36" i="241"/>
  <c r="C221" i="330"/>
  <c r="C128" i="330"/>
  <c r="C99" i="330"/>
  <c r="D39" i="174"/>
  <c r="O52" i="317"/>
  <c r="O54" i="317"/>
  <c r="O56" i="317"/>
  <c r="P55" i="317"/>
  <c r="P56" i="317"/>
  <c r="Q55" i="317"/>
  <c r="Q56" i="317"/>
  <c r="D31" i="183"/>
  <c r="E7" i="272"/>
  <c r="G8" i="334"/>
  <c r="C49" i="318"/>
  <c r="C104" i="318"/>
  <c r="G65" i="317"/>
  <c r="G52" i="317"/>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8" i="335"/>
  <c r="J118" i="335"/>
  <c r="P65" i="317"/>
  <c r="P52" i="317"/>
  <c r="P54" i="317"/>
  <c r="H14" i="272"/>
  <c r="D45" i="174"/>
  <c r="D7" i="174"/>
  <c r="B18" i="267"/>
  <c r="B19" i="267"/>
  <c r="J36" i="267"/>
  <c r="H52" i="174"/>
  <c r="E22" i="241"/>
  <c r="A207" i="323"/>
  <c r="A23" i="324"/>
  <c r="A27" i="272"/>
  <c r="A182" i="324"/>
  <c r="C28" i="334"/>
  <c r="G32" i="334"/>
  <c r="F31" i="334"/>
  <c r="G138" i="242"/>
  <c r="G110" i="326"/>
  <c r="I110" i="326"/>
  <c r="J110" i="326"/>
  <c r="I111" i="326"/>
  <c r="J111" i="326"/>
  <c r="C7" i="333"/>
  <c r="C75" i="333"/>
  <c r="B11" i="267"/>
  <c r="B39" i="267"/>
  <c r="C41" i="178"/>
  <c r="C43" i="178"/>
  <c r="C54" i="178"/>
  <c r="B99" i="100"/>
  <c r="B94" i="100"/>
  <c r="A18" i="268"/>
  <c r="A18" i="272"/>
  <c r="A251" i="323"/>
  <c r="A13" i="272"/>
  <c r="D28" i="334"/>
  <c r="D49" i="334"/>
  <c r="K110" i="325"/>
  <c r="K7" i="335"/>
  <c r="I13" i="242"/>
  <c r="J13" i="242" s="1"/>
  <c r="B3" i="100"/>
  <c r="D2" i="326" s="1"/>
  <c r="A39" i="323"/>
  <c r="B98" i="100"/>
  <c r="A149" i="324"/>
  <c r="A28" i="268"/>
  <c r="A13" i="268"/>
  <c r="A6" i="268"/>
  <c r="A7" i="324"/>
  <c r="A32" i="272"/>
  <c r="A9" i="272"/>
  <c r="A138" i="323"/>
  <c r="A50" i="323"/>
  <c r="B77" i="100"/>
  <c r="B93" i="100"/>
  <c r="E31" i="183"/>
  <c r="C63" i="268"/>
  <c r="C29" i="267"/>
  <c r="C33" i="267"/>
  <c r="D18" i="267"/>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C29" i="241"/>
  <c r="D30" i="241"/>
  <c r="D128" i="330"/>
  <c r="I28" i="177"/>
  <c r="J28" i="177" s="1"/>
  <c r="P66" i="317"/>
  <c r="K68" i="318"/>
  <c r="I29" i="183"/>
  <c r="I31" i="183"/>
  <c r="G31" i="183"/>
  <c r="D2" i="269"/>
  <c r="I65" i="317"/>
  <c r="G22" i="334"/>
  <c r="C54" i="317"/>
  <c r="C56" i="317"/>
  <c r="D55" i="317"/>
  <c r="D56" i="317"/>
  <c r="E55" i="317"/>
  <c r="L52" i="317"/>
  <c r="L54" i="317"/>
  <c r="L66" i="317"/>
  <c r="L65" i="317"/>
  <c r="D2" i="241"/>
  <c r="D2" i="183"/>
  <c r="C2" i="317"/>
  <c r="D2" i="177"/>
  <c r="E47" i="318"/>
  <c r="J65" i="317"/>
  <c r="G18" i="272"/>
  <c r="H20" i="272"/>
  <c r="I116" i="323"/>
  <c r="J116" i="323"/>
  <c r="A196" i="323"/>
  <c r="A8" i="268"/>
  <c r="B33" i="267"/>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G14" i="272"/>
  <c r="I14" i="272"/>
  <c r="J14" i="272"/>
  <c r="B43" i="267"/>
  <c r="C39" i="177"/>
  <c r="C41" i="177"/>
  <c r="B46" i="267"/>
  <c r="D2" i="174"/>
  <c r="C2" i="268"/>
  <c r="C2" i="269"/>
  <c r="H34" i="272"/>
  <c r="I34" i="272"/>
  <c r="J34" i="272"/>
  <c r="I110" i="325"/>
  <c r="J110" i="325"/>
  <c r="E100" i="318"/>
  <c r="E102" i="318"/>
  <c r="C49" i="334"/>
  <c r="G36" i="272"/>
  <c r="I306" i="323"/>
  <c r="J306" i="323"/>
  <c r="G41" i="334"/>
  <c r="F47" i="334"/>
  <c r="G47" i="334"/>
  <c r="B20" i="267"/>
  <c r="B23" i="267"/>
  <c r="B25" i="267"/>
  <c r="E12" i="272"/>
  <c r="D2" i="242"/>
  <c r="C77" i="172"/>
  <c r="D2" i="323"/>
  <c r="C2" i="267"/>
  <c r="D2" i="333"/>
  <c r="F16" i="334"/>
  <c r="K52" i="317"/>
  <c r="K65" i="317"/>
  <c r="E106" i="318"/>
  <c r="E49" i="318"/>
  <c r="E104" i="318" s="1"/>
  <c r="E105" i="318" s="1"/>
  <c r="F31" i="183"/>
  <c r="C47" i="334"/>
  <c r="I38" i="272"/>
  <c r="J38" i="272"/>
  <c r="K7" i="333"/>
  <c r="E75" i="325"/>
  <c r="I114" i="333"/>
  <c r="J114" i="333"/>
  <c r="G110" i="333"/>
  <c r="I110" i="333"/>
  <c r="J110" i="333"/>
  <c r="E110" i="335"/>
  <c r="C110" i="333"/>
  <c r="C166" i="333"/>
  <c r="G138" i="335"/>
  <c r="E7" i="335"/>
  <c r="E50" i="318"/>
  <c r="G16" i="334"/>
  <c r="F28" i="334"/>
  <c r="F49" i="334"/>
  <c r="G49" i="334"/>
  <c r="G28" i="334"/>
  <c r="D63" i="268"/>
  <c r="I37" i="272"/>
  <c r="J37" i="272"/>
  <c r="I273" i="323"/>
  <c r="J273" i="323"/>
  <c r="D339" i="323"/>
  <c r="C339" i="323"/>
  <c r="W340" i="323"/>
  <c r="C25" i="272"/>
  <c r="C39" i="272"/>
  <c r="P340" i="323"/>
  <c r="R340" i="323"/>
  <c r="T340" i="323"/>
  <c r="L340" i="323"/>
  <c r="O340" i="323"/>
  <c r="G20" i="272"/>
  <c r="I20" i="272"/>
  <c r="J20" i="272"/>
  <c r="H19" i="272"/>
  <c r="I19" i="272"/>
  <c r="J19" i="272"/>
  <c r="H18" i="272"/>
  <c r="I18" i="272"/>
  <c r="J18" i="272"/>
  <c r="C21" i="272"/>
  <c r="C171" i="323"/>
  <c r="C341" i="323"/>
  <c r="A218" i="323"/>
  <c r="A28" i="272"/>
  <c r="A10" i="272"/>
  <c r="A10" i="268"/>
  <c r="D39" i="272"/>
  <c r="D171" i="323"/>
  <c r="D8" i="272"/>
  <c r="D38" i="241"/>
  <c r="D15" i="24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C21" i="268"/>
  <c r="D21" i="268"/>
  <c r="H18" i="324"/>
  <c r="H19" i="268"/>
  <c r="I19" i="268"/>
  <c r="J19" i="268"/>
  <c r="I281" i="324"/>
  <c r="I17" i="268"/>
  <c r="J17" i="268"/>
  <c r="C314" i="324"/>
  <c r="T315" i="324"/>
  <c r="D39" i="268"/>
  <c r="U315" i="324"/>
  <c r="H34" i="268"/>
  <c r="I259" i="324"/>
  <c r="C39" i="268"/>
  <c r="D314" i="324"/>
  <c r="C145" i="324"/>
  <c r="G16" i="268"/>
  <c r="I16" i="268"/>
  <c r="J16" i="268"/>
  <c r="G30" i="268"/>
  <c r="I215" i="324"/>
  <c r="H35" i="268"/>
  <c r="I270" i="324"/>
  <c r="H15" i="268"/>
  <c r="I15" i="268"/>
  <c r="J15" i="268"/>
  <c r="H7" i="324"/>
  <c r="H6" i="268" s="1"/>
  <c r="H12" i="324"/>
  <c r="I14" i="324"/>
  <c r="J14" i="324" s="1"/>
  <c r="H32" i="268"/>
  <c r="I237" i="324"/>
  <c r="H37" i="268"/>
  <c r="I292" i="324"/>
  <c r="G20" i="268"/>
  <c r="I20" i="268"/>
  <c r="J20" i="268"/>
  <c r="G24" i="268"/>
  <c r="G33" i="268"/>
  <c r="I248" i="324"/>
  <c r="G38" i="268"/>
  <c r="I303" i="324"/>
  <c r="H23" i="324"/>
  <c r="H9" i="268" s="1"/>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c r="H35" i="324"/>
  <c r="H11" i="268" s="1"/>
  <c r="I27" i="324"/>
  <c r="J27" i="324" s="1"/>
  <c r="H57" i="268"/>
  <c r="I57" i="268" s="1"/>
  <c r="J57" i="268" s="1"/>
  <c r="I49" i="268"/>
  <c r="J49" i="268" s="1"/>
  <c r="I45" i="268"/>
  <c r="J45" i="268" s="1"/>
  <c r="H235" i="330"/>
  <c r="H47" i="241" s="1"/>
  <c r="I223" i="330"/>
  <c r="J223" i="330" s="1"/>
  <c r="I179" i="330"/>
  <c r="J179" i="330" s="1"/>
  <c r="H171" i="330"/>
  <c r="H118" i="330"/>
  <c r="H25" i="241" s="1"/>
  <c r="I88" i="330"/>
  <c r="J88" i="330" s="1"/>
  <c r="C316" i="324"/>
  <c r="C40" i="268"/>
  <c r="B28" i="267"/>
  <c r="D316" i="324"/>
  <c r="I31" i="268"/>
  <c r="J31" i="268"/>
  <c r="D40" i="268"/>
  <c r="J281" i="324"/>
  <c r="I36" i="268"/>
  <c r="J36" i="268"/>
  <c r="I38" i="268"/>
  <c r="J38" i="268"/>
  <c r="J303" i="324"/>
  <c r="I30" i="268"/>
  <c r="J30" i="268"/>
  <c r="J215" i="324"/>
  <c r="J248" i="324"/>
  <c r="I33" i="268"/>
  <c r="J33" i="268"/>
  <c r="I32" i="268"/>
  <c r="J32" i="268"/>
  <c r="J237" i="324"/>
  <c r="J292" i="324"/>
  <c r="I37" i="268"/>
  <c r="J37" i="268"/>
  <c r="I35" i="268"/>
  <c r="J35" i="268"/>
  <c r="J270" i="324"/>
  <c r="I34" i="268"/>
  <c r="J34" i="268"/>
  <c r="J259" i="324"/>
  <c r="D86" i="268"/>
  <c r="E46" i="174"/>
  <c r="E8" i="174"/>
  <c r="C86" i="268"/>
  <c r="D46" i="174"/>
  <c r="D8" i="174"/>
  <c r="C28" i="267"/>
  <c r="G8" i="272"/>
  <c r="D43" i="178"/>
  <c r="D54" i="178"/>
  <c r="C37" i="267"/>
  <c r="H45" i="335"/>
  <c r="H27" i="335"/>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F33"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I113" i="330"/>
  <c r="J113" i="330" s="1"/>
  <c r="H18" i="241"/>
  <c r="I60" i="330"/>
  <c r="J60" i="330" s="1"/>
  <c r="H49" i="330"/>
  <c r="H12" i="241" s="1"/>
  <c r="K8" i="241"/>
  <c r="A1" i="331"/>
  <c r="B4" i="331"/>
  <c r="B8" i="331"/>
  <c r="A1" i="328"/>
  <c r="H50" i="267"/>
  <c r="I157" i="335"/>
  <c r="J157" i="335" s="1"/>
  <c r="H6" i="180"/>
  <c r="I6" i="180" s="1"/>
  <c r="C31" i="172"/>
  <c r="G10" i="180"/>
  <c r="N56" i="317"/>
  <c r="N66" i="317"/>
  <c r="C64" i="269"/>
  <c r="D64" i="269"/>
  <c r="C63" i="270"/>
  <c r="E17" i="174"/>
  <c r="E26" i="174"/>
  <c r="E28" i="174"/>
  <c r="E27" i="174"/>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G49" i="174" l="1"/>
  <c r="G10" i="174" s="1"/>
  <c r="F75" i="242"/>
  <c r="G75" i="242"/>
  <c r="I15" i="180"/>
  <c r="I154" i="333"/>
  <c r="J154" i="333" s="1"/>
  <c r="I140" i="326"/>
  <c r="J140" i="326" s="1"/>
  <c r="I27" i="326"/>
  <c r="J27" i="326" s="1"/>
  <c r="I149" i="324"/>
  <c r="J149" i="324" s="1"/>
  <c r="F7" i="325"/>
  <c r="I38" i="326"/>
  <c r="J38" i="326" s="1"/>
  <c r="F7" i="242"/>
  <c r="F61" i="270"/>
  <c r="N24" i="238"/>
  <c r="O12" i="238"/>
  <c r="H138" i="335"/>
  <c r="I138" i="335" s="1"/>
  <c r="J138" i="335" s="1"/>
  <c r="H6" i="267"/>
  <c r="I6" i="267" s="1"/>
  <c r="I75" i="326"/>
  <c r="J75" i="326" s="1"/>
  <c r="E166" i="326"/>
  <c r="K7" i="326"/>
  <c r="E75" i="335"/>
  <c r="E33" i="270"/>
  <c r="K39" i="177"/>
  <c r="K41" i="177" s="1"/>
  <c r="J46" i="267" s="1"/>
  <c r="H11" i="174"/>
  <c r="J40" i="267"/>
  <c r="J37" i="267"/>
  <c r="E26" i="178"/>
  <c r="I182" i="324"/>
  <c r="K314" i="324"/>
  <c r="K316" i="324" s="1"/>
  <c r="D33" i="267"/>
  <c r="K63" i="268"/>
  <c r="H7" i="174"/>
  <c r="D19" i="267"/>
  <c r="C16" i="241"/>
  <c r="D10" i="241"/>
  <c r="D26" i="241" s="1"/>
  <c r="D26" i="330"/>
  <c r="D125" i="330" s="1"/>
  <c r="D256" i="330" s="1"/>
  <c r="D99" i="330"/>
  <c r="I45" i="241"/>
  <c r="J45" i="241" s="1"/>
  <c r="C26" i="330"/>
  <c r="C125" i="330" s="1"/>
  <c r="D221" i="330"/>
  <c r="C7" i="241"/>
  <c r="C6" i="241" s="1"/>
  <c r="C26" i="241" s="1"/>
  <c r="K221" i="330"/>
  <c r="D18" i="241"/>
  <c r="D16" i="241" s="1"/>
  <c r="D39" i="241"/>
  <c r="I171" i="330"/>
  <c r="J171" i="330" s="1"/>
  <c r="E99" i="330"/>
  <c r="F6" i="330"/>
  <c r="C43" i="241"/>
  <c r="C49" i="241" s="1"/>
  <c r="D49" i="241"/>
  <c r="D247" i="330"/>
  <c r="K43" i="241"/>
  <c r="K26" i="330"/>
  <c r="E6" i="330"/>
  <c r="J14" i="180"/>
  <c r="G50" i="267"/>
  <c r="G14" i="174"/>
  <c r="I50" i="267"/>
  <c r="E26" i="175"/>
  <c r="E27" i="175" s="1"/>
  <c r="J26" i="175"/>
  <c r="J27" i="175" s="1"/>
  <c r="D53" i="172"/>
  <c r="F39" i="177"/>
  <c r="F75" i="335"/>
  <c r="G117" i="325"/>
  <c r="I117" i="325" s="1"/>
  <c r="J117" i="325" s="1"/>
  <c r="F7" i="326"/>
  <c r="F166" i="326" s="1"/>
  <c r="F117" i="242"/>
  <c r="F62" i="269"/>
  <c r="F64" i="269" s="1"/>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24" i="268"/>
  <c r="J24" i="268" s="1"/>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H10" i="174"/>
  <c r="H13" i="174"/>
  <c r="G43" i="178"/>
  <c r="G54" i="178" s="1"/>
  <c r="K21" i="268"/>
  <c r="K39" i="268"/>
  <c r="J33" i="267"/>
  <c r="J18" i="267"/>
  <c r="J19" i="267" s="1"/>
  <c r="J11" i="267"/>
  <c r="H55" i="174"/>
  <c r="H27" i="174" s="1"/>
  <c r="K38" i="182"/>
  <c r="K42" i="182" s="1"/>
  <c r="K44" i="182" s="1"/>
  <c r="K46" i="182" s="1"/>
  <c r="K48" i="182" s="1"/>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I104" i="330"/>
  <c r="J104" i="330" s="1"/>
  <c r="G99" i="330"/>
  <c r="K197" i="330"/>
  <c r="K40" i="241"/>
  <c r="K39" i="241" s="1"/>
  <c r="K148" i="330"/>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E43" i="178" s="1"/>
  <c r="E54" i="178" s="1"/>
  <c r="F53" i="174"/>
  <c r="F39" i="174"/>
  <c r="D37" i="267"/>
  <c r="E39" i="268"/>
  <c r="E314" i="324"/>
  <c r="E21" i="268"/>
  <c r="E145" i="324"/>
  <c r="E74" i="268"/>
  <c r="E63" i="268"/>
  <c r="D20" i="267"/>
  <c r="D23" i="267" s="1"/>
  <c r="D25" i="267" s="1"/>
  <c r="F28" i="174"/>
  <c r="F26" i="174"/>
  <c r="F17" i="174"/>
  <c r="E339" i="323"/>
  <c r="E39" i="272"/>
  <c r="E21" i="272"/>
  <c r="E40" i="272" s="1"/>
  <c r="E171" i="323"/>
  <c r="E221" i="330"/>
  <c r="E43" i="241"/>
  <c r="E39" i="241"/>
  <c r="E197" i="330"/>
  <c r="D257"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G74" i="268"/>
  <c r="I74" i="268" s="1"/>
  <c r="J74" i="268" s="1"/>
  <c r="F29" i="267"/>
  <c r="B61" i="100"/>
  <c r="A1" i="175" s="1"/>
  <c r="O20" i="238"/>
  <c r="O22" i="238" s="1"/>
  <c r="G7" i="174"/>
  <c r="K21" i="175"/>
  <c r="G62" i="269"/>
  <c r="G75" i="335"/>
  <c r="I75" i="335" s="1"/>
  <c r="J75" i="335" s="1"/>
  <c r="I99" i="333"/>
  <c r="J99" i="333" s="1"/>
  <c r="I17" i="325"/>
  <c r="J17" i="325" s="1"/>
  <c r="I38" i="242"/>
  <c r="J38" i="242" s="1"/>
  <c r="I17" i="180"/>
  <c r="J17" i="180"/>
  <c r="J16" i="180"/>
  <c r="I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F38" i="182"/>
  <c r="F42" i="182" s="1"/>
  <c r="F44" i="182" s="1"/>
  <c r="F46" i="182" s="1"/>
  <c r="F48" i="182" s="1"/>
  <c r="D104" i="172"/>
  <c r="C79" i="172"/>
  <c r="B79" i="172" s="1"/>
  <c r="C171" i="335"/>
  <c r="D166" i="242"/>
  <c r="I76" i="242"/>
  <c r="J76" i="242" s="1"/>
  <c r="D171" i="326"/>
  <c r="D171" i="335"/>
  <c r="D171" i="242"/>
  <c r="C171" i="326"/>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F166" i="325"/>
  <c r="I154" i="242"/>
  <c r="J154" i="242" s="1"/>
  <c r="H7" i="180"/>
  <c r="I7" i="180" s="1"/>
  <c r="J7" i="180"/>
  <c r="H13" i="180"/>
  <c r="I13" i="180" s="1"/>
  <c r="H17" i="180"/>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F166" i="242" l="1"/>
  <c r="O24" i="238"/>
  <c r="J182" i="324"/>
  <c r="I27" i="268"/>
  <c r="J27" i="268" s="1"/>
  <c r="H17" i="174"/>
  <c r="E341" i="323"/>
  <c r="C248" i="330"/>
  <c r="C256" i="330"/>
  <c r="C50" i="241"/>
  <c r="D248" i="330"/>
  <c r="D50" i="241"/>
  <c r="F6" i="241"/>
  <c r="F26" i="241" s="1"/>
  <c r="K247" i="330"/>
  <c r="K257" i="330" s="1"/>
  <c r="I24" i="272"/>
  <c r="I39" i="272" s="1"/>
  <c r="H46" i="267"/>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I10" i="241"/>
  <c r="J10" i="241" s="1"/>
  <c r="H166" i="335"/>
  <c r="H166" i="325"/>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J24" i="272" l="1"/>
  <c r="E171" i="242"/>
  <c r="E171" i="335"/>
  <c r="E171" i="326"/>
  <c r="I166" i="325"/>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<sst xmlns="http://schemas.openxmlformats.org/spreadsheetml/2006/main" count="3028" uniqueCount="1489">
  <si>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</si>
  <si>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</si>
  <si>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</si>
  <si>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</si>
  <si>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</si>
  <si>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</si>
  <si>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</si>
  <si>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</si>
  <si>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</si>
  <si>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</si>
  <si>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</si>
  <si>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</si>
  <si>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</si>
  <si>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</si>
  <si>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</si>
  <si>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</si>
  <si>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</si>
  <si>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</si>
  <si>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</si>
  <si>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</si>
  <si>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</si>
  <si>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</si>
  <si>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</si>
  <si>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</si>
  <si>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</si>
  <si>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</si>
  <si>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</si>
  <si>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</si>
  <si>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</si>
  <si>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</si>
  <si>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</si>
  <si>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</si>
  <si>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</si>
  <si>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</si>
  <si>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</si>
  <si>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</si>
  <si>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</si>
  <si>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</si>
  <si>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</si>
  <si>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</si>
  <si>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</si>
  <si>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</si>
  <si>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</si>
  <si>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</si>
  <si>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</si>
  <si>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</si>
  <si>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</si>
  <si>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</si>
  <si>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</si>
  <si>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</si>
  <si>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</si>
  <si>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</si>
  <si>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</si>
  <si>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</si>
  <si>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</si>
  <si>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</si>
  <si>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</si>
  <si>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</si>
  <si>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</si>
  <si>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</si>
  <si>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</si>
  <si>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</si>
  <si>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</si>
  <si>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</si>
  <si>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</si>
  <si>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</si>
  <si>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</si>
  <si>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</si>
  <si>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</si>
  <si>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</si>
  <si>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</si>
  <si>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</si>
  <si>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</si>
  <si>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</si>
  <si>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</si>
  <si>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</si>
  <si>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</si>
  <si>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</si>
  <si>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</si>
  <si>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</si>
  <si>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</si>
  <si>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</si>
  <si>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</si>
  <si>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</si>
  <si>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</si>
  <si>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</si>
  <si>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</si>
  <si>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</si>
  <si>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</si>
  <si>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</si>
  <si>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</si>
  <si>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</si>
  <si>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</si>
  <si>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</si>
  <si>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</si>
  <si>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</si>
  <si>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</si>
  <si>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</si>
  <si>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</si>
  <si>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</si>
  <si>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</si>
  <si>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</si>
  <si>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</si>
  <si>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</si>
  <si>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</si>
  <si>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</si>
  <si>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</si>
  <si>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</si>
  <si>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</si>
  <si>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</si>
  <si>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</si>
  <si>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</si>
  <si>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</si>
  <si>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</si>
  <si>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</si>
  <si>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</si>
  <si>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</si>
  <si>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</si>
  <si>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</si>
  <si>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</si>
  <si>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</si>
  <si>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</si>
  <si>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</si>
  <si>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</si>
  <si>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</si>
  <si>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</si>
  <si>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</si>
  <si>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</si>
  <si>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</si>
  <si>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</si>
  <si>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</si>
  <si>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</si>
  <si>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</si>
  <si>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</si>
  <si>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</si>
  <si>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</si>
  <si>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</si>
  <si>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</si>
  <si>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</si>
  <si>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</si>
  <si>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</si>
  <si>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</si>
  <si>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</si>
  <si>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</si>
  <si>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</si>
  <si>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</si>
  <si>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</si>
  <si>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</si>
  <si>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</si>
  <si>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</si>
  <si>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</si>
  <si>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</si>
  <si>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</si>
  <si>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</si>
  <si>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</si>
  <si>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</si>
  <si>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</si>
  <si>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</si>
  <si>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</si>
  <si>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</si>
  <si>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</si>
  <si>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</si>
  <si>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</si>
  <si>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</si>
  <si>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</si>
  <si>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</si>
  <si>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</si>
  <si>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</si>
  <si>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</si>
  <si>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</si>
  <si>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</si>
  <si>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</si>
  <si>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</si>
  <si>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</si>
  <si>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</si>
  <si>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</si>
  <si>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</si>
  <si>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</si>
  <si>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</si>
  <si>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</si>
  <si>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</si>
  <si>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</si>
  <si>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</si>
  <si>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</si>
  <si>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</si>
  <si>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</si>
  <si>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</si>
  <si>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</si>
  <si>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</si>
  <si>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</si>
  <si>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</si>
  <si>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</si>
  <si>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</si>
  <si>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</si>
  <si>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</si>
  <si>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</si>
  <si>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</si>
  <si>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</si>
  <si>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</si>
  <si>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</si>
  <si>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</si>
  <si>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</si>
  <si>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</si>
  <si>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</si>
  <si>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</si>
  <si>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</si>
  <si>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</si>
  <si>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</si>
  <si>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</si>
  <si>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</si>
  <si>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</si>
  <si>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</si>
  <si>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</si>
  <si>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</si>
  <si>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</si>
  <si>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</si>
  <si>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</si>
  <si>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</si>
  <si>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</si>
  <si>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</si>
  <si>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</si>
  <si>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</si>
  <si>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</si>
  <si>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</si>
  <si>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</si>
  <si>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</si>
  <si>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</si>
  <si>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</si>
  <si>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</si>
  <si>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</si>
  <si>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</si>
  <si>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</si>
  <si>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</si>
  <si>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</si>
  <si>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</si>
  <si>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</si>
  <si>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</si>
  <si>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</si>
  <si>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</si>
  <si>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</si>
  <si>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</si>
  <si>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</si>
  <si>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</si>
  <si>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</si>
  <si>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</si>
  <si>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</si>
  <si>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</si>
  <si>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</si>
  <si>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</si>
  <si>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</si>
  <si>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</si>
  <si>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</si>
  <si>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</si>
  <si>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</si>
  <si>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</si>
  <si>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</si>
  <si>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</si>
  <si>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</si>
  <si>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</si>
  <si>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</si>
  <si>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</si>
  <si>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</si>
  <si>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</si>
  <si>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</si>
  <si>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</si>
  <si>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</si>
  <si>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</si>
  <si>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</si>
  <si>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</si>
  <si>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</si>
  <si>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</si>
  <si>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</si>
  <si>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</si>
  <si>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</si>
  <si>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</si>
  <si>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</si>
  <si>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</si>
  <si>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</si>
  <si>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</si>
  <si>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</si>
  <si>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</si>
  <si>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</si>
  <si>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</si>
  <si>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</si>
  <si>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</si>
  <si>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</si>
  <si>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</si>
  <si>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</si>
  <si>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</si>
  <si>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</si>
  <si>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</si>
  <si>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</si>
  <si>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</si>
  <si>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</si>
  <si>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</si>
  <si>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</si>
  <si>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</si>
  <si>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</si>
  <si>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</si>
  <si>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</si>
  <si>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</si>
  <si>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</si>
  <si>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</si>
  <si>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</si>
  <si>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</si>
  <si>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</si>
  <si>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</si>
  <si>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</si>
  <si>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</si>
  <si>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</si>
  <si>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</si>
  <si>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</si>
  <si>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</si>
  <si>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</si>
  <si>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</si>
  <si>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</si>
  <si>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</si>
  <si>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</si>
  <si>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</si>
  <si>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</si>
  <si>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</si>
  <si>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</si>
  <si>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</si>
  <si>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</si>
  <si>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</si>
  <si>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</si>
  <si>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</si>
  <si>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</si>
  <si>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</si>
  <si>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</si>
  <si>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</si>
  <si>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</si>
  <si>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</si>
  <si>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</si>
  <si>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</si>
  <si>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</si>
  <si>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</si>
  <si>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</si>
  <si>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</si>
  <si>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</si>
  <si>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</si>
  <si>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</si>
  <si>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</si>
  <si>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</si>
  <si>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</si>
  <si>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</si>
  <si>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</si>
  <si>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</si>
  <si>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</si>
  <si>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</si>
  <si>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</si>
  <si>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</si>
  <si>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</si>
  <si>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</si>
  <si>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</si>
  <si>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</si>
  <si>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</si>
  <si>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</si>
  <si>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</si>
  <si>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</si>
  <si>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</si>
  <si>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</si>
  <si>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</si>
  <si>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</si>
  <si>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</si>
  <si>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</si>
  <si>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</si>
  <si>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</si>
  <si>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</si>
  <si>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</si>
  <si>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</si>
  <si>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</si>
  <si>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</si>
  <si>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</si>
  <si>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</si>
  <si>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</si>
  <si>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</si>
  <si>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</si>
  <si>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</si>
  <si>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</si>
  <si>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</si>
  <si>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</si>
  <si>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</si>
  <si>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</si>
  <si>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</si>
  <si>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</si>
  <si>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</si>
  <si>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</si>
  <si>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</si>
  <si>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</si>
  <si>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</si>
  <si>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</si>
  <si>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</si>
  <si>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</si>
  <si>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</si>
  <si>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</si>
  <si>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</si>
  <si>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</si>
  <si>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</si>
  <si>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</si>
  <si>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</si>
  <si>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</si>
  <si>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</si>
  <si>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</si>
  <si>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</si>
  <si>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</si>
  <si>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</si>
  <si>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</si>
  <si>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</si>
  <si>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</si>
  <si>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</si>
  <si>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</si>
  <si>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</si>
  <si>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</si>
  <si>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</si>
  <si>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</si>
  <si>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</si>
  <si>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</si>
  <si>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</si>
  <si>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</si>
  <si>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</si>
  <si>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</si>
  <si>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</si>
  <si>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</si>
  <si>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</si>
  <si>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</si>
  <si>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</si>
  <si>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</si>
  <si>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</si>
  <si>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</si>
  <si>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</si>
  <si>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</si>
  <si>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</si>
  <si>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</si>
  <si>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</si>
  <si>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</si>
  <si>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</si>
  <si>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</si>
  <si>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</si>
  <si>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</si>
  <si>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</si>
  <si>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</si>
  <si>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</si>
  <si>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</si>
  <si>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</si>
  <si>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</si>
  <si>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</si>
  <si>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</si>
  <si>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</si>
  <si>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</si>
  <si>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</si>
  <si>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</si>
  <si>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</si>
  <si>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</si>
  <si>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</si>
  <si>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</si>
  <si>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</si>
  <si>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</si>
  <si>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</si>
  <si>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</si>
  <si>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</si>
  <si>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</si>
  <si>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</si>
  <si>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</si>
  <si>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</si>
  <si>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</si>
  <si>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</si>
  <si>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</si>
  <si>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</si>
  <si>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</si>
  <si>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</si>
  <si>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</si>
  <si>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</si>
  <si>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</si>
  <si>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</si>
  <si>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</si>
  <si>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</si>
  <si>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</si>
  <si>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</si>
  <si>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</si>
  <si>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</si>
  <si>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</si>
  <si>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</si>
  <si>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</si>
  <si>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</si>
  <si>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</si>
  <si>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</si>
  <si>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</si>
  <si>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</si>
  <si>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</si>
  <si>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</si>
  <si>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</si>
  <si>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</si>
  <si>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</si>
  <si>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</si>
  <si>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</si>
  <si>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</si>
  <si>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</si>
  <si>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</si>
  <si>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</si>
  <si>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</si>
  <si>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</si>
  <si>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</si>
  <si>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</si>
  <si>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</si>
  <si>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</si>
  <si>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</si>
  <si>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</si>
  <si>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</si>
  <si>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</si>
  <si>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</si>
  <si>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</si>
  <si>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</si>
  <si>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</si>
  <si>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</si>
  <si>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</si>
  <si>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</si>
  <si>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</si>
  <si>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</si>
  <si>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</si>
  <si>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</si>
  <si>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</si>
  <si>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</si>
  <si>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</si>
  <si>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</si>
  <si>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</si>
  <si>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</si>
  <si>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</si>
  <si>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</si>
  <si>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</si>
  <si>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</si>
  <si>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</si>
  <si>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</si>
  <si>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</si>
  <si>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</si>
  <si>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</si>
  <si>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</si>
  <si>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</si>
  <si>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</si>
  <si>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</si>
  <si>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</si>
  <si>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</si>
  <si>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</si>
  <si>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</si>
  <si>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</si>
  <si>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</si>
  <si>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</si>
  <si>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</si>
  <si>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</si>
  <si>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</si>
  <si>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</si>
  <si>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</si>
  <si>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</si>
  <si>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</si>
  <si>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</si>
  <si>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</si>
  <si>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</si>
  <si>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</si>
  <si>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</si>
  <si>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</si>
  <si>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</si>
  <si>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</si>
  <si>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</si>
  <si>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</si>
  <si>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</si>
  <si>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</si>
  <si>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</si>
  <si>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</si>
  <si>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</si>
  <si>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</si>
  <si>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</si>
  <si>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</si>
  <si>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</si>
  <si>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</si>
  <si>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</si>
  <si>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</si>
  <si>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</si>
  <si>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</si>
  <si>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</si>
  <si>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</si>
  <si>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</si>
  <si>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</si>
  <si>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</si>
  <si>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</si>
  <si>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</si>
  <si>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</si>
  <si>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</si>
  <si>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</si>
  <si>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</si>
  <si>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</si>
  <si>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</si>
  <si>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</si>
  <si>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</si>
  <si>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</si>
  <si>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</si>
  <si>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</si>
  <si>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</si>
  <si>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</si>
  <si>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</si>
  <si>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</si>
  <si>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</si>
  <si>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</si>
  <si>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</si>
  <si>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</si>
  <si>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</si>
  <si>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</si>
  <si>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</si>
  <si>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</si>
  <si>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</si>
  <si>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</si>
  <si>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</si>
  <si>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</si>
  <si>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</si>
  <si>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</si>
  <si>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</si>
  <si>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</si>
  <si>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</si>
  <si>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</si>
  <si>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</si>
  <si>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</si>
  <si>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</si>
  <si>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</si>
  <si>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</si>
  <si>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</si>
  <si>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</si>
  <si>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</si>
  <si>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</si>
  <si>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</si>
  <si>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</si>
  <si>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</si>
  <si>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</si>
  <si>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</si>
  <si>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</si>
  <si>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</si>
  <si>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</si>
  <si>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</si>
  <si>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</si>
  <si>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</si>
  <si>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</si>
  <si>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</si>
  <si>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</si>
  <si>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</si>
  <si>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</si>
  <si>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</si>
  <si>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</si>
  <si>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</si>
  <si>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</si>
  <si>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</si>
  <si>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</si>
  <si>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</si>
  <si>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</si>
  <si>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</si>
  <si>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</si>
  <si>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</si>
  <si>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</si>
  <si>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</si>
  <si>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</si>
  <si>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</si>
  <si>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</si>
  <si>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</si>
  <si>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</si>
  <si>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</si>
  <si>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</si>
  <si>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</si>
  <si>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</si>
  <si>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</si>
  <si>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</si>
  <si>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</si>
  <si>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</si>
  <si>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</si>
  <si>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</si>
  <si>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</si>
  <si>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</si>
  <si>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</si>
  <si>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</si>
  <si>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</si>
  <si>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</si>
  <si>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</si>
  <si>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</si>
  <si>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</si>
  <si>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</si>
  <si>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</si>
  <si>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</si>
  <si>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</si>
  <si>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</si>
  <si>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</si>
  <si>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</si>
  <si>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</si>
  <si>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</si>
  <si>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</si>
  <si>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</si>
  <si>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</si>
  <si>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</si>
  <si>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</si>
  <si>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</si>
  <si>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</si>
  <si>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</si>
  <si>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</si>
  <si>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</si>
  <si>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</si>
  <si>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</si>
  <si>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</si>
  <si>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</si>
  <si>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</si>
  <si>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</si>
  <si>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</si>
  <si>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</si>
  <si>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</si>
  <si>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</si>
  <si>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</si>
  <si>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</si>
  <si>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</si>
  <si>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</si>
  <si>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</si>
  <si>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</si>
  <si>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</si>
  <si>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</si>
  <si>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</si>
  <si>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</si>
  <si>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</si>
  <si>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</si>
  <si>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</si>
  <si>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</si>
  <si>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</si>
  <si>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</si>
  <si>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</si>
  <si>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</si>
  <si>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</si>
  <si>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</si>
  <si>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</si>
  <si>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</si>
  <si>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</si>
  <si>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</si>
  <si>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</si>
  <si>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</si>
  <si>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</si>
  <si>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</si>
  <si>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</si>
  <si>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</si>
  <si>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</si>
  <si>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</si>
  <si>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</si>
  <si>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</si>
  <si>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</si>
  <si>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</si>
  <si>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</si>
  <si>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</si>
  <si>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</si>
  <si>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</si>
  <si>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</si>
  <si>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</si>
  <si>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</si>
  <si>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</si>
  <si>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</si>
  <si>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</si>
  <si>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</si>
  <si>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</si>
  <si>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</si>
  <si>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</si>
  <si>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</si>
  <si>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</si>
  <si>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</si>
  <si>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</si>
  <si>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</si>
  <si>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</si>
  <si>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</si>
  <si>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</si>
  <si>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</si>
  <si>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</si>
  <si>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</si>
  <si>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</si>
  <si>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</si>
  <si>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</si>
  <si>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</si>
  <si>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</si>
  <si>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</si>
  <si>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</si>
  <si>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</si>
  <si>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</si>
  <si>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</si>
  <si>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</si>
  <si>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</si>
  <si>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</si>
  <si>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</si>
  <si>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</si>
  <si>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</si>
  <si>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</si>
  <si>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</si>
  <si>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</si>
  <si>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</si>
  <si>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</si>
  <si>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</si>
  <si>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</si>
  <si>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</si>
  <si>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</si>
  <si>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</si>
  <si>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</si>
  <si>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</si>
  <si>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</si>
  <si>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</si>
  <si>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</si>
  <si>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</si>
  <si>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</si>
  <si>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</si>
  <si>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</si>
  <si>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</si>
  <si>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</si>
  <si>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</si>
  <si>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</si>
  <si>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</si>
  <si>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</si>
  <si>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</si>
  <si>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</si>
  <si>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</si>
  <si>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</si>
  <si>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</si>
  <si>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</si>
  <si>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</si>
  <si>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</si>
  <si>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</si>
  <si>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</si>
  <si>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</si>
  <si>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</si>
  <si>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</si>
  <si>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</si>
  <si>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</si>
  <si>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</si>
  <si>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</si>
  <si>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</si>
  <si>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</si>
  <si>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</si>
  <si>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</si>
  <si>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</si>
  <si>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</si>
  <si>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</si>
  <si>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</si>
  <si>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</si>
  <si>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</si>
  <si>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</si>
  <si>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</si>
  <si>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</si>
  <si>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</si>
  <si>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</si>
  <si>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</si>
  <si>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</si>
  <si>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</si>
  <si>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</si>
  <si>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</si>
  <si>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</si>
  <si>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</si>
  <si>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</si>
  <si>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</si>
  <si>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</si>
  <si>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</si>
  <si>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</si>
  <si>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</si>
  <si>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</si>
  <si>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</si>
  <si>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</si>
  <si>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</si>
  <si>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</si>
  <si>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</si>
  <si>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</si>
  <si>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</si>
  <si>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</si>
  <si>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</si>
  <si>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</si>
  <si>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</si>
  <si>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</si>
  <si>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</si>
  <si>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</si>
  <si>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</si>
  <si>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</si>
  <si>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</si>
  <si>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</si>
  <si>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</si>
  <si>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</si>
  <si>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</si>
  <si>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</si>
  <si>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</si>
  <si>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</si>
  <si>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</si>
  <si>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</si>
  <si>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</si>
  <si>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</si>
  <si>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</si>
  <si>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</si>
  <si>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</si>
  <si>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</si>
  <si>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</si>
  <si>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</si>
  <si>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</si>
  <si>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</si>
  <si>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</si>
  <si>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</si>
  <si>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</si>
  <si>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</si>
  <si>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</si>
  <si>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</si>
  <si>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</si>
  <si>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</si>
  <si>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</si>
  <si>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</si>
  <si>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</si>
  <si>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</si>
  <si>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</si>
  <si>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</si>
  <si>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</si>
  <si>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</si>
  <si>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</si>
  <si>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</si>
  <si>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</si>
  <si>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</si>
  <si>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</si>
  <si>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</si>
  <si>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</si>
  <si>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</si>
  <si>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</si>
  <si>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</si>
  <si>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</si>
  <si>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</si>
  <si>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</si>
  <si>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</si>
  <si>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</si>
  <si>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</si>
  <si>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</si>
  <si>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</si>
  <si>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</si>
  <si>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</si>
  <si>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</si>
  <si>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</si>
  <si>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</si>
  <si>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</si>
  <si>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</si>
  <si>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</si>
  <si>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</si>
  <si>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</si>
  <si>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</si>
  <si>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</si>
  <si>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</si>
  <si>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</si>
  <si>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</si>
  <si>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</si>
  <si>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</si>
  <si>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</si>
  <si>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</si>
  <si>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</si>
  <si>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</si>
  <si>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</si>
  <si>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</si>
  <si>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</si>
  <si>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</si>
  <si>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</si>
  <si>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</si>
  <si>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</si>
  <si>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</si>
  <si>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</si>
  <si>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</si>
  <si>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</si>
  <si>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</si>
  <si>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</si>
  <si>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</si>
  <si>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</si>
  <si>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</si>
  <si>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</si>
  <si>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</si>
  <si>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</si>
  <si>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</si>
  <si>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</si>
  <si>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</si>
  <si>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</si>
  <si>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</si>
  <si>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</si>
  <si>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</si>
  <si>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</si>
  <si>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</si>
  <si>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</si>
  <si>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</si>
  <si>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</si>
  <si>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</si>
  <si>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</si>
  <si>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</si>
  <si>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</si>
  <si>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</si>
  <si>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</si>
  <si>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</si>
  <si>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</si>
  <si>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</si>
  <si>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</si>
  <si>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</si>
  <si>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</si>
  <si>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</si>
  <si>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</si>
  <si>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</si>
  <si>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</si>
  <si>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</si>
  <si>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</si>
  <si>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</si>
  <si>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</si>
  <si>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</si>
  <si>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</si>
  <si>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</si>
  <si>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</si>
  <si>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</si>
  <si>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</si>
  <si>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</si>
  <si>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</si>
  <si>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</si>
  <si>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</si>
  <si>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</si>
  <si>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</si>
  <si>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</si>
  <si>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</si>
  <si>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</si>
  <si>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</si>
  <si>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</si>
  <si>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</si>
  <si>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</si>
  <si>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</si>
  <si>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</si>
  <si>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</si>
  <si>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</si>
  <si>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</si>
  <si>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</si>
  <si>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</si>
  <si>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</si>
  <si>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</si>
  <si>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</si>
  <si>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</si>
  <si>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</si>
  <si>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</si>
  <si>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</si>
  <si>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</si>
  <si>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</si>
  <si>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</si>
  <si>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</si>
  <si>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</si>
  <si>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</si>
  <si>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</si>
  <si>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</si>
  <si>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</si>
  <si>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</si>
  <si>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</si>
  <si>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</si>
  <si>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</si>
  <si>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</si>
  <si>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</si>
  <si>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</si>
  <si>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</si>
  <si>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</si>
  <si>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</si>
  <si>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</si>
  <si>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</si>
  <si>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</si>
  <si>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</si>
  <si>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</si>
  <si>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</si>
  <si>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</si>
  <si>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</si>
  <si>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</si>
  <si>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</si>
  <si>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</si>
  <si>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</si>
  <si>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</si>
  <si>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</si>
  <si>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</si>
  <si>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</si>
  <si>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</si>
  <si>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</si>
  <si>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</si>
  <si>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</si>
  <si>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</si>
  <si>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</si>
  <si>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</si>
  <si>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</si>
  <si>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</si>
  <si>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</si>
  <si>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</si>
  <si>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</si>
  <si>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</si>
  <si>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</si>
  <si>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</si>
  <si>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</si>
  <si>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</si>
  <si>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</si>
  <si>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</si>
  <si>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</si>
  <si>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</si>
  <si>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</si>
  <si>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</si>
  <si>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</si>
  <si>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</si>
  <si>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</si>
  <si>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</si>
  <si>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</si>
  <si>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</si>
  <si>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</si>
  <si>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</si>
  <si>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</si>
  <si>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</si>
  <si>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</si>
  <si>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</si>
  <si>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</si>
  <si>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</si>
  <si>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</si>
  <si>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</si>
  <si>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</si>
  <si>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</si>
  <si>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</si>
  <si>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</si>
  <si>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</si>
  <si>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</si>
  <si>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</si>
  <si>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</si>
  <si>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</si>
  <si>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</si>
  <si>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</si>
  <si>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</si>
  <si>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</si>
  <si>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</si>
  <si>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</si>
  <si>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</si>
  <si>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</si>
  <si>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</si>
  <si>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</si>
  <si>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</si>
  <si>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</si>
  <si>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</si>
  <si>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</si>
  <si>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</si>
  <si>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</si>
  <si>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</si>
  <si>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</si>
  <si>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</si>
  <si>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</si>
  <si>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</si>
  <si>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</si>
  <si>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</si>
  <si>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</si>
  <si>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</si>
  <si>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</si>
  <si>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</si>
  <si>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</si>
  <si>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</si>
  <si>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</si>
  <si>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</si>
  <si>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</si>
  <si>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</si>
  <si>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</si>
  <si>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</si>
  <si>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</si>
  <si>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</si>
  <si>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</si>
  <si>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</si>
  <si>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</si>
  <si>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</si>
  <si>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</si>
  <si>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</si>
  <si>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</si>
  <si>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</si>
  <si>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</si>
  <si>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</si>
  <si>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</si>
  <si>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</si>
  <si>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</si>
  <si>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</si>
  <si>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</si>
  <si>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</si>
  <si>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</si>
  <si>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</si>
  <si>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</si>
  <si>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</si>
  <si>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</si>
  <si>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</si>
  <si>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</si>
  <si>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</si>
  <si>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</si>
  <si>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</si>
  <si>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</si>
  <si>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</si>
  <si>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</si>
  <si>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</si>
  <si>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</si>
  <si>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</si>
  <si>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</si>
  <si>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</si>
  <si>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</si>
  <si>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</si>
  <si>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</si>
  <si>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</si>
  <si>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</si>
  <si>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</si>
  <si>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</si>
  <si>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</si>
  <si>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</si>
  <si>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</si>
  <si>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</si>
  <si>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</si>
  <si>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</si>
  <si>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</si>
  <si>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</si>
  <si>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</si>
  <si>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</si>
  <si>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</si>
  <si>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</si>
  <si>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</si>
  <si>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</si>
  <si>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</si>
  <si>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</si>
  <si>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</si>
  <si>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</si>
  <si>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</si>
  <si>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</si>
  <si>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</si>
  <si>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</si>
  <si>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</si>
  <si>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</si>
  <si>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</si>
  <si>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</si>
  <si>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</si>
  <si>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</si>
  <si>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</si>
  <si>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</si>
  <si>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</si>
  <si>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</si>
  <si>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</si>
  <si>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</si>
  <si>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</si>
  <si>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</si>
  <si>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</si>
  <si>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</si>
  <si>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</si>
  <si>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</si>
  <si>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</si>
  <si>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</si>
  <si>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</si>
  <si>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</si>
  <si>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</si>
  <si>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</si>
  <si>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</si>
  <si>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</si>
  <si>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</si>
  <si>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</si>
  <si>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</si>
  <si>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</si>
  <si>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</si>
  <si>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</si>
  <si>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</si>
  <si>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</si>
  <si>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</si>
  <si>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</si>
  <si>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</si>
  <si>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</si>
  <si>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</si>
  <si>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</si>
  <si>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</si>
  <si>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</si>
  <si>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</si>
  <si>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</si>
  <si>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</si>
  <si>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</si>
  <si>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</si>
  <si>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</si>
  <si>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</si>
  <si>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</si>
  <si>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</si>
  <si>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</si>
  <si>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</si>
  <si>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</si>
  <si>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</si>
  <si>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</si>
  <si>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</si>
  <si>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</si>
  <si>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</si>
  <si>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</si>
  <si>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</si>
  <si>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</si>
  <si>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</si>
  <si>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</si>
  <si>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</si>
  <si>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</si>
  <si>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</si>
  <si>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</si>
  <si>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</si>
  <si>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</si>
  <si>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</si>
  <si>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</si>
  <si>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</si>
  <si>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</si>
  <si>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</si>
  <si>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</si>
  <si>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</si>
  <si>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</si>
  <si>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</si>
  <si>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</si>
  <si>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</si>
  <si>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</si>
  <si>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</si>
  <si>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</si>
  <si>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</si>
  <si>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</si>
  <si>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</si>
  <si>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</si>
  <si>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</si>
  <si>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</si>
  <si>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</si>
  <si>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</si>
  <si>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</si>
  <si>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</si>
  <si>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</si>
  <si>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</si>
  <si>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</si>
  <si>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</si>
  <si>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</si>
  <si>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</si>
  <si>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</si>
  <si>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</si>
  <si>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</si>
  <si>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</si>
  <si>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</si>
  <si>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</si>
  <si>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</si>
  <si>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</si>
  <si>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</si>
  <si>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</si>
  <si>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</si>
  <si>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</si>
  <si>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</si>
  <si>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</si>
  <si>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</si>
  <si>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</si>
  <si>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</si>
  <si>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</si>
  <si>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</si>
  <si>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</si>
  <si>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</si>
  <si>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</si>
  <si>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</si>
  <si>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</si>
  <si>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</si>
  <si>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</si>
  <si>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</si>
  <si>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</si>
  <si>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</si>
  <si>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</si>
  <si>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</si>
  <si>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</si>
  <si>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</si>
  <si>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</si>
  <si>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</si>
  <si>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</si>
  <si>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</si>
  <si>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</si>
  <si>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</si>
  <si>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</si>
  <si>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</si>
  <si>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</si>
  <si>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</si>
  <si>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</si>
  <si>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</si>
  <si>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</si>
  <si>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</si>
  <si>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</si>
  <si>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</si>
  <si>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</si>
  <si>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</si>
  <si>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</si>
  <si>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</si>
  <si>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</si>
  <si>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</si>
  <si>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</si>
  <si>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</si>
  <si>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</si>
  <si>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</si>
  <si>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</si>
  <si>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</si>
  <si>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</si>
  <si>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</si>
  <si>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</si>
  <si>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</si>
  <si>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</si>
  <si>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</si>
  <si>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</si>
  <si>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</si>
  <si>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</si>
  <si>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</si>
  <si>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</si>
  <si>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</si>
  <si>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</si>
  <si>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</si>
  <si>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</si>
  <si>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</si>
  <si>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</si>
  <si>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</si>
  <si>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</si>
  <si>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</si>
  <si>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</si>
  <si>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</si>
  <si>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</si>
  <si>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</si>
  <si>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</si>
  <si>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</si>
  <si>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</si>
  <si>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</si>
  <si>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</si>
  <si>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</si>
  <si>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</si>
  <si>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</si>
  <si>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</si>
  <si>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</si>
  <si>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</si>
  <si>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</si>
  <si>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</si>
  <si>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</si>
  <si>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</si>
  <si>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</si>
  <si>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</si>
  <si>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</si>
  <si>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</si>
  <si>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</si>
  <si>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</si>
  <si>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</si>
  <si>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</si>
  <si>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</si>
  <si>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</si>
  <si>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</si>
  <si>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</si>
  <si>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</si>
  <si>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</si>
  <si>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</si>
  <si>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</si>
  <si>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</si>
  <si>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</si>
  <si>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</si>
  <si>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</si>
  <si>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</si>
  <si>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</si>
  <si>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</si>
  <si>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</si>
  <si>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</si>
  <si>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</si>
  <si>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</si>
  <si>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</si>
  <si>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</si>
  <si>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</si>
  <si>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</si>
  <si>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</si>
  <si>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</si>
  <si>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</si>
  <si>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</si>
  <si>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</si>
  <si>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</si>
  <si>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</si>
  <si>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</si>
  <si>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</si>
  <si>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</si>
  <si>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</si>
  <si>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</si>
  <si>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</si>
  <si>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</si>
  <si>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</si>
  <si>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</si>
  <si>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</si>
  <si>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</si>
  <si>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</si>
  <si>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</si>
  <si>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</si>
  <si>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</si>
  <si>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</si>
  <si>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</si>
  <si>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</si>
  <si>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</si>
  <si>
    <t>Economic development tourism</t>
  </si>
  <si>
    <t>Capital Provincial KZN Treausry</t>
  </si>
  <si>
    <t xml:space="preserve">Housing  </t>
  </si>
  <si>
    <t xml:space="preserve"> </t>
  </si>
  <si>
    <t>Rental lower than intially budgeted, hence interest is lower</t>
  </si>
  <si>
    <t>To be adjusted downwards during the adjustment budget</t>
  </si>
  <si>
    <t>Investments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</si>
  <si>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</si>
  <si>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</si>
  <si>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</si>
  <si>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</si>
  <si>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</si>
  <si>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entries for Depreciation have been processed. This is done at year end.</t>
  </si>
  <si>
    <t>Materail purchases are done in bulk and then gets charged to departments as and when they need it.</t>
  </si>
  <si>
    <t>No remedial action is required</t>
  </si>
  <si>
    <t>This will self correct during the year</t>
  </si>
  <si>
    <t>Various reasons have been put forward, capex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</si>
</sst>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483261783.06000006</c:v>
                </c:pt>
                <c:pt idx="1">
                  <c:v>132449818.22000001</c:v>
                </c:pt>
                <c:pt idx="2">
                  <c:v>111333595.33</c:v>
                </c:pt>
                <c:pt idx="3">
                  <c:v>101024496.10000002</c:v>
                </c:pt>
                <c:pt idx="4">
                  <c:v>101571086.48</c:v>
                </c:pt>
                <c:pt idx="5">
                  <c:v>117729370.45999998</c:v>
                </c:pt>
                <c:pt idx="6">
                  <c:v>496966593.84999996</c:v>
                </c:pt>
                <c:pt idx="7">
                  <c:v>3408945382.1200004</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706236012.38999999</c:v>
                </c:pt>
                <c:pt idx="1">
                  <c:v>16375525.92</c:v>
                </c:pt>
                <c:pt idx="2">
                  <c:v>180699068.26000002</c:v>
                </c:pt>
                <c:pt idx="3">
                  <c:v>18837669.799999997</c:v>
                </c:pt>
                <c:pt idx="4">
                  <c:v>122221189.27999999</c:v>
                </c:pt>
                <c:pt idx="5">
                  <c:v>98975212.929999992</c:v>
                </c:pt>
                <c:pt idx="6">
                  <c:v>454294899.34999996</c:v>
                </c:pt>
                <c:pt idx="7">
                  <c:v>2691237135.48</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221782246.63859999</c:v>
                </c:pt>
                <c:pt idx="1">
                  <c:v>739906628.59719992</c:v>
                </c:pt>
                <c:pt idx="2">
                  <c:v>3601876496.8978996</c:v>
                </c:pt>
                <c:pt idx="3">
                  <c:v>241118289.7177</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228641491.38</c:v>
                </c:pt>
                <c:pt idx="1">
                  <c:v>762790338.75999999</c:v>
                </c:pt>
                <c:pt idx="2">
                  <c:v>3713274739.0699997</c:v>
                </c:pt>
                <c:pt idx="3">
                  <c:v>248575556.41</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185515179.43000001</c:v>
                </c:pt>
                <c:pt idx="1">
                  <c:v>106775573.08</c:v>
                </c:pt>
                <c:pt idx="2">
                  <c:v>0</c:v>
                </c:pt>
                <c:pt idx="3">
                  <c:v>196581271.24000001</c:v>
                </c:pt>
                <c:pt idx="4">
                  <c:v>0</c:v>
                </c:pt>
                <c:pt idx="5">
                  <c:v>0</c:v>
                </c:pt>
                <c:pt idx="6">
                  <c:v>63096320.660000004</c:v>
                </c:pt>
                <c:pt idx="7">
                  <c:v>254552.39</c:v>
                </c:pt>
                <c:pt idx="8">
                  <c:v>204427142.44</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317006653.30999994</c:v>
                </c:pt>
                <c:pt idx="1">
                  <c:v>171744844.69999999</c:v>
                </c:pt>
                <c:pt idx="2">
                  <c:v>0</c:v>
                </c:pt>
                <c:pt idx="3">
                  <c:v>218913377.01000005</c:v>
                </c:pt>
                <c:pt idx="4">
                  <c:v>0</c:v>
                </c:pt>
                <c:pt idx="5">
                  <c:v>0</c:v>
                </c:pt>
                <c:pt idx="6">
                  <c:v>81259002.839999989</c:v>
                </c:pt>
                <c:pt idx="7">
                  <c:v>1968437.26</c:v>
                </c:pt>
                <c:pt idx="8">
                  <c:v>263615273.54999998</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35188377.060000002</c:v>
                </c:pt>
                <c:pt idx="8">
                  <c:v>30125543.949999999</c:v>
                </c:pt>
                <c:pt idx="9">
                  <c:v>69137296.340000004</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285834127.19</c:v>
                </c:pt>
                <c:pt idx="8">
                  <c:v>315959671.13999999</c:v>
                </c:pt>
                <c:pt idx="9">
                  <c:v>385096967.48000002</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0" val="9"/>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64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N38" sqref="N3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7" t="str">
        <f>muni&amp; " - "&amp;S71C&amp; " - "&amp;date</f>
        <v>KZN225 Msunduzi - Table C3 Consolidated Monthly Budget Statement - Financial Performance (revenue and expenditure by municipal vote)  - M10 April</v>
      </c>
      <c r="B1" s="1047"/>
      <c r="C1" s="1047"/>
      <c r="D1" s="1047"/>
      <c r="E1" s="1047"/>
      <c r="F1" s="1047"/>
      <c r="G1" s="1047"/>
      <c r="H1" s="1047"/>
      <c r="I1" s="1047"/>
      <c r="J1" s="1047"/>
      <c r="K1" s="1047"/>
    </row>
    <row r="2" spans="1:24" x14ac:dyDescent="0.25">
      <c r="A2" s="20" t="str">
        <f>Vdesc</f>
        <v>Vote Description</v>
      </c>
      <c r="B2" s="1038" t="str">
        <f>head27</f>
        <v>Ref</v>
      </c>
      <c r="C2" s="142" t="str">
        <f>Head1</f>
        <v>2019/20</v>
      </c>
      <c r="D2" s="1040" t="str">
        <f>Head2</f>
        <v>Budget Year 2020/21</v>
      </c>
      <c r="E2" s="1041"/>
      <c r="F2" s="1041"/>
      <c r="G2" s="1041"/>
      <c r="H2" s="1041"/>
      <c r="I2" s="1041"/>
      <c r="J2" s="1041"/>
      <c r="K2" s="1042"/>
    </row>
    <row r="3" spans="1:24" ht="25.5" x14ac:dyDescent="0.25">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0"/>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300000</v>
      </c>
      <c r="G6" s="44">
        <f>'C3C'!G6</f>
        <v>297000</v>
      </c>
      <c r="H6" s="44">
        <f>'C3C'!H6</f>
        <v>3706275.0111666666</v>
      </c>
      <c r="I6" s="44">
        <f>G6-H6</f>
        <v>-3409275.0111666666</v>
      </c>
      <c r="J6" s="715">
        <f>IF(I6=0,"",I6/H6)</f>
        <v>-0.91986563352552997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108546745.68000001</v>
      </c>
      <c r="G7" s="44">
        <f>'C3C'!G17</f>
        <v>1468907337.1800001</v>
      </c>
      <c r="H7" s="44">
        <f>'C3C'!H17</f>
        <v>2070943288.1559443</v>
      </c>
      <c r="I7" s="44">
        <f t="shared" ref="I7:I20" si="0">G7-H7</f>
        <v>-602035950.97594428</v>
      </c>
      <c r="J7" s="715">
        <f t="shared" ref="J7:J21" si="1">IF(I7=0,"",I7/H7)</f>
        <v>-0.29070615039005854</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15265186.870000001</v>
      </c>
      <c r="G8" s="44">
        <f>'C3C'!G28</f>
        <v>159319557.13</v>
      </c>
      <c r="H8" s="44">
        <f>'C3C'!H28</f>
        <v>178886953.57982641</v>
      </c>
      <c r="I8" s="44">
        <f t="shared" si="0"/>
        <v>-19567396.449826419</v>
      </c>
      <c r="J8" s="715">
        <f t="shared" si="1"/>
        <v>-0.10938414489290677</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1122249.97</v>
      </c>
      <c r="G9" s="44">
        <f>'C3C'!G39</f>
        <v>4983570.1999999993</v>
      </c>
      <c r="H9" s="44">
        <f>'C3C'!H39</f>
        <v>16032650.572083334</v>
      </c>
      <c r="I9" s="44">
        <f t="shared" si="0"/>
        <v>-11049080.372083334</v>
      </c>
      <c r="J9" s="715">
        <f t="shared" si="1"/>
        <v>-0.68916117908304053</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352041056.74000001</v>
      </c>
      <c r="G10" s="44">
        <f>'C3C'!G50</f>
        <v>3408872490.4400001</v>
      </c>
      <c r="H10" s="44">
        <f>'C3C'!H50</f>
        <v>2813621977.2512431</v>
      </c>
      <c r="I10" s="44">
        <f t="shared" si="0"/>
        <v>595250513.18875694</v>
      </c>
      <c r="J10" s="715">
        <f t="shared" si="1"/>
        <v>0.21156023019491929</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495093158.38774735</v>
      </c>
      <c r="F11" s="44">
        <f>'C3C'!F61</f>
        <v>11936028.689999999</v>
      </c>
      <c r="G11" s="44">
        <f>'C3C'!G61</f>
        <v>116556202.11</v>
      </c>
      <c r="H11" s="44">
        <f>'C3C'!H61</f>
        <v>412577631.98978949</v>
      </c>
      <c r="I11" s="44">
        <f t="shared" si="0"/>
        <v>-296021429.87978947</v>
      </c>
      <c r="J11" s="715">
        <f t="shared" si="1"/>
        <v>-0.71749267756501989</v>
      </c>
      <c r="K11" s="144">
        <f>'C3C'!K61</f>
        <v>495093158.38774735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6594922531.8720646</v>
      </c>
      <c r="F21" s="73">
        <f t="shared" si="2"/>
        <v>489211267.94999999</v>
      </c>
      <c r="G21" s="73">
        <f t="shared" si="2"/>
        <v>5158936157.0599995</v>
      </c>
      <c r="H21" s="73">
        <f t="shared" si="2"/>
        <v>5495768776.5600529</v>
      </c>
      <c r="I21" s="73">
        <f t="shared" si="2"/>
        <v>-336832619.50005317</v>
      </c>
      <c r="J21" s="716">
        <f t="shared" si="1"/>
        <v>-6.1289445243161343E-2</v>
      </c>
      <c r="K21" s="145">
        <f>SUM(K6:K20)</f>
        <v>6594922531.8720646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11042936.099999998</v>
      </c>
      <c r="G24" s="44">
        <f>'C3C'!G174</f>
        <v>116026793.08000001</v>
      </c>
      <c r="H24" s="44">
        <f>'C3C'!H174</f>
        <v>156191485.16819036</v>
      </c>
      <c r="I24" s="44">
        <f t="shared" ref="I24:I38" si="3">G24-H24</f>
        <v>-40164692.088190347</v>
      </c>
      <c r="J24" s="715">
        <f t="shared" ref="J24:J29" si="4">IF(I24=0,"",I24/H24)</f>
        <v>-0.25715033085792188</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35446069.920000002</v>
      </c>
      <c r="G25" s="44">
        <f>'C3C'!G185</f>
        <v>350881688.29999995</v>
      </c>
      <c r="H25" s="44">
        <f>'C3C'!H185</f>
        <v>587715818.92130017</v>
      </c>
      <c r="I25" s="44">
        <f t="shared" si="3"/>
        <v>-236834130.62130022</v>
      </c>
      <c r="J25" s="715">
        <f t="shared" si="4"/>
        <v>-0.40297389145656837</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68582012.790000007</v>
      </c>
      <c r="G26" s="44">
        <f>'C3C'!G196</f>
        <v>675720639.17999983</v>
      </c>
      <c r="H26" s="44">
        <f>'C3C'!H196</f>
        <v>640857732.63549626</v>
      </c>
      <c r="I26" s="44">
        <f t="shared" si="3"/>
        <v>34862906.54450357</v>
      </c>
      <c r="J26" s="715">
        <f t="shared" si="4"/>
        <v>5.4400383687548813E-2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24482253.550000001</v>
      </c>
      <c r="G27" s="44">
        <f>'C3C'!G207</f>
        <v>120124483.53000002</v>
      </c>
      <c r="H27" s="44">
        <f>'C3C'!H207</f>
        <v>179465794.49257392</v>
      </c>
      <c r="I27" s="44">
        <f t="shared" si="3"/>
        <v>-59341310.962573901</v>
      </c>
      <c r="J27" s="715">
        <f t="shared" si="4"/>
        <v>-0.33065527127527011</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3407283654.0811782</v>
      </c>
      <c r="F28" s="44">
        <f>'C3C'!F218</f>
        <v>290560968.90000004</v>
      </c>
      <c r="G28" s="44">
        <f>'C3C'!G218</f>
        <v>2971301790.8200006</v>
      </c>
      <c r="H28" s="44">
        <f>'C3C'!H218</f>
        <v>2839403045.0676484</v>
      </c>
      <c r="I28" s="44">
        <f t="shared" si="3"/>
        <v>131898745.75235224</v>
      </c>
      <c r="J28" s="715">
        <f t="shared" si="4"/>
        <v>4.6452984538941977E-2</v>
      </c>
      <c r="K28" s="144">
        <f>'C3C'!K218</f>
        <v>3407283654.0811782</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388790375.15482336</v>
      </c>
      <c r="F29" s="44">
        <f>'C3C'!F229</f>
        <v>22492081.019999996</v>
      </c>
      <c r="G29" s="44">
        <f>'C3C'!G229</f>
        <v>202515533.97999996</v>
      </c>
      <c r="H29" s="44">
        <f>'C3C'!H229</f>
        <v>323991979.29568613</v>
      </c>
      <c r="I29" s="44">
        <f t="shared" si="3"/>
        <v>-121476445.31568617</v>
      </c>
      <c r="J29" s="715">
        <f t="shared" si="4"/>
        <v>-0.37493658200971269</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5673151026.6970739</v>
      </c>
      <c r="F39" s="430">
        <f t="shared" si="6"/>
        <v>452606322.28000003</v>
      </c>
      <c r="G39" s="430">
        <f t="shared" si="6"/>
        <v>4436570928.8900003</v>
      </c>
      <c r="H39" s="430">
        <f t="shared" si="6"/>
        <v>4727625855.5808954</v>
      </c>
      <c r="I39" s="430">
        <f t="shared" si="6"/>
        <v>-291054926.69089478</v>
      </c>
      <c r="J39" s="718">
        <f>IF(I39=0,"",I39/H39)</f>
        <v>-6.1564712517871642E-2</v>
      </c>
      <c r="K39" s="513">
        <f>SUM(K24:K38)</f>
        <v>5673151026.6970739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921771505.17499065</v>
      </c>
      <c r="F40" s="55">
        <f t="shared" si="7"/>
        <v>36604945.669999957</v>
      </c>
      <c r="G40" s="55">
        <f t="shared" si="7"/>
        <v>722365228.16999912</v>
      </c>
      <c r="H40" s="55">
        <f t="shared" si="7"/>
        <v>768142920.97915745</v>
      </c>
      <c r="I40" s="55">
        <f>I21-I39</f>
        <v>-45777692.809158385</v>
      </c>
      <c r="J40" s="719">
        <f>IF(I40=0,"",I40/H40)</f>
        <v>-5.9595280460054523E-2</v>
      </c>
      <c r="K40" s="235">
        <f>K21-K39</f>
        <v>921771505.17499065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s="25" customFormat="1" ht="11.25" customHeight="1" x14ac:dyDescent="0.25">
      <c r="A49" s="67"/>
    </row>
    <row r="50" spans="1:1" s="25" customFormat="1" ht="11.25" customHeight="1" x14ac:dyDescent="0.25">
      <c r="A50" s="67"/>
    </row>
    <row r="51" spans="1:1" s="25" customFormat="1" ht="11.25" customHeight="1" x14ac:dyDescent="0.25"/>
    <row r="52" spans="1:1" s="25" customFormat="1" ht="11.25" customHeight="1" x14ac:dyDescent="0.25"/>
    <row r="53" spans="1:1" s="25" customFormat="1" ht="11.25" customHeight="1" x14ac:dyDescent="0.25"/>
    <row r="54" spans="1:1" s="25" customFormat="1" ht="11.25" customHeight="1" x14ac:dyDescent="0.25"/>
    <row r="55" spans="1:1" s="25" customFormat="1" ht="11.25" customHeight="1" x14ac:dyDescent="0.25"/>
    <row r="56" spans="1:1" s="25" customFormat="1" ht="11.25" customHeight="1" x14ac:dyDescent="0.25"/>
    <row r="57" spans="1:1" s="25" customFormat="1" ht="11.25" customHeight="1" x14ac:dyDescent="0.25"/>
    <row r="58" spans="1:1" s="25" customFormat="1" ht="11.25" customHeight="1" x14ac:dyDescent="0.25"/>
    <row r="59" spans="1:1" s="25" customFormat="1" ht="11.25" customHeight="1" x14ac:dyDescent="0.25"/>
    <row r="60" spans="1:1" s="25" customFormat="1" ht="11.25" customHeight="1" x14ac:dyDescent="0.25"/>
    <row r="61" spans="1:1" s="25" customFormat="1" ht="11.25" customHeight="1" x14ac:dyDescent="0.25"/>
    <row r="62" spans="1:1" s="25" customFormat="1" ht="11.25" customHeight="1" x14ac:dyDescent="0.25"/>
    <row r="63" spans="1:1" s="25" customFormat="1" ht="11.25" customHeight="1" x14ac:dyDescent="0.25"/>
    <row r="64" spans="1:1" s="25" customFormat="1"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96" activePane="bottomRight" state="frozen"/>
      <selection pane="topRight"/>
      <selection pane="bottomLeft"/>
      <selection pane="bottomRight" activeCell="F62" sqref="F62:G62"/>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M10 April</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300000</v>
      </c>
      <c r="G6" s="441">
        <f t="shared" si="0"/>
        <v>297000</v>
      </c>
      <c r="H6" s="443">
        <f t="shared" si="0"/>
        <v>3706275.0111666666</v>
      </c>
      <c r="I6" s="44">
        <f t="shared" ref="I6:I69" si="1">G6-H6</f>
        <v>-3409275.0111666666</v>
      </c>
      <c r="J6" s="330">
        <f t="shared" ref="J6:J69" si="2">IF(I6=0,"",I6/H6)</f>
        <v>-0.91986563352552997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E8/12*10</f>
        <v>3706275.0111666666</v>
      </c>
      <c r="I8" s="44">
        <f t="shared" si="1"/>
        <v>-3709275.0111666666</v>
      </c>
      <c r="J8" s="330">
        <f t="shared" si="2"/>
        <v>-1.0008094380451966</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v>300000</v>
      </c>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108546745.68000001</v>
      </c>
      <c r="G17" s="441">
        <f t="shared" si="3"/>
        <v>1468907337.1800001</v>
      </c>
      <c r="H17" s="443">
        <f t="shared" si="3"/>
        <v>2070943288.1559443</v>
      </c>
      <c r="I17" s="44">
        <f t="shared" si="1"/>
        <v>-602035950.97594428</v>
      </c>
      <c r="J17" s="330">
        <f t="shared" si="2"/>
        <v>-0.29070615039005854</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1167908.32</v>
      </c>
      <c r="G18" s="741">
        <v>3444677.65</v>
      </c>
      <c r="H18" s="742"/>
      <c r="I18" s="44">
        <f t="shared" si="1"/>
        <v>3444677.65</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545462.27</v>
      </c>
      <c r="G19" s="741">
        <v>383377033.48000002</v>
      </c>
      <c r="H19" s="742">
        <f>E19/12*10</f>
        <v>506324166.66666746</v>
      </c>
      <c r="I19" s="44">
        <f t="shared" si="1"/>
        <v>-122947133.18666744</v>
      </c>
      <c r="J19" s="330">
        <f t="shared" si="2"/>
        <v>-0.24282296062634559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106821376.3</v>
      </c>
      <c r="G21" s="741">
        <v>1081987156.5599999</v>
      </c>
      <c r="H21" s="742">
        <f>E21/12*10</f>
        <v>1564619121.4892769</v>
      </c>
      <c r="I21" s="44">
        <f t="shared" si="1"/>
        <v>-482631964.92927694</v>
      </c>
      <c r="J21" s="330">
        <f t="shared" si="2"/>
        <v>-0.30846610417868697</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11998.79</v>
      </c>
      <c r="G22" s="741">
        <v>98469.49</v>
      </c>
      <c r="H22" s="742"/>
      <c r="I22" s="44">
        <f t="shared" si="1"/>
        <v>98469.49</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SUM(F29:F32)</f>
        <v>15265186.870000001</v>
      </c>
      <c r="G28" s="441">
        <f>SUM(G29:G32)</f>
        <v>159319557.13</v>
      </c>
      <c r="H28" s="443">
        <f t="shared" si="4"/>
        <v>178886953.57982641</v>
      </c>
      <c r="I28" s="44">
        <f t="shared" si="1"/>
        <v>-19567396.449826419</v>
      </c>
      <c r="J28" s="330">
        <f t="shared" si="2"/>
        <v>-0.10938414489290677</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12919.5</v>
      </c>
      <c r="G29" s="741">
        <v>127288.12</v>
      </c>
      <c r="H29" s="741">
        <f t="shared" ref="H29:H32" si="5">E29/12*10</f>
        <v>2935990.2348333327</v>
      </c>
      <c r="I29" s="258">
        <f t="shared" si="1"/>
        <v>-2808702.1148333326</v>
      </c>
      <c r="J29" s="330">
        <f t="shared" si="2"/>
        <v>-0.95664559149760731</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520693.58</v>
      </c>
      <c r="G30" s="741">
        <v>3148247.89</v>
      </c>
      <c r="H30" s="742">
        <f t="shared" si="5"/>
        <v>4012111.554</v>
      </c>
      <c r="I30" s="44">
        <f t="shared" si="1"/>
        <v>-863863.66399999987</v>
      </c>
      <c r="J30" s="330">
        <f t="shared" si="2"/>
        <v>-0.21531396930844157</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3236492.06</v>
      </c>
      <c r="G31" s="741">
        <v>21976773.350000001</v>
      </c>
      <c r="H31" s="742">
        <f t="shared" si="5"/>
        <v>18313378.989390358</v>
      </c>
      <c r="I31" s="44">
        <f t="shared" si="1"/>
        <v>3663394.3606096432</v>
      </c>
      <c r="J31" s="330">
        <f t="shared" si="2"/>
        <v>0.20003923703714033</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11495081.73</v>
      </c>
      <c r="G32" s="741">
        <v>134067247.77</v>
      </c>
      <c r="H32" s="742">
        <f t="shared" si="5"/>
        <v>153625472.80160272</v>
      </c>
      <c r="I32" s="44">
        <f t="shared" si="1"/>
        <v>-19558225.031602725</v>
      </c>
      <c r="J32" s="330">
        <f t="shared" si="2"/>
        <v>-0.12731108113080242</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1122249.97</v>
      </c>
      <c r="G39" s="441">
        <f t="shared" si="7"/>
        <v>4983570.1999999993</v>
      </c>
      <c r="H39" s="443">
        <f t="shared" si="7"/>
        <v>16032650.572083334</v>
      </c>
      <c r="I39" s="44">
        <f t="shared" si="1"/>
        <v>-11049080.372083334</v>
      </c>
      <c r="J39" s="330">
        <f t="shared" si="2"/>
        <v>-0.68916117908304053</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654788.35</v>
      </c>
      <c r="G40" s="741">
        <v>1820254.13</v>
      </c>
      <c r="H40" s="742">
        <f t="shared" ref="H40:H42" si="8">E40/12*10</f>
        <v>15816715.534083333</v>
      </c>
      <c r="I40" s="44">
        <f t="shared" si="1"/>
        <v>-13996461.404083334</v>
      </c>
      <c r="J40" s="330">
        <f t="shared" si="2"/>
        <v>-0.88491579518658314</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v>116.52</v>
      </c>
      <c r="G41" s="741">
        <v>233.04</v>
      </c>
      <c r="H41" s="742">
        <f t="shared" si="8"/>
        <v>1680.0116666666665</v>
      </c>
      <c r="I41" s="44">
        <f t="shared" si="1"/>
        <v>-1446.9716666666666</v>
      </c>
      <c r="J41" s="330">
        <f t="shared" si="2"/>
        <v>-0.86128667757267563</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v>0</v>
      </c>
      <c r="H42" s="742">
        <f t="shared" si="8"/>
        <v>214255.02633333334</v>
      </c>
      <c r="I42" s="44">
        <f t="shared" si="1"/>
        <v>-214255.02633333334</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467345.1</v>
      </c>
      <c r="G44" s="741">
        <v>3163083.03</v>
      </c>
      <c r="H44" s="742"/>
      <c r="I44" s="44">
        <f t="shared" si="1"/>
        <v>3163083.03</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352041056.74000001</v>
      </c>
      <c r="G50" s="441">
        <f t="shared" si="10"/>
        <v>3408872490.4400001</v>
      </c>
      <c r="H50" s="443">
        <f t="shared" si="10"/>
        <v>2813621977.2512431</v>
      </c>
      <c r="I50" s="44">
        <f t="shared" si="1"/>
        <v>595250513.18875694</v>
      </c>
      <c r="J50" s="330">
        <f t="shared" si="2"/>
        <v>0.21156023019491929</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205867554.47</v>
      </c>
      <c r="G51" s="741">
        <v>1967750973.3499999</v>
      </c>
      <c r="H51" s="742">
        <f t="shared" ref="H51:H54" si="11">E51/12*10</f>
        <v>1489589256.2390587</v>
      </c>
      <c r="I51" s="44">
        <f t="shared" si="1"/>
        <v>478161717.11094117</v>
      </c>
      <c r="J51" s="330">
        <f t="shared" si="2"/>
        <v>0.32100239385333129</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383926.5</v>
      </c>
      <c r="G52" s="741">
        <v>5355462.9800000004</v>
      </c>
      <c r="H52" s="742">
        <f t="shared" si="11"/>
        <v>16364752.720250001</v>
      </c>
      <c r="I52" s="44">
        <f t="shared" si="1"/>
        <v>-11009289.740250001</v>
      </c>
      <c r="J52" s="330">
        <f t="shared" si="2"/>
        <v>-0.67274403276665051</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48213381.229999997</v>
      </c>
      <c r="G53" s="741">
        <v>188599480.61000001</v>
      </c>
      <c r="H53" s="742">
        <f t="shared" si="11"/>
        <v>54827333.129429333</v>
      </c>
      <c r="I53" s="44">
        <f t="shared" si="1"/>
        <v>133772147.48057067</v>
      </c>
      <c r="J53" s="330">
        <f t="shared" si="2"/>
        <v>2.4398806187559505</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97576194.540000007</v>
      </c>
      <c r="G54" s="741">
        <v>1247166573.5</v>
      </c>
      <c r="H54" s="742">
        <f t="shared" si="11"/>
        <v>1252840635.1625051</v>
      </c>
      <c r="I54" s="44">
        <f t="shared" si="1"/>
        <v>-5674061.6625051498</v>
      </c>
      <c r="J54" s="330">
        <f t="shared" si="2"/>
        <v>-4.5289572378606402E-3</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495093158.38774735</v>
      </c>
      <c r="F61" s="443">
        <f t="shared" si="13"/>
        <v>11936028.689999999</v>
      </c>
      <c r="G61" s="441">
        <f t="shared" si="13"/>
        <v>116556202.11</v>
      </c>
      <c r="H61" s="443">
        <f t="shared" si="13"/>
        <v>412577631.98978949</v>
      </c>
      <c r="I61" s="44">
        <f t="shared" si="1"/>
        <v>-296021429.87978947</v>
      </c>
      <c r="J61" s="330">
        <f t="shared" si="2"/>
        <v>-0.71749267756501989</v>
      </c>
      <c r="K61" s="442">
        <f t="shared" si="13"/>
        <v>495093158.38774735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513935</v>
      </c>
      <c r="F62" s="742">
        <v>2679128.86</v>
      </c>
      <c r="G62" s="741">
        <v>32581782.829999998</v>
      </c>
      <c r="H62" s="742">
        <f t="shared" ref="H62:H65" si="14">E62/12*10</f>
        <v>428279.16666666663</v>
      </c>
      <c r="I62" s="44">
        <f t="shared" si="1"/>
        <v>32153503.66333333</v>
      </c>
      <c r="J62" s="330">
        <f t="shared" si="2"/>
        <v>75.076039569206216</v>
      </c>
      <c r="K62" s="743">
        <f t="shared" ref="K62:K65" si="15">E62</f>
        <v>513935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553454.9</v>
      </c>
      <c r="G63" s="741">
        <v>707415.62</v>
      </c>
      <c r="H63" s="742">
        <f t="shared" si="14"/>
        <v>37518572.631999999</v>
      </c>
      <c r="I63" s="44">
        <f t="shared" si="1"/>
        <v>-36811157.012000002</v>
      </c>
      <c r="J63" s="330">
        <f t="shared" si="2"/>
        <v>-0.98114492182475421</v>
      </c>
      <c r="K63" s="743">
        <f t="shared" si="15"/>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386941932.54334736</v>
      </c>
      <c r="F64" s="742">
        <v>4488884.3099999996</v>
      </c>
      <c r="G64" s="741">
        <v>75580147.859999999</v>
      </c>
      <c r="H64" s="742">
        <f t="shared" si="14"/>
        <v>322451610.45278949</v>
      </c>
      <c r="I64" s="44">
        <f t="shared" si="1"/>
        <v>-246871462.59278947</v>
      </c>
      <c r="J64" s="330">
        <f t="shared" si="2"/>
        <v>-0.76560778296666065</v>
      </c>
      <c r="K64" s="743">
        <f t="shared" si="15"/>
        <v>386941932.54334736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4214560.62</v>
      </c>
      <c r="G65" s="741">
        <v>7686855.7999999998</v>
      </c>
      <c r="H65" s="742">
        <f t="shared" si="14"/>
        <v>52179169.738333337</v>
      </c>
      <c r="I65" s="44">
        <f t="shared" si="1"/>
        <v>-44492313.93833334</v>
      </c>
      <c r="J65" s="330">
        <f t="shared" si="2"/>
        <v>-0.85268343979891148</v>
      </c>
      <c r="K65" s="743">
        <f t="shared" si="15"/>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6594922531.8720646</v>
      </c>
      <c r="F171" s="450">
        <f t="shared" si="30"/>
        <v>489211267.94999999</v>
      </c>
      <c r="G171" s="448">
        <f t="shared" si="30"/>
        <v>5158936157.0599995</v>
      </c>
      <c r="H171" s="450">
        <f t="shared" si="30"/>
        <v>5495768776.5600529</v>
      </c>
      <c r="I171" s="514">
        <f t="shared" si="24"/>
        <v>-336832619.50005341</v>
      </c>
      <c r="J171" s="515">
        <f t="shared" si="25"/>
        <v>-6.1289445243161385E-2</v>
      </c>
      <c r="K171" s="449">
        <f t="shared" si="30"/>
        <v>6594922531.8720646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187429782.20182845</v>
      </c>
      <c r="F174" s="470">
        <f t="shared" si="31"/>
        <v>11042936.099999998</v>
      </c>
      <c r="G174" s="468">
        <f t="shared" si="31"/>
        <v>116026793.08000001</v>
      </c>
      <c r="H174" s="470">
        <f t="shared" si="31"/>
        <v>156191485.16819036</v>
      </c>
      <c r="I174" s="44">
        <f t="shared" si="24"/>
        <v>-40164692.088190347</v>
      </c>
      <c r="J174" s="330">
        <f t="shared" si="25"/>
        <v>-0.25715033085792188</v>
      </c>
      <c r="K174" s="469">
        <f t="shared" si="31"/>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888792.87999999977</v>
      </c>
      <c r="G175" s="733">
        <v>12953323.370000001</v>
      </c>
      <c r="H175" s="746">
        <f t="shared" ref="H175:H178" si="32">E175/12*10</f>
        <v>16689714.719743328</v>
      </c>
      <c r="I175" s="44">
        <f t="shared" si="24"/>
        <v>-3736391.3497433271</v>
      </c>
      <c r="J175" s="330">
        <f t="shared" si="25"/>
        <v>-0.22387388954727377</v>
      </c>
      <c r="K175" s="747">
        <f t="shared" ref="K175:K178" si="33">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2603805.4099999992</v>
      </c>
      <c r="G176" s="733">
        <v>31544196.669999998</v>
      </c>
      <c r="H176" s="746">
        <f t="shared" si="32"/>
        <v>37363397.756801538</v>
      </c>
      <c r="I176" s="44">
        <f t="shared" si="24"/>
        <v>-5819201.0868015401</v>
      </c>
      <c r="J176" s="330">
        <f t="shared" si="25"/>
        <v>-0.15574603585783972</v>
      </c>
      <c r="K176" s="747">
        <f t="shared" si="33"/>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6776912.4300000006</v>
      </c>
      <c r="G177" s="733">
        <v>66029579.910000019</v>
      </c>
      <c r="H177" s="746">
        <f t="shared" si="32"/>
        <v>91362962.031345502</v>
      </c>
      <c r="I177" s="44">
        <f t="shared" si="24"/>
        <v>-25333382.121345483</v>
      </c>
      <c r="J177" s="330">
        <f t="shared" si="25"/>
        <v>-0.27728284589387453</v>
      </c>
      <c r="K177" s="747">
        <f t="shared" si="33"/>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773425.37999999989</v>
      </c>
      <c r="G178" s="733">
        <v>5499693.129999998</v>
      </c>
      <c r="H178" s="746">
        <f t="shared" si="32"/>
        <v>10775410.660299998</v>
      </c>
      <c r="I178" s="44">
        <f t="shared" si="24"/>
        <v>-5275717.5302999998</v>
      </c>
      <c r="J178" s="330">
        <f t="shared" si="25"/>
        <v>-0.48960709680767922</v>
      </c>
      <c r="K178" s="747">
        <f t="shared" si="33"/>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705258982.70556009</v>
      </c>
      <c r="F185" s="443">
        <f t="shared" si="34"/>
        <v>35446069.920000002</v>
      </c>
      <c r="G185" s="441">
        <f t="shared" si="34"/>
        <v>350881688.29999995</v>
      </c>
      <c r="H185" s="443">
        <f t="shared" si="34"/>
        <v>587715818.92130017</v>
      </c>
      <c r="I185" s="44">
        <f t="shared" si="24"/>
        <v>-236834130.62130022</v>
      </c>
      <c r="J185" s="330">
        <f t="shared" si="25"/>
        <v>-0.40297389145656837</v>
      </c>
      <c r="K185" s="442">
        <f t="shared" si="34"/>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4573154.2299999967</v>
      </c>
      <c r="G186" s="733">
        <v>56190970.98999998</v>
      </c>
      <c r="H186" s="746">
        <f t="shared" ref="H186:H190" si="35">E186/12*10</f>
        <v>80087493.228940442</v>
      </c>
      <c r="I186" s="44">
        <f t="shared" si="24"/>
        <v>-23896522.238940462</v>
      </c>
      <c r="J186" s="330">
        <f t="shared" si="25"/>
        <v>-0.2983801998974942</v>
      </c>
      <c r="K186" s="747">
        <f t="shared" ref="K186:K190" si="36">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7532153.620000002</v>
      </c>
      <c r="G187" s="733">
        <v>72437734.420000032</v>
      </c>
      <c r="H187" s="746">
        <f t="shared" si="35"/>
        <v>34722198.158837415</v>
      </c>
      <c r="I187" s="44">
        <f t="shared" si="24"/>
        <v>37715536.261162616</v>
      </c>
      <c r="J187" s="330">
        <f t="shared" si="25"/>
        <v>1.0862081970914432</v>
      </c>
      <c r="K187" s="747">
        <f t="shared" si="36"/>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3273732.1</v>
      </c>
      <c r="G188" s="733">
        <v>29857852.189999998</v>
      </c>
      <c r="H188" s="746">
        <f t="shared" si="35"/>
        <v>381354685.76257855</v>
      </c>
      <c r="I188" s="44">
        <f t="shared" si="24"/>
        <v>-351496833.57257855</v>
      </c>
      <c r="J188" s="330">
        <f t="shared" si="25"/>
        <v>-0.92170582057935246</v>
      </c>
      <c r="K188" s="747">
        <f t="shared" si="36"/>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7173448.9400000023</v>
      </c>
      <c r="G189" s="733">
        <v>147456837.35999995</v>
      </c>
      <c r="H189" s="746">
        <f t="shared" si="35"/>
        <v>19783608.713782009</v>
      </c>
      <c r="I189" s="44">
        <f t="shared" si="24"/>
        <v>127673228.64621794</v>
      </c>
      <c r="J189" s="330">
        <f t="shared" si="25"/>
        <v>6.4534853318887144</v>
      </c>
      <c r="K189" s="747">
        <f t="shared" si="36"/>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12893581.030000001</v>
      </c>
      <c r="G190" s="733">
        <v>44938293.340000004</v>
      </c>
      <c r="H190" s="746">
        <f t="shared" si="35"/>
        <v>71767833.057161689</v>
      </c>
      <c r="I190" s="44">
        <f t="shared" si="24"/>
        <v>-26829539.717161685</v>
      </c>
      <c r="J190" s="330">
        <f t="shared" si="25"/>
        <v>-0.37383795182714347</v>
      </c>
      <c r="K190" s="747">
        <f t="shared" si="36"/>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769029279.16259539</v>
      </c>
      <c r="F196" s="443">
        <f t="shared" si="37"/>
        <v>68582012.790000007</v>
      </c>
      <c r="G196" s="441">
        <f t="shared" si="37"/>
        <v>675720639.17999983</v>
      </c>
      <c r="H196" s="443">
        <f t="shared" si="37"/>
        <v>640857732.63549626</v>
      </c>
      <c r="I196" s="44">
        <f t="shared" si="24"/>
        <v>34862906.54450357</v>
      </c>
      <c r="J196" s="330">
        <f t="shared" si="25"/>
        <v>5.4400383687548813E-2</v>
      </c>
      <c r="K196" s="442">
        <f t="shared" si="37"/>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2762608.4100000006</v>
      </c>
      <c r="G197" s="733">
        <v>30503321.489999991</v>
      </c>
      <c r="H197" s="746"/>
      <c r="I197" s="44">
        <f t="shared" si="24"/>
        <v>30503321.489999991</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28630926.959999993</v>
      </c>
      <c r="G198" s="733">
        <v>293576080.79999995</v>
      </c>
      <c r="H198" s="746">
        <f t="shared" ref="H198:H200" si="38">E198/12*10</f>
        <v>640659678.46882951</v>
      </c>
      <c r="I198" s="44">
        <f>G198-H198</f>
        <v>-347083597.66882956</v>
      </c>
      <c r="J198" s="330">
        <f t="shared" ref="J198:J261" si="39">IF(I198=0,"",I198/H198)</f>
        <v>-0.54175970383894934</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27513296.810000006</v>
      </c>
      <c r="G199" s="733">
        <v>252169822.08999991</v>
      </c>
      <c r="H199" s="746">
        <f t="shared" si="38"/>
        <v>3114720.833333333</v>
      </c>
      <c r="I199" s="44">
        <f t="shared" ref="I199:I261" si="40">G199-H199</f>
        <v>249055101.25666657</v>
      </c>
      <c r="J199" s="330">
        <f t="shared" si="39"/>
        <v>79.960649632323907</v>
      </c>
      <c r="K199" s="747">
        <f t="shared" ref="K199:K200" si="41">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9675180.6100000013</v>
      </c>
      <c r="G200" s="733">
        <v>99471414.799999982</v>
      </c>
      <c r="H200" s="746">
        <f t="shared" si="38"/>
        <v>-2916666.666666667</v>
      </c>
      <c r="I200" s="44">
        <f t="shared" si="40"/>
        <v>102388081.46666665</v>
      </c>
      <c r="J200" s="330">
        <f t="shared" si="39"/>
        <v>-35.104485074285705</v>
      </c>
      <c r="K200" s="747">
        <f t="shared" si="41"/>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40"/>
        <v>0</v>
      </c>
      <c r="J201" s="330" t="str">
        <f t="shared" si="39"/>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40"/>
        <v>0</v>
      </c>
      <c r="J202" s="330" t="str">
        <f t="shared" si="39"/>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40"/>
        <v>0</v>
      </c>
      <c r="J203" s="330" t="str">
        <f t="shared" si="39"/>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40"/>
        <v>0</v>
      </c>
      <c r="J204" s="330" t="str">
        <f t="shared" si="39"/>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40"/>
        <v>0</v>
      </c>
      <c r="J205" s="330" t="str">
        <f t="shared" si="39"/>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40"/>
        <v>0</v>
      </c>
      <c r="J206" s="330" t="str">
        <f t="shared" si="39"/>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2">SUM(C208:C217)</f>
        <v>0</v>
      </c>
      <c r="D207" s="444">
        <f t="shared" si="42"/>
        <v>200548950.39124021</v>
      </c>
      <c r="E207" s="441">
        <f t="shared" si="42"/>
        <v>215358953.39108872</v>
      </c>
      <c r="F207" s="443">
        <f t="shared" si="42"/>
        <v>24482253.550000001</v>
      </c>
      <c r="G207" s="441">
        <f t="shared" si="42"/>
        <v>120124483.53000002</v>
      </c>
      <c r="H207" s="443">
        <f t="shared" si="42"/>
        <v>179465794.49257392</v>
      </c>
      <c r="I207" s="44">
        <f t="shared" si="40"/>
        <v>-59341310.962573901</v>
      </c>
      <c r="J207" s="330">
        <f t="shared" si="39"/>
        <v>-0.33065527127527011</v>
      </c>
      <c r="K207" s="442">
        <f t="shared" si="42"/>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18736807.750000004</v>
      </c>
      <c r="G208" s="384">
        <v>59602383.660000019</v>
      </c>
      <c r="H208" s="472">
        <f t="shared" ref="H208:H212" si="43">E208/12*10</f>
        <v>38774200.048226759</v>
      </c>
      <c r="I208" s="44">
        <f t="shared" si="40"/>
        <v>20828183.61177326</v>
      </c>
      <c r="J208" s="330">
        <f t="shared" si="39"/>
        <v>0.5371660430355103</v>
      </c>
      <c r="K208" s="395">
        <f t="shared" ref="K208:K212" si="44">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2208969.8299999996</v>
      </c>
      <c r="G209" s="384">
        <v>24686997.749999993</v>
      </c>
      <c r="H209" s="472">
        <f t="shared" si="43"/>
        <v>9089712.8575856145</v>
      </c>
      <c r="I209" s="44">
        <f t="shared" si="40"/>
        <v>15597284.892414378</v>
      </c>
      <c r="J209" s="330">
        <f t="shared" si="39"/>
        <v>1.7159271295790182</v>
      </c>
      <c r="K209" s="395">
        <f t="shared" si="44"/>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1095063.4799999997</v>
      </c>
      <c r="G210" s="384">
        <v>10145104.48</v>
      </c>
      <c r="H210" s="472">
        <f t="shared" si="43"/>
        <v>97581800.243111014</v>
      </c>
      <c r="I210" s="44">
        <f t="shared" si="40"/>
        <v>-87436695.76311101</v>
      </c>
      <c r="J210" s="330">
        <f t="shared" si="39"/>
        <v>-0.89603487069591936</v>
      </c>
      <c r="K210" s="395">
        <f t="shared" si="44"/>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1721678.02</v>
      </c>
      <c r="G211" s="384">
        <v>20008064.480000004</v>
      </c>
      <c r="H211" s="472">
        <f t="shared" si="43"/>
        <v>24997427.035794236</v>
      </c>
      <c r="I211" s="44">
        <f t="shared" si="40"/>
        <v>-4989362.5557942316</v>
      </c>
      <c r="J211" s="330">
        <f t="shared" si="39"/>
        <v>-0.19959504426795124</v>
      </c>
      <c r="K211" s="395">
        <f t="shared" si="44"/>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719734.47</v>
      </c>
      <c r="G212" s="384">
        <v>5681933.1599999992</v>
      </c>
      <c r="H212" s="472">
        <f t="shared" si="43"/>
        <v>9022654.3078563027</v>
      </c>
      <c r="I212" s="44">
        <f t="shared" si="40"/>
        <v>-3340721.1478563035</v>
      </c>
      <c r="J212" s="330">
        <f t="shared" si="39"/>
        <v>-0.3702592423326509</v>
      </c>
      <c r="K212" s="395">
        <f t="shared" si="44"/>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40"/>
        <v>0</v>
      </c>
      <c r="J213" s="330" t="str">
        <f t="shared" si="39"/>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40"/>
        <v>0</v>
      </c>
      <c r="J214" s="330" t="str">
        <f t="shared" si="39"/>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40"/>
        <v>0</v>
      </c>
      <c r="J215" s="330" t="str">
        <f t="shared" si="39"/>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40"/>
        <v>0</v>
      </c>
      <c r="J216" s="330" t="str">
        <f t="shared" si="39"/>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40"/>
        <v>0</v>
      </c>
      <c r="J217" s="330" t="str">
        <f t="shared" si="39"/>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5">SUM(C219:C228)</f>
        <v>0</v>
      </c>
      <c r="D218" s="444">
        <f t="shared" si="45"/>
        <v>3393288719.277081</v>
      </c>
      <c r="E218" s="441">
        <f t="shared" si="45"/>
        <v>3407283654.0811782</v>
      </c>
      <c r="F218" s="443">
        <f t="shared" si="45"/>
        <v>290560968.90000004</v>
      </c>
      <c r="G218" s="441">
        <f t="shared" si="45"/>
        <v>2971301790.8200006</v>
      </c>
      <c r="H218" s="443">
        <f t="shared" si="45"/>
        <v>2839403045.0676484</v>
      </c>
      <c r="I218" s="44">
        <f t="shared" si="40"/>
        <v>131898745.75235224</v>
      </c>
      <c r="J218" s="330">
        <f t="shared" si="39"/>
        <v>4.6452984538941977E-2</v>
      </c>
      <c r="K218" s="442">
        <f t="shared" si="45"/>
        <v>3407283654.0811782</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177823780.84000006</v>
      </c>
      <c r="G219" s="384">
        <v>1814864758.8700011</v>
      </c>
      <c r="H219" s="472">
        <f t="shared" ref="H219:H223" si="46">E219/12*10</f>
        <v>1557785582.8962672</v>
      </c>
      <c r="I219" s="44">
        <f t="shared" si="40"/>
        <v>257079175.9737339</v>
      </c>
      <c r="J219" s="330">
        <f t="shared" si="39"/>
        <v>0.16502860136615655</v>
      </c>
      <c r="K219" s="395">
        <f t="shared" ref="K219:K223" si="47">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1242470.7100000002</v>
      </c>
      <c r="G220" s="384">
        <v>11713140.080000004</v>
      </c>
      <c r="H220" s="472">
        <f t="shared" si="46"/>
        <v>47102205.668628111</v>
      </c>
      <c r="I220" s="44">
        <f t="shared" si="40"/>
        <v>-35389065.588628106</v>
      </c>
      <c r="J220" s="330">
        <f t="shared" si="39"/>
        <v>-0.75132501941832819</v>
      </c>
      <c r="K220" s="395">
        <f t="shared" si="47"/>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99518846.953450099</v>
      </c>
      <c r="F221" s="472">
        <v>21200090.639999989</v>
      </c>
      <c r="G221" s="384">
        <v>215576513.5500001</v>
      </c>
      <c r="H221" s="472">
        <f>E221/12*10</f>
        <v>82932372.461208418</v>
      </c>
      <c r="I221" s="44">
        <f t="shared" si="40"/>
        <v>132644141.08879168</v>
      </c>
      <c r="J221" s="330">
        <f t="shared" si="39"/>
        <v>1.5994253769942</v>
      </c>
      <c r="K221" s="395">
        <f t="shared" si="47"/>
        <v>99518846.953450099</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90098254.909999982</v>
      </c>
      <c r="G222" s="384">
        <v>927591220.19999981</v>
      </c>
      <c r="H222" s="472">
        <f t="shared" si="46"/>
        <v>1134711796.0966415</v>
      </c>
      <c r="I222" s="44">
        <f t="shared" si="40"/>
        <v>-207120575.89664173</v>
      </c>
      <c r="J222" s="330">
        <f t="shared" si="39"/>
        <v>-0.18253143803486258</v>
      </c>
      <c r="K222" s="395">
        <f t="shared" si="47"/>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196371.80000000002</v>
      </c>
      <c r="G223" s="384">
        <v>1556158.12</v>
      </c>
      <c r="H223" s="472">
        <f t="shared" si="46"/>
        <v>16871087.944902938</v>
      </c>
      <c r="I223" s="44">
        <f t="shared" si="40"/>
        <v>-15314929.824902937</v>
      </c>
      <c r="J223" s="330">
        <f t="shared" si="39"/>
        <v>-0.90776183936198707</v>
      </c>
      <c r="K223" s="395">
        <f t="shared" si="47"/>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40"/>
        <v>0</v>
      </c>
      <c r="J224" s="330" t="str">
        <f t="shared" si="39"/>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40"/>
        <v>0</v>
      </c>
      <c r="J225" s="330" t="str">
        <f t="shared" si="39"/>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40"/>
        <v>0</v>
      </c>
      <c r="J226" s="330" t="str">
        <f t="shared" si="39"/>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40"/>
        <v>0</v>
      </c>
      <c r="J227" s="330" t="str">
        <f t="shared" si="39"/>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40"/>
        <v>0</v>
      </c>
      <c r="J228" s="330" t="str">
        <f t="shared" si="39"/>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8">SUM(C230:C239)</f>
        <v>0</v>
      </c>
      <c r="D229" s="444">
        <f t="shared" si="48"/>
        <v>296205168.59786338</v>
      </c>
      <c r="E229" s="441">
        <f t="shared" si="48"/>
        <v>388790375.15482336</v>
      </c>
      <c r="F229" s="443">
        <f t="shared" si="48"/>
        <v>22492081.019999996</v>
      </c>
      <c r="G229" s="441">
        <f t="shared" si="48"/>
        <v>202515533.97999996</v>
      </c>
      <c r="H229" s="443">
        <f t="shared" si="48"/>
        <v>323991979.29568613</v>
      </c>
      <c r="I229" s="44">
        <f t="shared" si="40"/>
        <v>-121476445.31568617</v>
      </c>
      <c r="J229" s="330">
        <f t="shared" si="39"/>
        <v>-0.37493658200971269</v>
      </c>
      <c r="K229" s="442">
        <f t="shared" si="48"/>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330062570.15482336</v>
      </c>
      <c r="F230" s="472">
        <v>9795263.3299999982</v>
      </c>
      <c r="G230" s="384">
        <v>78363610.979999959</v>
      </c>
      <c r="H230" s="472">
        <f t="shared" ref="H230:H233" si="49">E230/12*10</f>
        <v>275052141.79568613</v>
      </c>
      <c r="I230" s="44">
        <f t="shared" si="40"/>
        <v>-196688530.81568617</v>
      </c>
      <c r="J230" s="330">
        <f t="shared" si="39"/>
        <v>-0.71509543438418333</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924111.35</v>
      </c>
      <c r="G231" s="384">
        <v>8880424.5200000033</v>
      </c>
      <c r="H231" s="742"/>
      <c r="I231" s="44">
        <f t="shared" si="40"/>
        <v>8880424.5200000033</v>
      </c>
      <c r="J231" s="330" t="e">
        <f t="shared" si="39"/>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5127145.97</v>
      </c>
      <c r="G232" s="384">
        <v>49809381.569999985</v>
      </c>
      <c r="H232" s="742">
        <f t="shared" si="49"/>
        <v>47483389.166666672</v>
      </c>
      <c r="I232" s="44">
        <f t="shared" si="40"/>
        <v>2325992.4033333138</v>
      </c>
      <c r="J232" s="330">
        <f t="shared" si="39"/>
        <v>4.8985391400118504E-2</v>
      </c>
      <c r="K232" s="395">
        <f t="shared" ref="K232:K233" si="50">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6491964.4699999988</v>
      </c>
      <c r="G233" s="384">
        <v>63845713.720000006</v>
      </c>
      <c r="H233" s="742">
        <f t="shared" si="49"/>
        <v>1456448.3333333335</v>
      </c>
      <c r="I233" s="44">
        <f t="shared" si="40"/>
        <v>62389265.38666667</v>
      </c>
      <c r="J233" s="330">
        <f t="shared" si="39"/>
        <v>42.836579890120831</v>
      </c>
      <c r="K233" s="395">
        <f t="shared" si="50"/>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153595.9</v>
      </c>
      <c r="G234" s="384">
        <v>1616403.19</v>
      </c>
      <c r="H234" s="742"/>
      <c r="I234" s="44">
        <f t="shared" si="40"/>
        <v>1616403.19</v>
      </c>
      <c r="J234" s="330" t="e">
        <f t="shared" si="39"/>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40"/>
        <v>0</v>
      </c>
      <c r="J235" s="330" t="str">
        <f t="shared" si="39"/>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40"/>
        <v>0</v>
      </c>
      <c r="J236" s="330" t="str">
        <f t="shared" si="39"/>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40"/>
        <v>0</v>
      </c>
      <c r="J237" s="330" t="str">
        <f t="shared" si="39"/>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40"/>
        <v>0</v>
      </c>
      <c r="J238" s="330" t="str">
        <f t="shared" si="39"/>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40"/>
        <v>0</v>
      </c>
      <c r="J239" s="330" t="str">
        <f t="shared" si="39"/>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51">SUM(C241:C250)</f>
        <v>0</v>
      </c>
      <c r="D240" s="444">
        <f t="shared" si="51"/>
        <v>0</v>
      </c>
      <c r="E240" s="441">
        <f t="shared" si="51"/>
        <v>0</v>
      </c>
      <c r="F240" s="443">
        <f t="shared" si="51"/>
        <v>0</v>
      </c>
      <c r="G240" s="441">
        <f t="shared" si="51"/>
        <v>0</v>
      </c>
      <c r="H240" s="443">
        <f t="shared" si="51"/>
        <v>0</v>
      </c>
      <c r="I240" s="44">
        <f t="shared" si="40"/>
        <v>0</v>
      </c>
      <c r="J240" s="330" t="str">
        <f t="shared" si="39"/>
        <v/>
      </c>
      <c r="K240" s="442">
        <f t="shared" si="5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40"/>
        <v>0</v>
      </c>
      <c r="J241" s="330" t="str">
        <f t="shared" si="39"/>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40"/>
        <v>0</v>
      </c>
      <c r="J242" s="330" t="str">
        <f t="shared" si="39"/>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40"/>
        <v>0</v>
      </c>
      <c r="J243" s="330" t="str">
        <f t="shared" si="39"/>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40"/>
        <v>0</v>
      </c>
      <c r="J244" s="330" t="str">
        <f t="shared" si="39"/>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40"/>
        <v>0</v>
      </c>
      <c r="J245" s="330" t="str">
        <f t="shared" si="39"/>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40"/>
        <v>0</v>
      </c>
      <c r="J246" s="330" t="str">
        <f t="shared" si="39"/>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40"/>
        <v>0</v>
      </c>
      <c r="J247" s="330" t="str">
        <f t="shared" si="39"/>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40"/>
        <v>0</v>
      </c>
      <c r="J248" s="330" t="str">
        <f t="shared" si="39"/>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40"/>
        <v>0</v>
      </c>
      <c r="J249" s="330" t="str">
        <f t="shared" si="39"/>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40"/>
        <v>0</v>
      </c>
      <c r="J250" s="330" t="str">
        <f t="shared" si="39"/>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52">SUM(C252:C261)</f>
        <v>0</v>
      </c>
      <c r="D251" s="444">
        <f t="shared" si="52"/>
        <v>0</v>
      </c>
      <c r="E251" s="441">
        <f t="shared" si="52"/>
        <v>0</v>
      </c>
      <c r="F251" s="443">
        <f t="shared" si="52"/>
        <v>0</v>
      </c>
      <c r="G251" s="441">
        <f t="shared" si="52"/>
        <v>0</v>
      </c>
      <c r="H251" s="443">
        <f t="shared" si="52"/>
        <v>0</v>
      </c>
      <c r="I251" s="44">
        <f t="shared" si="40"/>
        <v>0</v>
      </c>
      <c r="J251" s="330" t="str">
        <f t="shared" si="39"/>
        <v/>
      </c>
      <c r="K251" s="442">
        <f t="shared" si="5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40"/>
        <v>0</v>
      </c>
      <c r="J252" s="330" t="str">
        <f t="shared" si="39"/>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40"/>
        <v>0</v>
      </c>
      <c r="J253" s="330" t="str">
        <f t="shared" si="39"/>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40"/>
        <v>0</v>
      </c>
      <c r="J254" s="330" t="str">
        <f t="shared" si="39"/>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40"/>
        <v>0</v>
      </c>
      <c r="J255" s="330" t="str">
        <f t="shared" si="39"/>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40"/>
        <v>0</v>
      </c>
      <c r="J256" s="330" t="str">
        <f t="shared" si="39"/>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40"/>
        <v>0</v>
      </c>
      <c r="J257" s="330" t="str">
        <f t="shared" si="39"/>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40"/>
        <v>0</v>
      </c>
      <c r="J258" s="330" t="str">
        <f t="shared" si="39"/>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40"/>
        <v>0</v>
      </c>
      <c r="J259" s="330" t="str">
        <f t="shared" si="39"/>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40"/>
        <v>0</v>
      </c>
      <c r="J260" s="330" t="str">
        <f t="shared" si="39"/>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40"/>
        <v>0</v>
      </c>
      <c r="J261" s="330" t="str">
        <f t="shared" si="39"/>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53">SUM(C263:C272)</f>
        <v>0</v>
      </c>
      <c r="D262" s="444">
        <f t="shared" si="53"/>
        <v>0</v>
      </c>
      <c r="E262" s="441">
        <f t="shared" si="53"/>
        <v>0</v>
      </c>
      <c r="F262" s="443">
        <f t="shared" si="53"/>
        <v>0</v>
      </c>
      <c r="G262" s="441">
        <f t="shared" si="53"/>
        <v>0</v>
      </c>
      <c r="H262" s="443">
        <f t="shared" si="53"/>
        <v>0</v>
      </c>
      <c r="I262" s="44">
        <f t="shared" ref="I262:I325" si="54">G262-H262</f>
        <v>0</v>
      </c>
      <c r="J262" s="330" t="str">
        <f t="shared" ref="J262:J325" si="55">IF(I262=0,"",I262/H262)</f>
        <v/>
      </c>
      <c r="K262" s="442">
        <f t="shared" si="5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4"/>
        <v>0</v>
      </c>
      <c r="J263" s="330" t="str">
        <f t="shared" si="5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4"/>
        <v>0</v>
      </c>
      <c r="J264" s="330" t="str">
        <f t="shared" si="5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4"/>
        <v>0</v>
      </c>
      <c r="J265" s="330" t="str">
        <f t="shared" si="5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4"/>
        <v>0</v>
      </c>
      <c r="J266" s="330" t="str">
        <f t="shared" si="5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4"/>
        <v>0</v>
      </c>
      <c r="J267" s="330" t="str">
        <f t="shared" si="5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4"/>
        <v>0</v>
      </c>
      <c r="J268" s="330" t="str">
        <f t="shared" si="5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4"/>
        <v>0</v>
      </c>
      <c r="J269" s="330" t="str">
        <f t="shared" si="5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4"/>
        <v>0</v>
      </c>
      <c r="J270" s="330" t="str">
        <f t="shared" si="5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4"/>
        <v>0</v>
      </c>
      <c r="J271" s="330" t="str">
        <f t="shared" si="5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4"/>
        <v>0</v>
      </c>
      <c r="J272" s="330" t="str">
        <f t="shared" si="5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6">SUM(C274:C283)</f>
        <v>0</v>
      </c>
      <c r="D273" s="444">
        <f t="shared" si="56"/>
        <v>0</v>
      </c>
      <c r="E273" s="441">
        <f t="shared" si="56"/>
        <v>0</v>
      </c>
      <c r="F273" s="443">
        <f t="shared" si="56"/>
        <v>0</v>
      </c>
      <c r="G273" s="441">
        <f t="shared" si="56"/>
        <v>0</v>
      </c>
      <c r="H273" s="443">
        <f t="shared" si="56"/>
        <v>0</v>
      </c>
      <c r="I273" s="44">
        <f t="shared" si="54"/>
        <v>0</v>
      </c>
      <c r="J273" s="330" t="str">
        <f t="shared" si="55"/>
        <v/>
      </c>
      <c r="K273" s="442">
        <f t="shared" si="5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4"/>
        <v>0</v>
      </c>
      <c r="J274" s="330" t="str">
        <f t="shared" si="5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4"/>
        <v>0</v>
      </c>
      <c r="J275" s="330" t="str">
        <f t="shared" si="5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4"/>
        <v>0</v>
      </c>
      <c r="J276" s="330" t="str">
        <f t="shared" si="5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4"/>
        <v>0</v>
      </c>
      <c r="J277" s="330" t="str">
        <f t="shared" si="5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4"/>
        <v>0</v>
      </c>
      <c r="J278" s="330" t="str">
        <f t="shared" si="5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4"/>
        <v>0</v>
      </c>
      <c r="J279" s="330" t="str">
        <f t="shared" si="5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4"/>
        <v>0</v>
      </c>
      <c r="J280" s="330" t="str">
        <f t="shared" si="5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4"/>
        <v>0</v>
      </c>
      <c r="J281" s="330" t="str">
        <f t="shared" si="5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4"/>
        <v>0</v>
      </c>
      <c r="J282" s="330" t="str">
        <f t="shared" si="5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4"/>
        <v>0</v>
      </c>
      <c r="J283" s="330" t="str">
        <f t="shared" si="5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7">SUM(C285:C294)</f>
        <v>0</v>
      </c>
      <c r="D284" s="444">
        <f t="shared" si="57"/>
        <v>0</v>
      </c>
      <c r="E284" s="441">
        <f t="shared" si="57"/>
        <v>0</v>
      </c>
      <c r="F284" s="443">
        <f t="shared" si="57"/>
        <v>0</v>
      </c>
      <c r="G284" s="441">
        <f t="shared" si="57"/>
        <v>0</v>
      </c>
      <c r="H284" s="443">
        <f t="shared" si="57"/>
        <v>0</v>
      </c>
      <c r="I284" s="44">
        <f t="shared" si="54"/>
        <v>0</v>
      </c>
      <c r="J284" s="330" t="str">
        <f t="shared" si="55"/>
        <v/>
      </c>
      <c r="K284" s="442">
        <f t="shared" si="5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4"/>
        <v>0</v>
      </c>
      <c r="J285" s="330" t="str">
        <f t="shared" si="5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4"/>
        <v>0</v>
      </c>
      <c r="J286" s="330" t="str">
        <f t="shared" si="5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4"/>
        <v>0</v>
      </c>
      <c r="J287" s="330" t="str">
        <f t="shared" si="5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4"/>
        <v>0</v>
      </c>
      <c r="J288" s="330" t="str">
        <f t="shared" si="5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4"/>
        <v>0</v>
      </c>
      <c r="J289" s="330" t="str">
        <f t="shared" si="5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4"/>
        <v>0</v>
      </c>
      <c r="J290" s="330" t="str">
        <f t="shared" si="5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4"/>
        <v>0</v>
      </c>
      <c r="J291" s="330" t="str">
        <f t="shared" si="5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4"/>
        <v>0</v>
      </c>
      <c r="J292" s="330" t="str">
        <f t="shared" si="5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4"/>
        <v>0</v>
      </c>
      <c r="J293" s="330" t="str">
        <f t="shared" si="5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4"/>
        <v>0</v>
      </c>
      <c r="J294" s="330" t="str">
        <f t="shared" si="5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8">SUM(C296:C305)</f>
        <v>0</v>
      </c>
      <c r="D295" s="444">
        <f t="shared" si="58"/>
        <v>0</v>
      </c>
      <c r="E295" s="441">
        <f t="shared" si="58"/>
        <v>0</v>
      </c>
      <c r="F295" s="443">
        <f t="shared" si="58"/>
        <v>0</v>
      </c>
      <c r="G295" s="441">
        <f t="shared" si="58"/>
        <v>0</v>
      </c>
      <c r="H295" s="443">
        <f t="shared" si="58"/>
        <v>0</v>
      </c>
      <c r="I295" s="44">
        <f t="shared" si="54"/>
        <v>0</v>
      </c>
      <c r="J295" s="330" t="str">
        <f t="shared" si="55"/>
        <v/>
      </c>
      <c r="K295" s="442">
        <f t="shared" si="5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4"/>
        <v>0</v>
      </c>
      <c r="J296" s="330" t="str">
        <f t="shared" si="5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4"/>
        <v>0</v>
      </c>
      <c r="J297" s="330" t="str">
        <f t="shared" si="5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4"/>
        <v>0</v>
      </c>
      <c r="J298" s="330" t="str">
        <f t="shared" si="5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4"/>
        <v>0</v>
      </c>
      <c r="J299" s="330" t="str">
        <f t="shared" si="5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4"/>
        <v>0</v>
      </c>
      <c r="J300" s="330" t="str">
        <f t="shared" si="5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4"/>
        <v>0</v>
      </c>
      <c r="J301" s="330" t="str">
        <f t="shared" si="5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4"/>
        <v>0</v>
      </c>
      <c r="J302" s="330" t="str">
        <f t="shared" si="5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4"/>
        <v>0</v>
      </c>
      <c r="J303" s="330" t="str">
        <f t="shared" si="5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4"/>
        <v>0</v>
      </c>
      <c r="J304" s="330" t="str">
        <f t="shared" si="5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4"/>
        <v>0</v>
      </c>
      <c r="J305" s="330" t="str">
        <f t="shared" si="5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9">SUM(C307:C316)</f>
        <v>0</v>
      </c>
      <c r="D306" s="444">
        <f t="shared" si="59"/>
        <v>0</v>
      </c>
      <c r="E306" s="441">
        <f t="shared" si="59"/>
        <v>0</v>
      </c>
      <c r="F306" s="443">
        <f t="shared" si="59"/>
        <v>0</v>
      </c>
      <c r="G306" s="441">
        <f t="shared" si="59"/>
        <v>0</v>
      </c>
      <c r="H306" s="443">
        <f t="shared" si="59"/>
        <v>0</v>
      </c>
      <c r="I306" s="44">
        <f t="shared" si="54"/>
        <v>0</v>
      </c>
      <c r="J306" s="330" t="str">
        <f t="shared" si="55"/>
        <v/>
      </c>
      <c r="K306" s="442">
        <f t="shared" si="5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60">SUM(C318:C327)</f>
        <v>0</v>
      </c>
      <c r="D317" s="444">
        <f t="shared" si="60"/>
        <v>0</v>
      </c>
      <c r="E317" s="441">
        <f t="shared" si="60"/>
        <v>0</v>
      </c>
      <c r="F317" s="443">
        <f t="shared" si="60"/>
        <v>0</v>
      </c>
      <c r="G317" s="441">
        <f t="shared" si="60"/>
        <v>0</v>
      </c>
      <c r="H317" s="443">
        <f t="shared" si="60"/>
        <v>0</v>
      </c>
      <c r="I317" s="44">
        <f t="shared" si="54"/>
        <v>0</v>
      </c>
      <c r="J317" s="330" t="str">
        <f t="shared" si="55"/>
        <v/>
      </c>
      <c r="K317" s="442">
        <f t="shared" si="6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61">G326-H326</f>
        <v>0</v>
      </c>
      <c r="J326" s="330" t="str">
        <f t="shared" ref="J326:J341" si="6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61"/>
        <v>0</v>
      </c>
      <c r="J327" s="330" t="str">
        <f t="shared" si="6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63">SUM(C329:C338)</f>
        <v>0</v>
      </c>
      <c r="D328" s="444">
        <f t="shared" si="63"/>
        <v>0</v>
      </c>
      <c r="E328" s="441">
        <f t="shared" si="63"/>
        <v>0</v>
      </c>
      <c r="F328" s="443">
        <f t="shared" si="63"/>
        <v>0</v>
      </c>
      <c r="G328" s="441">
        <f t="shared" si="63"/>
        <v>0</v>
      </c>
      <c r="H328" s="443">
        <f t="shared" si="63"/>
        <v>0</v>
      </c>
      <c r="I328" s="44">
        <f t="shared" si="61"/>
        <v>0</v>
      </c>
      <c r="J328" s="330" t="str">
        <f t="shared" si="62"/>
        <v/>
      </c>
      <c r="K328" s="442">
        <f t="shared" si="6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61"/>
        <v>0</v>
      </c>
      <c r="J329" s="330" t="str">
        <f t="shared" si="6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61"/>
        <v>0</v>
      </c>
      <c r="J330" s="330" t="str">
        <f t="shared" si="6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61"/>
        <v>0</v>
      </c>
      <c r="J331" s="330" t="str">
        <f t="shared" si="6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61"/>
        <v>0</v>
      </c>
      <c r="J332" s="330" t="str">
        <f t="shared" si="6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61"/>
        <v>0</v>
      </c>
      <c r="J333" s="330" t="str">
        <f t="shared" si="6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61"/>
        <v>0</v>
      </c>
      <c r="J334" s="330" t="str">
        <f t="shared" si="6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61"/>
        <v>0</v>
      </c>
      <c r="J335" s="330" t="str">
        <f t="shared" si="6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61"/>
        <v>0</v>
      </c>
      <c r="J336" s="330" t="str">
        <f t="shared" si="6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61"/>
        <v>0</v>
      </c>
      <c r="J337" s="330" t="str">
        <f t="shared" si="6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61"/>
        <v>0</v>
      </c>
      <c r="J338" s="330" t="str">
        <f t="shared" si="62"/>
        <v/>
      </c>
      <c r="K338" s="395"/>
      <c r="L338" s="452">
        <f t="shared" ref="L338:W338" si="64">SUM(L173:L249)</f>
        <v>0</v>
      </c>
      <c r="M338" s="453">
        <f t="shared" si="64"/>
        <v>0</v>
      </c>
      <c r="N338" s="453">
        <f t="shared" si="64"/>
        <v>0</v>
      </c>
      <c r="O338" s="453">
        <f t="shared" si="64"/>
        <v>0</v>
      </c>
      <c r="P338" s="453">
        <f t="shared" si="64"/>
        <v>0</v>
      </c>
      <c r="Q338" s="453">
        <f t="shared" si="64"/>
        <v>0</v>
      </c>
      <c r="R338" s="453">
        <f t="shared" si="64"/>
        <v>0</v>
      </c>
      <c r="S338" s="453">
        <f t="shared" si="64"/>
        <v>0</v>
      </c>
      <c r="T338" s="453">
        <f t="shared" si="64"/>
        <v>0</v>
      </c>
      <c r="U338" s="453">
        <f t="shared" si="64"/>
        <v>0</v>
      </c>
      <c r="V338" s="453">
        <f t="shared" si="64"/>
        <v>0</v>
      </c>
      <c r="W338" s="453">
        <f t="shared" si="64"/>
        <v>0</v>
      </c>
    </row>
    <row r="339" spans="1:24" ht="12.75" customHeight="1" x14ac:dyDescent="0.25">
      <c r="A339" s="447" t="s">
        <v>634</v>
      </c>
      <c r="B339" s="445">
        <v>2</v>
      </c>
      <c r="C339" s="508">
        <f t="shared" ref="C339:H339" si="65">C174+C185+C196+C207+C218+C229+C240+C251+C262++C273+C284+C295+C306+C317+C328</f>
        <v>0</v>
      </c>
      <c r="D339" s="475">
        <f t="shared" si="65"/>
        <v>5516477469.544631</v>
      </c>
      <c r="E339" s="430">
        <f t="shared" si="65"/>
        <v>5673151026.6970739</v>
      </c>
      <c r="F339" s="474">
        <f t="shared" si="65"/>
        <v>452606322.28000003</v>
      </c>
      <c r="G339" s="430">
        <f t="shared" si="65"/>
        <v>4436570928.8900003</v>
      </c>
      <c r="H339" s="474">
        <f t="shared" si="65"/>
        <v>4727625855.5808954</v>
      </c>
      <c r="I339" s="430">
        <f t="shared" si="61"/>
        <v>-291054926.69089508</v>
      </c>
      <c r="J339" s="430">
        <f t="shared" si="62"/>
        <v>-6.1564712517871704E-2</v>
      </c>
      <c r="K339" s="513">
        <f>K174+K185+K196+K207+K218+K229+K240+K251+K262++K273+K284+K295+K306+K317+K328</f>
        <v>5673151026.6970739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1"/>
        <v>0</v>
      </c>
      <c r="J340" s="50" t="str">
        <f t="shared" si="62"/>
        <v/>
      </c>
      <c r="K340" s="194"/>
      <c r="L340" s="480">
        <f t="shared" ref="L340:W340" si="66">L170-L338</f>
        <v>0</v>
      </c>
      <c r="M340" s="481">
        <f t="shared" si="66"/>
        <v>0</v>
      </c>
      <c r="N340" s="481">
        <f t="shared" si="66"/>
        <v>0</v>
      </c>
      <c r="O340" s="481">
        <f t="shared" si="66"/>
        <v>0</v>
      </c>
      <c r="P340" s="481">
        <f t="shared" si="66"/>
        <v>0</v>
      </c>
      <c r="Q340" s="481">
        <f t="shared" si="66"/>
        <v>0</v>
      </c>
      <c r="R340" s="481">
        <f t="shared" si="66"/>
        <v>0</v>
      </c>
      <c r="S340" s="481">
        <f t="shared" si="66"/>
        <v>0</v>
      </c>
      <c r="T340" s="481">
        <f t="shared" si="66"/>
        <v>0</v>
      </c>
      <c r="U340" s="481">
        <f t="shared" si="66"/>
        <v>0</v>
      </c>
      <c r="V340" s="481">
        <f t="shared" si="66"/>
        <v>0</v>
      </c>
      <c r="W340" s="481">
        <f t="shared" si="66"/>
        <v>0</v>
      </c>
    </row>
    <row r="341" spans="1:24" s="486" customFormat="1" ht="11.25" customHeight="1" thickTop="1" x14ac:dyDescent="0.25">
      <c r="A341" s="886" t="str">
        <f>result</f>
        <v>Surplus/ (Deficit) for the year</v>
      </c>
      <c r="B341" s="477">
        <v>2</v>
      </c>
      <c r="C341" s="509">
        <f t="shared" ref="C341:H341" si="67">C171-C339</f>
        <v>0</v>
      </c>
      <c r="D341" s="512">
        <f t="shared" si="67"/>
        <v>927224369.32743359</v>
      </c>
      <c r="E341" s="55">
        <f t="shared" si="67"/>
        <v>921771505.17499065</v>
      </c>
      <c r="F341" s="479">
        <f t="shared" si="67"/>
        <v>36604945.669999957</v>
      </c>
      <c r="G341" s="55">
        <f t="shared" si="67"/>
        <v>722365228.16999912</v>
      </c>
      <c r="H341" s="479">
        <f t="shared" si="67"/>
        <v>768142920.97915745</v>
      </c>
      <c r="I341" s="55">
        <f t="shared" si="61"/>
        <v>-45777692.809158325</v>
      </c>
      <c r="J341" s="55">
        <f t="shared" si="62"/>
        <v>-5.9595280460054439E-2</v>
      </c>
      <c r="K341" s="235">
        <f>K171-K339</f>
        <v>921771505.17499065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H32" sqref="H32"/>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"&amp;S71B&amp; " - "&amp;date</f>
        <v>KZN225 Msunduzi - Table C4 Consolidated Monthly Budget Statement - Financial Performance (revenue and expenditure)  - M10 April</v>
      </c>
      <c r="B1" s="1056"/>
      <c r="C1" s="1056"/>
      <c r="D1" s="1056"/>
      <c r="E1" s="1056"/>
      <c r="F1" s="1056"/>
      <c r="G1" s="1056"/>
      <c r="H1" s="1056"/>
      <c r="I1" s="1056"/>
      <c r="J1" s="1056"/>
      <c r="K1" s="1056"/>
    </row>
    <row r="2" spans="1:11" x14ac:dyDescent="0.25">
      <c r="A2" s="1045" t="str">
        <f>desc</f>
        <v>Description</v>
      </c>
      <c r="B2" s="1054" t="str">
        <f>head27</f>
        <v>Ref</v>
      </c>
      <c r="C2" s="158" t="str">
        <f>Head1</f>
        <v>2019/20</v>
      </c>
      <c r="D2" s="1040" t="str">
        <f>Head2</f>
        <v>Budget Year 2020/21</v>
      </c>
      <c r="E2" s="1041"/>
      <c r="F2" s="1041"/>
      <c r="G2" s="1041"/>
      <c r="H2" s="1041"/>
      <c r="I2" s="1041"/>
      <c r="J2" s="1041"/>
      <c r="K2" s="1042"/>
    </row>
    <row r="3" spans="1:11" ht="25.5" x14ac:dyDescent="0.25">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101128343.08</v>
      </c>
      <c r="G6" s="733">
        <v>1014170013.34</v>
      </c>
      <c r="H6" s="733">
        <f>E6/12*10</f>
        <v>1058162161.6848332</v>
      </c>
      <c r="I6" s="44">
        <f t="shared" ref="I6:I22" si="0">G6-H6</f>
        <v>-43992148.344833136</v>
      </c>
      <c r="J6" s="330">
        <f t="shared" ref="J6:J22" si="1">IF(I6=0,"",I6/H6)</f>
        <v>-4.1574108334007806E-2</v>
      </c>
      <c r="K6" s="735">
        <f>E6</f>
        <v>1269794594.0217998</v>
      </c>
    </row>
    <row r="7" spans="1:11" ht="11.25" customHeight="1" x14ac:dyDescent="0.25">
      <c r="A7" s="39" t="s">
        <v>834</v>
      </c>
      <c r="B7" s="419"/>
      <c r="C7" s="748"/>
      <c r="D7" s="745">
        <v>2584775677.1378117</v>
      </c>
      <c r="E7" s="733">
        <v>2584775677.1378117</v>
      </c>
      <c r="F7" s="733">
        <v>205203938.06999999</v>
      </c>
      <c r="G7" s="733">
        <v>1925465449.3900001</v>
      </c>
      <c r="H7" s="733">
        <f t="shared" ref="H7:H9" si="2">E7/12*10</f>
        <v>2153979730.9481764</v>
      </c>
      <c r="I7" s="44">
        <f t="shared" si="0"/>
        <v>-228514281.55817628</v>
      </c>
      <c r="J7" s="330">
        <f t="shared" si="1"/>
        <v>-0.10608933699556443</v>
      </c>
      <c r="K7" s="735">
        <f>E7</f>
        <v>2584775677.1378117</v>
      </c>
    </row>
    <row r="8" spans="1:11" ht="11.25" customHeight="1" x14ac:dyDescent="0.25">
      <c r="A8" s="86" t="s">
        <v>835</v>
      </c>
      <c r="B8" s="421"/>
      <c r="C8" s="748"/>
      <c r="D8" s="745">
        <v>722633094.82360029</v>
      </c>
      <c r="E8" s="733">
        <v>722633094.82360029</v>
      </c>
      <c r="F8" s="733">
        <v>65621751.009999998</v>
      </c>
      <c r="G8" s="733">
        <v>643605349.88999999</v>
      </c>
      <c r="H8" s="733">
        <f t="shared" si="2"/>
        <v>602194245.68633354</v>
      </c>
      <c r="I8" s="44">
        <f t="shared" si="0"/>
        <v>41411104.203666449</v>
      </c>
      <c r="J8" s="330">
        <f t="shared" si="1"/>
        <v>6.8767020774948354E-2</v>
      </c>
      <c r="K8" s="735">
        <f>E8</f>
        <v>722633094.82360029</v>
      </c>
    </row>
    <row r="9" spans="1:11" ht="11.25" customHeight="1" x14ac:dyDescent="0.25">
      <c r="A9" s="86" t="s">
        <v>836</v>
      </c>
      <c r="B9" s="421"/>
      <c r="C9" s="748"/>
      <c r="D9" s="745">
        <v>152021749.3608</v>
      </c>
      <c r="E9" s="733">
        <v>152021749.3608</v>
      </c>
      <c r="F9" s="733">
        <v>12081509.279999999</v>
      </c>
      <c r="G9" s="733">
        <v>130252024.75</v>
      </c>
      <c r="H9" s="733">
        <f t="shared" si="2"/>
        <v>126684791.13399999</v>
      </c>
      <c r="I9" s="44">
        <f t="shared" si="0"/>
        <v>3567233.6160000116</v>
      </c>
      <c r="J9" s="330">
        <f t="shared" si="1"/>
        <v>2.8158341534673993E-2</v>
      </c>
      <c r="K9" s="735">
        <f>E9</f>
        <v>152021749.3608</v>
      </c>
    </row>
    <row r="10" spans="1:11" ht="11.25" customHeight="1" x14ac:dyDescent="0.25">
      <c r="A10" s="517" t="s">
        <v>72</v>
      </c>
      <c r="B10" s="421"/>
      <c r="C10" s="748"/>
      <c r="D10" s="745">
        <v>116333080.9707</v>
      </c>
      <c r="E10" s="733">
        <v>116333080.9707</v>
      </c>
      <c r="F10" s="733">
        <v>8542125.1199999992</v>
      </c>
      <c r="G10" s="733">
        <v>88745885.060000002</v>
      </c>
      <c r="H10" s="733">
        <f>E10/12*10</f>
        <v>96944234.142249987</v>
      </c>
      <c r="I10" s="44">
        <f t="shared" si="0"/>
        <v>-8198349.0822499841</v>
      </c>
      <c r="J10" s="330">
        <f t="shared" si="1"/>
        <v>-8.4567681149765261E-2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1505415.18</v>
      </c>
      <c r="G12" s="733">
        <v>10475291.890000001</v>
      </c>
      <c r="H12" s="733">
        <f t="shared" ref="H12:H14" si="3">E12/12*10</f>
        <v>24232331.355833329</v>
      </c>
      <c r="I12" s="44">
        <f t="shared" si="0"/>
        <v>-13757039.465833329</v>
      </c>
      <c r="J12" s="330">
        <f t="shared" si="1"/>
        <v>-0.56771423532559384</v>
      </c>
      <c r="K12" s="735">
        <f>E12</f>
        <v>29078797.626999993</v>
      </c>
    </row>
    <row r="13" spans="1:11" ht="11.25" customHeight="1" x14ac:dyDescent="0.25">
      <c r="A13" s="86" t="s">
        <v>838</v>
      </c>
      <c r="B13" s="421"/>
      <c r="C13" s="748"/>
      <c r="D13" s="745">
        <v>15260422.42725</v>
      </c>
      <c r="E13" s="733">
        <v>15369322.42725</v>
      </c>
      <c r="F13" s="733">
        <v>613655.92000000004</v>
      </c>
      <c r="G13" s="733">
        <v>6047302.9300000006</v>
      </c>
      <c r="H13" s="733">
        <f t="shared" si="3"/>
        <v>12807768.689375</v>
      </c>
      <c r="I13" s="44">
        <f t="shared" si="0"/>
        <v>-6760465.7593749994</v>
      </c>
      <c r="J13" s="330">
        <f t="shared" si="1"/>
        <v>-0.52784102550066436</v>
      </c>
      <c r="K13" s="735">
        <f>E13</f>
        <v>15369322.42725</v>
      </c>
    </row>
    <row r="14" spans="1:11" ht="11.25" customHeight="1" x14ac:dyDescent="0.25">
      <c r="A14" s="86" t="s">
        <v>839</v>
      </c>
      <c r="B14" s="421"/>
      <c r="C14" s="748"/>
      <c r="D14" s="745">
        <v>202457793.88559997</v>
      </c>
      <c r="E14" s="733">
        <v>202457793.88559997</v>
      </c>
      <c r="F14" s="733">
        <v>16411097.960000001</v>
      </c>
      <c r="G14" s="733">
        <v>158092619.59999999</v>
      </c>
      <c r="H14" s="733">
        <f t="shared" si="3"/>
        <v>168714828.23799998</v>
      </c>
      <c r="I14" s="44">
        <f t="shared" si="0"/>
        <v>-10622208.637999982</v>
      </c>
      <c r="J14" s="330">
        <f t="shared" si="1"/>
        <v>-6.2959543917595742E-2</v>
      </c>
      <c r="K14" s="735">
        <f>E14</f>
        <v>202457793.88559997</v>
      </c>
    </row>
    <row r="15" spans="1:11" ht="11.25" customHeight="1" x14ac:dyDescent="0.25">
      <c r="A15" s="86" t="s">
        <v>921</v>
      </c>
      <c r="B15" s="421"/>
      <c r="C15" s="748"/>
      <c r="D15" s="745"/>
      <c r="E15" s="733">
        <v>0</v>
      </c>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33740.44</v>
      </c>
      <c r="G16" s="733">
        <v>513339.11</v>
      </c>
      <c r="H16" s="733">
        <f t="shared" ref="H16:H20" si="4">E16/12*10</f>
        <v>1498792.8697500001</v>
      </c>
      <c r="I16" s="44">
        <f t="shared" si="0"/>
        <v>-985453.75975000008</v>
      </c>
      <c r="J16" s="330">
        <f t="shared" si="1"/>
        <v>-0.65749829722260067</v>
      </c>
      <c r="K16" s="735">
        <f>E16</f>
        <v>1798551.4436999999</v>
      </c>
    </row>
    <row r="17" spans="1:11" ht="11.25" customHeight="1" x14ac:dyDescent="0.25">
      <c r="A17" s="86" t="s">
        <v>840</v>
      </c>
      <c r="B17" s="421"/>
      <c r="C17" s="748"/>
      <c r="D17" s="745">
        <v>1119569.0055</v>
      </c>
      <c r="E17" s="733">
        <v>1119569.0055</v>
      </c>
      <c r="F17" s="733">
        <v>24877.18</v>
      </c>
      <c r="G17" s="733">
        <v>481510.98</v>
      </c>
      <c r="H17" s="733">
        <f t="shared" si="4"/>
        <v>932974.1712499999</v>
      </c>
      <c r="I17" s="44">
        <f t="shared" si="0"/>
        <v>-451463.19124999992</v>
      </c>
      <c r="J17" s="330">
        <f t="shared" si="1"/>
        <v>-0.48389677352496158</v>
      </c>
      <c r="K17" s="735">
        <f>E17</f>
        <v>1119569.0055</v>
      </c>
    </row>
    <row r="18" spans="1:11" ht="11.25" customHeight="1" x14ac:dyDescent="0.25">
      <c r="A18" s="86" t="s">
        <v>580</v>
      </c>
      <c r="B18" s="421"/>
      <c r="C18" s="748"/>
      <c r="D18" s="745">
        <v>601902.02599999995</v>
      </c>
      <c r="E18" s="733">
        <v>601902.02599999995</v>
      </c>
      <c r="F18" s="733"/>
      <c r="G18" s="733">
        <v>1397800</v>
      </c>
      <c r="H18" s="733">
        <f t="shared" si="4"/>
        <v>501585.02166666667</v>
      </c>
      <c r="I18" s="44">
        <f t="shared" si="0"/>
        <v>896214.97833333327</v>
      </c>
      <c r="J18" s="330">
        <f t="shared" si="1"/>
        <v>1.7867658315541206</v>
      </c>
      <c r="K18" s="735">
        <f>E18</f>
        <v>601902.02599999995</v>
      </c>
    </row>
    <row r="19" spans="1:11" ht="11.25" customHeight="1" x14ac:dyDescent="0.25">
      <c r="A19" s="518" t="s">
        <v>1118</v>
      </c>
      <c r="B19" s="421"/>
      <c r="C19" s="748"/>
      <c r="D19" s="745">
        <v>675483240</v>
      </c>
      <c r="E19" s="733">
        <v>819982787</v>
      </c>
      <c r="F19" s="733">
        <v>5578119.4400000004</v>
      </c>
      <c r="G19" s="733">
        <v>739842505.64999998</v>
      </c>
      <c r="H19" s="733">
        <f t="shared" si="4"/>
        <v>683318989.16666675</v>
      </c>
      <c r="I19" s="44">
        <f t="shared" si="0"/>
        <v>56523516.48333323</v>
      </c>
      <c r="J19" s="330">
        <f t="shared" si="1"/>
        <v>8.2719077589612708E-2</v>
      </c>
      <c r="K19" s="735">
        <f>E19</f>
        <v>819982787</v>
      </c>
    </row>
    <row r="20" spans="1:11" ht="11.25" customHeight="1" x14ac:dyDescent="0.25">
      <c r="A20" s="86" t="s">
        <v>453</v>
      </c>
      <c r="B20" s="421"/>
      <c r="C20" s="748"/>
      <c r="D20" s="745">
        <v>146451785.14229998</v>
      </c>
      <c r="E20" s="733">
        <v>146451785.14229998</v>
      </c>
      <c r="F20" s="733">
        <v>3425226.07</v>
      </c>
      <c r="G20" s="733">
        <v>63268722.229999997</v>
      </c>
      <c r="H20" s="733">
        <f t="shared" si="4"/>
        <v>122043154.28524999</v>
      </c>
      <c r="I20" s="44">
        <f t="shared" si="0"/>
        <v>-58774432.055249996</v>
      </c>
      <c r="J20" s="330">
        <f t="shared" si="1"/>
        <v>-0.48158729098296843</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0</v>
      </c>
      <c r="D22" s="523">
        <f t="shared" si="5"/>
        <v>5917810257.8720617</v>
      </c>
      <c r="E22" s="524">
        <f t="shared" si="5"/>
        <v>6062418704.8720617</v>
      </c>
      <c r="F22" s="524">
        <f t="shared" si="5"/>
        <v>420169798.74999994</v>
      </c>
      <c r="G22" s="524">
        <f t="shared" si="5"/>
        <v>4782357814.8199997</v>
      </c>
      <c r="H22" s="524">
        <f t="shared" si="5"/>
        <v>5052015587.3933849</v>
      </c>
      <c r="I22" s="524">
        <f t="shared" si="0"/>
        <v>-269657772.57338524</v>
      </c>
      <c r="J22" s="525">
        <f t="shared" si="1"/>
        <v>-5.3376274856767936E-2</v>
      </c>
      <c r="K22" s="526">
        <f>SUM(K6:K10)+SUM(K12:K21)</f>
        <v>6062418704.8720617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1474657970.2495086</v>
      </c>
      <c r="F25" s="733">
        <v>106352514.37000006</v>
      </c>
      <c r="G25" s="733">
        <v>1128626527.9000022</v>
      </c>
      <c r="H25" s="733">
        <f t="shared" ref="H25:H35" si="6">E25/12*10</f>
        <v>1228881641.8745904</v>
      </c>
      <c r="I25" s="44">
        <f t="shared" ref="I25:I36" si="7">G25-H25</f>
        <v>-100255113.97458816</v>
      </c>
      <c r="J25" s="330">
        <f t="shared" ref="J25:J41" si="8">IF(I25=0,"",I25/H25)</f>
        <v>-8.1582400255938867E-2</v>
      </c>
      <c r="K25" s="735">
        <f t="shared" ref="K25:K35" si="9">E25</f>
        <v>1474657970.2495086</v>
      </c>
    </row>
    <row r="26" spans="1:11" ht="12.75" customHeight="1" x14ac:dyDescent="0.25">
      <c r="A26" s="39" t="s">
        <v>477</v>
      </c>
      <c r="B26" s="419"/>
      <c r="C26" s="748"/>
      <c r="D26" s="745">
        <v>53650401.115479976</v>
      </c>
      <c r="E26" s="733">
        <v>53650401.439999998</v>
      </c>
      <c r="F26" s="733">
        <v>4030889.5199999996</v>
      </c>
      <c r="G26" s="733">
        <v>43581267.550000004</v>
      </c>
      <c r="H26" s="733">
        <f t="shared" si="6"/>
        <v>44708667.86666666</v>
      </c>
      <c r="I26" s="44">
        <f t="shared" si="7"/>
        <v>-1127400.3166666552</v>
      </c>
      <c r="J26" s="330">
        <f t="shared" si="8"/>
        <v>-2.5216593794046109E-2</v>
      </c>
      <c r="K26" s="735">
        <f t="shared" si="9"/>
        <v>53650401.439999998</v>
      </c>
    </row>
    <row r="27" spans="1:11" ht="12.75" customHeight="1" x14ac:dyDescent="0.25">
      <c r="A27" s="86" t="s">
        <v>611</v>
      </c>
      <c r="B27" s="421"/>
      <c r="C27" s="748"/>
      <c r="D27" s="745">
        <v>123904143.27200001</v>
      </c>
      <c r="E27" s="733">
        <v>123904143.27200001</v>
      </c>
      <c r="F27" s="733">
        <v>7286332.6600000001</v>
      </c>
      <c r="G27" s="733">
        <v>89340840.659999996</v>
      </c>
      <c r="H27" s="733">
        <f t="shared" si="6"/>
        <v>103253452.72666669</v>
      </c>
      <c r="I27" s="44">
        <f t="shared" si="7"/>
        <v>-13912612.066666692</v>
      </c>
      <c r="J27" s="330">
        <f t="shared" si="8"/>
        <v>-0.13474234225848372</v>
      </c>
      <c r="K27" s="735">
        <f t="shared" si="9"/>
        <v>123904143.27200001</v>
      </c>
    </row>
    <row r="28" spans="1:11" ht="12.75" customHeight="1" x14ac:dyDescent="0.25">
      <c r="A28" s="86" t="s">
        <v>664</v>
      </c>
      <c r="B28" s="421"/>
      <c r="C28" s="748"/>
      <c r="D28" s="745">
        <v>489941448.27473986</v>
      </c>
      <c r="E28" s="733">
        <v>482441449.27473998</v>
      </c>
      <c r="F28" s="733">
        <v>34862679.900000036</v>
      </c>
      <c r="G28" s="733">
        <v>352139978.80000025</v>
      </c>
      <c r="H28" s="733">
        <f t="shared" si="6"/>
        <v>402034541.06228328</v>
      </c>
      <c r="I28" s="44">
        <f t="shared" si="7"/>
        <v>-49894562.262283027</v>
      </c>
      <c r="J28" s="330">
        <f t="shared" si="8"/>
        <v>-0.1241051630301421</v>
      </c>
      <c r="K28" s="735">
        <f t="shared" si="9"/>
        <v>482441449.27473998</v>
      </c>
    </row>
    <row r="29" spans="1:11" ht="12.75" customHeight="1" x14ac:dyDescent="0.25">
      <c r="A29" s="86" t="s">
        <v>452</v>
      </c>
      <c r="B29" s="421"/>
      <c r="C29" s="748"/>
      <c r="D29" s="745">
        <v>31793212.220000003</v>
      </c>
      <c r="E29" s="733">
        <v>36505334.219999969</v>
      </c>
      <c r="F29" s="733">
        <v>5032924.79</v>
      </c>
      <c r="G29" s="733">
        <v>32882197.800000001</v>
      </c>
      <c r="H29" s="733">
        <f t="shared" si="6"/>
        <v>30421111.849999972</v>
      </c>
      <c r="I29" s="44">
        <f t="shared" si="7"/>
        <v>2461085.9500000291</v>
      </c>
      <c r="J29" s="330">
        <f t="shared" si="8"/>
        <v>8.0900591738234953E-2</v>
      </c>
      <c r="K29" s="735">
        <f t="shared" si="9"/>
        <v>36505334.219999969</v>
      </c>
    </row>
    <row r="30" spans="1:11" ht="12.75" customHeight="1" x14ac:dyDescent="0.25">
      <c r="A30" s="86" t="s">
        <v>844</v>
      </c>
      <c r="B30" s="421"/>
      <c r="C30" s="748"/>
      <c r="D30" s="745">
        <v>2608224084.5041752</v>
      </c>
      <c r="E30" s="733">
        <v>2551671974.5041752</v>
      </c>
      <c r="F30" s="733">
        <v>207259493.37</v>
      </c>
      <c r="G30" s="733">
        <v>2168886036.3000002</v>
      </c>
      <c r="H30" s="733">
        <f t="shared" si="6"/>
        <v>2126393312.0868125</v>
      </c>
      <c r="I30" s="44">
        <f t="shared" si="7"/>
        <v>42492724.213187695</v>
      </c>
      <c r="J30" s="330">
        <f t="shared" si="8"/>
        <v>1.9983473410893082E-2</v>
      </c>
      <c r="K30" s="735">
        <f t="shared" si="9"/>
        <v>2551671974.5041752</v>
      </c>
    </row>
    <row r="31" spans="1:11" ht="12.75" customHeight="1" x14ac:dyDescent="0.25">
      <c r="A31" s="86" t="s">
        <v>920</v>
      </c>
      <c r="B31" s="421"/>
      <c r="C31" s="748"/>
      <c r="D31" s="745">
        <v>46613414.686963424</v>
      </c>
      <c r="E31" s="733">
        <v>66137657.143800952</v>
      </c>
      <c r="F31" s="733">
        <v>14002363.130000001</v>
      </c>
      <c r="G31" s="733">
        <v>42709846.310000002</v>
      </c>
      <c r="H31" s="733">
        <f t="shared" si="6"/>
        <v>55114714.286500797</v>
      </c>
      <c r="I31" s="44">
        <f t="shared" si="7"/>
        <v>-12404867.976500794</v>
      </c>
      <c r="J31" s="330">
        <f t="shared" si="8"/>
        <v>-0.22507361486112445</v>
      </c>
      <c r="K31" s="735">
        <f t="shared" si="9"/>
        <v>66137657.143800952</v>
      </c>
    </row>
    <row r="32" spans="1:11" ht="12.75" customHeight="1" x14ac:dyDescent="0.25">
      <c r="A32" s="86" t="s">
        <v>845</v>
      </c>
      <c r="B32" s="421"/>
      <c r="C32" s="748"/>
      <c r="D32" s="745">
        <v>464722594.2633999</v>
      </c>
      <c r="E32" s="733">
        <v>636216030.0508498</v>
      </c>
      <c r="F32" s="733">
        <v>43894081.080000028</v>
      </c>
      <c r="G32" s="733">
        <v>403098850.11999977</v>
      </c>
      <c r="H32" s="733">
        <f t="shared" si="6"/>
        <v>530180025.04237479</v>
      </c>
      <c r="I32" s="44">
        <f t="shared" si="7"/>
        <v>-127081174.92237502</v>
      </c>
      <c r="J32" s="330">
        <f t="shared" si="8"/>
        <v>-0.23969438477471502</v>
      </c>
      <c r="K32" s="735">
        <f t="shared" si="9"/>
        <v>636216030.0508498</v>
      </c>
    </row>
    <row r="33" spans="1:12" ht="12.75" customHeight="1" x14ac:dyDescent="0.25">
      <c r="A33" s="517" t="s">
        <v>1118</v>
      </c>
      <c r="B33" s="421"/>
      <c r="C33" s="748"/>
      <c r="D33" s="745">
        <v>25080461.44304001</v>
      </c>
      <c r="E33" s="733">
        <v>59680462</v>
      </c>
      <c r="F33" s="733">
        <v>5601167.7299999995</v>
      </c>
      <c r="G33" s="733">
        <v>39713085</v>
      </c>
      <c r="H33" s="733">
        <f t="shared" si="6"/>
        <v>49733718.333333328</v>
      </c>
      <c r="I33" s="44">
        <f t="shared" si="7"/>
        <v>-10020633.333333328</v>
      </c>
      <c r="J33" s="330">
        <f t="shared" si="8"/>
        <v>-0.20148570565690319</v>
      </c>
      <c r="K33" s="735">
        <f t="shared" si="9"/>
        <v>59680462</v>
      </c>
    </row>
    <row r="34" spans="1:12" ht="12.75" customHeight="1" x14ac:dyDescent="0.25">
      <c r="A34" s="86" t="s">
        <v>434</v>
      </c>
      <c r="B34" s="421"/>
      <c r="C34" s="748"/>
      <c r="D34" s="745">
        <v>194223408.19064996</v>
      </c>
      <c r="E34" s="733">
        <v>188215605.26623628</v>
      </c>
      <c r="F34" s="733">
        <v>24283875.730000053</v>
      </c>
      <c r="G34" s="733">
        <v>135592298.44999999</v>
      </c>
      <c r="H34" s="733">
        <f t="shared" si="6"/>
        <v>156846337.72186357</v>
      </c>
      <c r="I34" s="44">
        <f t="shared" si="7"/>
        <v>-21254039.27186358</v>
      </c>
      <c r="J34" s="330">
        <f t="shared" si="8"/>
        <v>-0.13550867416205459</v>
      </c>
      <c r="K34" s="735">
        <f t="shared" si="9"/>
        <v>188215605.26623628</v>
      </c>
    </row>
    <row r="35" spans="1:12" ht="12.75" customHeight="1" x14ac:dyDescent="0.25">
      <c r="A35" s="990" t="s">
        <v>1370</v>
      </c>
      <c r="B35" s="419"/>
      <c r="C35" s="748"/>
      <c r="D35" s="745"/>
      <c r="E35" s="733">
        <v>70000</v>
      </c>
      <c r="F35" s="733"/>
      <c r="G35" s="733"/>
      <c r="H35" s="733">
        <f t="shared" si="6"/>
        <v>58333.333333333328</v>
      </c>
      <c r="I35" s="44">
        <f t="shared" si="7"/>
        <v>-58333.333333333328</v>
      </c>
      <c r="J35" s="330">
        <f t="shared" si="8"/>
        <v>-1</v>
      </c>
      <c r="K35" s="735">
        <f t="shared" si="9"/>
        <v>70000</v>
      </c>
    </row>
    <row r="36" spans="1:12" ht="12.75" customHeight="1" x14ac:dyDescent="0.25">
      <c r="A36" s="92" t="s">
        <v>488</v>
      </c>
      <c r="B36" s="422"/>
      <c r="C36" s="243">
        <f t="shared" ref="C36:K36" si="10">SUM(C25:C35)</f>
        <v>0</v>
      </c>
      <c r="D36" s="74">
        <f>SUM(D25:D35)</f>
        <v>5516477469.5446281</v>
      </c>
      <c r="E36" s="73">
        <f>SUM(E25:E35)</f>
        <v>5673151027.4213114</v>
      </c>
      <c r="F36" s="73">
        <f t="shared" si="10"/>
        <v>452606322.28000027</v>
      </c>
      <c r="G36" s="73">
        <f t="shared" si="10"/>
        <v>4436570928.8900023</v>
      </c>
      <c r="H36" s="73">
        <f t="shared" si="10"/>
        <v>4727625856.1844244</v>
      </c>
      <c r="I36" s="73">
        <f t="shared" si="7"/>
        <v>-291054927.29442215</v>
      </c>
      <c r="J36" s="331">
        <f t="shared" si="8"/>
        <v>-6.1564712637671999E-2</v>
      </c>
      <c r="K36" s="145">
        <f t="shared" si="10"/>
        <v>5673151027.4213114</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401332788.32743359</v>
      </c>
      <c r="E38" s="50">
        <f t="shared" si="11"/>
        <v>389267677.45075035</v>
      </c>
      <c r="F38" s="50">
        <f t="shared" si="11"/>
        <v>-32436523.530000329</v>
      </c>
      <c r="G38" s="50">
        <f t="shared" si="11"/>
        <v>345786885.92999744</v>
      </c>
      <c r="H38" s="50">
        <f t="shared" si="11"/>
        <v>324389731.20896053</v>
      </c>
      <c r="I38" s="102">
        <f>I22-I36</f>
        <v>21397154.721036911</v>
      </c>
      <c r="J38" s="102">
        <f t="shared" si="8"/>
        <v>6.5961257902006798E-2</v>
      </c>
      <c r="K38" s="194">
        <f>K22-K36</f>
        <v>389267677.45075035</v>
      </c>
    </row>
    <row r="39" spans="1:12" ht="19.899999999999999" customHeight="1" x14ac:dyDescent="0.25">
      <c r="A39" s="937" t="s">
        <v>1119</v>
      </c>
      <c r="B39" s="419"/>
      <c r="C39" s="748"/>
      <c r="D39" s="745">
        <v>525891580.99999982</v>
      </c>
      <c r="E39" s="733">
        <v>526485334.99999982</v>
      </c>
      <c r="F39" s="733">
        <v>69041469.200000003</v>
      </c>
      <c r="G39" s="733">
        <v>376578342.24000001</v>
      </c>
      <c r="H39" s="733">
        <f>E39/12*10</f>
        <v>438737779.16666651</v>
      </c>
      <c r="I39" s="47">
        <f>G39-H39</f>
        <v>-62159436.926666498</v>
      </c>
      <c r="J39" s="102">
        <f t="shared" si="8"/>
        <v>-0.14167787657751155</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927224369.32743335</v>
      </c>
      <c r="E42" s="254">
        <f t="shared" si="12"/>
        <v>915753012.45075011</v>
      </c>
      <c r="F42" s="254">
        <f t="shared" si="12"/>
        <v>36604945.669999674</v>
      </c>
      <c r="G42" s="254">
        <f t="shared" si="12"/>
        <v>722365228.16999745</v>
      </c>
      <c r="H42" s="254">
        <f t="shared" si="12"/>
        <v>763127510.37562704</v>
      </c>
      <c r="I42" s="329"/>
      <c r="J42" s="329"/>
      <c r="K42" s="255">
        <f>K38+SUM(K39:K41)</f>
        <v>915753012.45075011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927224369.32743335</v>
      </c>
      <c r="E44" s="50">
        <f t="shared" si="13"/>
        <v>915753012.45075011</v>
      </c>
      <c r="F44" s="50">
        <f t="shared" si="13"/>
        <v>36604945.669999674</v>
      </c>
      <c r="G44" s="50">
        <f t="shared" si="13"/>
        <v>722365228.16999745</v>
      </c>
      <c r="H44" s="50">
        <f t="shared" si="13"/>
        <v>763127510.37562704</v>
      </c>
      <c r="I44" s="327"/>
      <c r="J44" s="327"/>
      <c r="K44" s="194">
        <f>K42-K43</f>
        <v>915753012.45075011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927224369.32743335</v>
      </c>
      <c r="E46" s="528">
        <f t="shared" si="14"/>
        <v>915753012.45075011</v>
      </c>
      <c r="F46" s="528">
        <f t="shared" si="14"/>
        <v>36604945.669999674</v>
      </c>
      <c r="G46" s="528">
        <f t="shared" si="14"/>
        <v>722365228.16999745</v>
      </c>
      <c r="H46" s="528">
        <f t="shared" si="14"/>
        <v>763127510.37562704</v>
      </c>
      <c r="I46" s="273"/>
      <c r="J46" s="273"/>
      <c r="K46" s="529">
        <f>SUM(K44:K45)</f>
        <v>915753012.45075011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927224369.32743335</v>
      </c>
      <c r="E48" s="76">
        <f t="shared" si="15"/>
        <v>915753012.45075011</v>
      </c>
      <c r="F48" s="76">
        <f t="shared" si="15"/>
        <v>36604945.669999674</v>
      </c>
      <c r="G48" s="76">
        <f t="shared" si="15"/>
        <v>722365228.16999745</v>
      </c>
      <c r="H48" s="76">
        <f t="shared" si="15"/>
        <v>763127510.37562704</v>
      </c>
      <c r="I48" s="334"/>
      <c r="J48" s="334"/>
      <c r="K48" s="234">
        <f>K46+K47</f>
        <v>915753012.45075011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6588904039.8720617</v>
      </c>
      <c r="F53" s="62">
        <f t="shared" si="16"/>
        <v>489211267.94999993</v>
      </c>
      <c r="G53" s="62">
        <f t="shared" si="16"/>
        <v>5158936157.0599995</v>
      </c>
      <c r="H53" s="62">
        <f t="shared" si="16"/>
        <v>5490753366.560051</v>
      </c>
      <c r="I53" s="62"/>
      <c r="J53" s="62"/>
      <c r="K53" s="62">
        <f>K22+SUM(K39:K41)</f>
        <v>6588904039.8720617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activeCell="P23" sqref="P2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7" t="str">
        <f>muni&amp; " - "&amp;S71D&amp; " - "&amp;date</f>
        <v>KZN225 Msunduzi - Table C5 Consolidated Monthly Budget Statement - Capital Expenditure (municipal vote, functional classification and funding  - M10 April</v>
      </c>
      <c r="B1" s="1047"/>
      <c r="C1" s="1047"/>
      <c r="D1" s="1047"/>
      <c r="E1" s="1047"/>
      <c r="F1" s="1047"/>
      <c r="G1" s="1047"/>
      <c r="H1" s="1047"/>
      <c r="I1" s="1047"/>
      <c r="J1" s="1047"/>
      <c r="K1" s="1047"/>
    </row>
    <row r="2" spans="1:12" x14ac:dyDescent="0.25">
      <c r="A2" s="1045" t="str">
        <f>Vdesc</f>
        <v>Vote Description</v>
      </c>
      <c r="B2" s="1054" t="str">
        <f>head27</f>
        <v>Ref</v>
      </c>
      <c r="C2" s="139" t="str">
        <f>Head1</f>
        <v>2019/20</v>
      </c>
      <c r="D2" s="245" t="str">
        <f>Head2</f>
        <v>Budget Year 2020/21</v>
      </c>
      <c r="E2" s="229"/>
      <c r="F2" s="229"/>
      <c r="G2" s="229"/>
      <c r="H2" s="229"/>
      <c r="I2" s="229"/>
      <c r="J2" s="229"/>
      <c r="K2" s="230"/>
    </row>
    <row r="3" spans="1:12" ht="25.5" x14ac:dyDescent="0.25">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1916666.6666666665</v>
      </c>
      <c r="I6" s="44">
        <f>G6-H6</f>
        <v>-1916666.6666666665</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80049.11</v>
      </c>
      <c r="G7" s="408">
        <f>'C5C'!G12</f>
        <v>205932.74</v>
      </c>
      <c r="H7" s="408">
        <f>'C5C'!H12</f>
        <v>3933333.333333333</v>
      </c>
      <c r="I7" s="44">
        <f>G7-H7</f>
        <v>-3727400.5933333328</v>
      </c>
      <c r="J7" s="330">
        <f>IF(I7=0,"",I7/H7)</f>
        <v>-0.94764421864406778</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4100482.81</v>
      </c>
      <c r="G8" s="408">
        <f>'C5C'!G18</f>
        <v>23880044.300000001</v>
      </c>
      <c r="H8" s="408">
        <f>'C5C'!H18</f>
        <v>38433366.666666672</v>
      </c>
      <c r="I8" s="44">
        <f t="shared" ref="I8:I17" si="0">G8-H8</f>
        <v>-14553322.366666671</v>
      </c>
      <c r="J8" s="330">
        <f t="shared" ref="J8:J17" si="1">IF(I8=0,"",I8/H8)</f>
        <v>-0.37866374010083259</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0</v>
      </c>
      <c r="G9" s="408">
        <f>'C5C'!G23</f>
        <v>0</v>
      </c>
      <c r="H9" s="408">
        <f>'C5C'!H23</f>
        <v>1641666.6666666665</v>
      </c>
      <c r="I9" s="44">
        <f t="shared" si="0"/>
        <v>-1641666.6666666665</v>
      </c>
      <c r="J9" s="330">
        <f t="shared" si="1"/>
        <v>-1</v>
      </c>
      <c r="K9" s="642">
        <f>'C5C'!K23</f>
        <v>1970000</v>
      </c>
      <c r="L9" s="697"/>
    </row>
    <row r="10" spans="1:12" ht="13.5" customHeight="1" x14ac:dyDescent="0.25">
      <c r="A10" s="407" t="str">
        <f>'Org structure'!A6</f>
        <v>Vote 5 - Infrastructure Services</v>
      </c>
      <c r="B10" s="419"/>
      <c r="C10" s="648">
        <f>'C5C'!C29</f>
        <v>0</v>
      </c>
      <c r="D10" s="670">
        <f>'C5C'!D29</f>
        <v>168455000</v>
      </c>
      <c r="E10" s="408">
        <f>'C5C'!E29</f>
        <v>7780000</v>
      </c>
      <c r="F10" s="408">
        <f>'C5C'!F29</f>
        <v>50439312.790000007</v>
      </c>
      <c r="G10" s="408">
        <f>'C5C'!G29</f>
        <v>292844744.18000001</v>
      </c>
      <c r="H10" s="408">
        <f>'C5C'!H29</f>
        <v>6483333.333333334</v>
      </c>
      <c r="I10" s="44">
        <f t="shared" si="0"/>
        <v>286361410.84666669</v>
      </c>
      <c r="J10" s="330">
        <f t="shared" si="1"/>
        <v>44.168855143444731</v>
      </c>
      <c r="K10" s="642">
        <f>'C5C'!K29</f>
        <v>7780000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9618885.0199999996</v>
      </c>
      <c r="G11" s="408">
        <f>'C5C'!G35</f>
        <v>51861244.370000005</v>
      </c>
      <c r="H11" s="408">
        <f>'C5C'!H35</f>
        <v>266257943.14999998</v>
      </c>
      <c r="I11" s="44">
        <f t="shared" si="0"/>
        <v>-214396698.77999997</v>
      </c>
      <c r="J11" s="330">
        <f t="shared" si="1"/>
        <v>-0.80522179448827458</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64238729.730000004</v>
      </c>
      <c r="G21" s="430">
        <f t="shared" si="2"/>
        <v>368791965.59000003</v>
      </c>
      <c r="H21" s="430">
        <f t="shared" si="2"/>
        <v>318666309.81666666</v>
      </c>
      <c r="I21" s="430">
        <f t="shared" si="2"/>
        <v>50125655.773333371</v>
      </c>
      <c r="J21" s="431">
        <f>IF(I21=0,"",I21/H21)</f>
        <v>0.15729825911679018</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267080.13</v>
      </c>
      <c r="G24" s="44">
        <f>'C5C'!G149</f>
        <v>1409774.98</v>
      </c>
      <c r="H24" s="44">
        <f>'C5C'!H149</f>
        <v>1250000</v>
      </c>
      <c r="I24" s="44">
        <f>'C5C'!I149</f>
        <v>159774.97999999998</v>
      </c>
      <c r="J24" s="330">
        <f>IF(I24=0,"",I24/H24)</f>
        <v>0.127819984</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0</v>
      </c>
      <c r="G25" s="44">
        <f>'C5C'!G160</f>
        <v>1199440.5699999998</v>
      </c>
      <c r="H25" s="44">
        <f>'C5C'!H160</f>
        <v>23262013.333333332</v>
      </c>
      <c r="I25" s="44">
        <f>'C5C'!I160</f>
        <v>-22062572.763333332</v>
      </c>
      <c r="J25" s="330">
        <f t="shared" ref="J25:J39" si="3">IF(I25=0,"",I25/H25)</f>
        <v>-0.94843780059736871</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562522</v>
      </c>
      <c r="G26" s="44">
        <f>'C5C'!G171</f>
        <v>4263461.8099999996</v>
      </c>
      <c r="H26" s="44">
        <f>'C5C'!H171</f>
        <v>15937300</v>
      </c>
      <c r="I26" s="44">
        <f>'C5C'!I171</f>
        <v>-11673838.190000001</v>
      </c>
      <c r="J26" s="330">
        <f t="shared" si="3"/>
        <v>-0.73248531369805436</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121385.83</v>
      </c>
      <c r="G27" s="44">
        <f>'C5C'!G182</f>
        <v>121385.83</v>
      </c>
      <c r="H27" s="44">
        <f>'C5C'!H182</f>
        <v>441666.66666666663</v>
      </c>
      <c r="I27" s="44">
        <f>'C5C'!I182</f>
        <v>-320280.83666666661</v>
      </c>
      <c r="J27" s="330">
        <f t="shared" si="3"/>
        <v>-0.72516415849056592</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3759720</v>
      </c>
      <c r="G28" s="44">
        <f>'C5C'!G193</f>
        <v>8861056.3499999996</v>
      </c>
      <c r="H28" s="44">
        <f>'C5C'!H193</f>
        <v>258436648.33333331</v>
      </c>
      <c r="I28" s="44">
        <f>'C5C'!I193</f>
        <v>-249575591.98333332</v>
      </c>
      <c r="J28" s="330">
        <f t="shared" si="3"/>
        <v>-0.96571284913674105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187858.65</v>
      </c>
      <c r="G29" s="44">
        <f>'C5C'!G204</f>
        <v>619434.35</v>
      </c>
      <c r="H29" s="44">
        <f>'C5C'!H204</f>
        <v>4664695</v>
      </c>
      <c r="I29" s="44">
        <f>'C5C'!I204</f>
        <v>-4045260.65</v>
      </c>
      <c r="J29" s="330">
        <f t="shared" si="3"/>
        <v>-0.86720796322160398</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4898566.6100000003</v>
      </c>
      <c r="G39" s="161">
        <f t="shared" si="4"/>
        <v>16474553.889999999</v>
      </c>
      <c r="H39" s="161">
        <f t="shared" si="4"/>
        <v>303992323.33333331</v>
      </c>
      <c r="I39" s="73">
        <f t="shared" si="4"/>
        <v>-287517769.44333327</v>
      </c>
      <c r="J39" s="331">
        <f t="shared" si="3"/>
        <v>-0.94580602000289526</v>
      </c>
      <c r="K39" s="263">
        <f>SUM(K24:K38)</f>
        <v>364790788</v>
      </c>
      <c r="L39" s="100"/>
    </row>
    <row r="40" spans="1:12" ht="12.75" customHeight="1" x14ac:dyDescent="0.25">
      <c r="A40" s="92" t="s">
        <v>761</v>
      </c>
      <c r="B40" s="422"/>
      <c r="C40" s="243">
        <f t="shared" ref="C40:I40" si="5">C39+C21</f>
        <v>0</v>
      </c>
      <c r="D40" s="260">
        <f t="shared" si="5"/>
        <v>580891581</v>
      </c>
      <c r="E40" s="73">
        <f t="shared" si="5"/>
        <v>747190359.77999997</v>
      </c>
      <c r="F40" s="73">
        <f t="shared" si="5"/>
        <v>69137296.340000004</v>
      </c>
      <c r="G40" s="73">
        <f t="shared" si="5"/>
        <v>385266519.48000002</v>
      </c>
      <c r="H40" s="73">
        <f t="shared" si="5"/>
        <v>622658633.14999998</v>
      </c>
      <c r="I40" s="73">
        <f t="shared" si="5"/>
        <v>-237392113.6699999</v>
      </c>
      <c r="J40" s="331">
        <f>IF(I40=0,"",I40/H40)</f>
        <v>-0.38125563676688246</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468515.07</v>
      </c>
      <c r="G43" s="637">
        <f t="shared" si="6"/>
        <v>2936534.12</v>
      </c>
      <c r="H43" s="637">
        <f t="shared" si="6"/>
        <v>32445346.666666668</v>
      </c>
      <c r="I43" s="44">
        <f t="shared" ref="I43:I62" si="7">G43-H43</f>
        <v>-29508812.546666667</v>
      </c>
      <c r="J43" s="330">
        <f>IF(I43=0,"",I43/H43)</f>
        <v>-0.90949290355350387</v>
      </c>
      <c r="K43" s="641">
        <f>SUM(K44:K46)</f>
        <v>38934416</v>
      </c>
      <c r="L43" s="100"/>
    </row>
    <row r="44" spans="1:12" ht="12.75" customHeight="1" x14ac:dyDescent="0.25">
      <c r="A44" s="416" t="s">
        <v>108</v>
      </c>
      <c r="B44" s="419"/>
      <c r="C44" s="735"/>
      <c r="D44" s="753">
        <v>5000000</v>
      </c>
      <c r="E44" s="733">
        <v>3800000</v>
      </c>
      <c r="F44" s="733">
        <v>267080.13</v>
      </c>
      <c r="G44" s="733">
        <v>1409774.98</v>
      </c>
      <c r="H44" s="733">
        <f>E44/12*10</f>
        <v>3166666.666666667</v>
      </c>
      <c r="I44" s="44">
        <f t="shared" si="7"/>
        <v>-1756891.686666667</v>
      </c>
      <c r="J44" s="330">
        <f t="shared" ref="J44:J63" si="8">IF(I44=0,"",I44/H44)</f>
        <v>-0.55480790105263167</v>
      </c>
      <c r="K44" s="735">
        <f>E44</f>
        <v>3800000</v>
      </c>
      <c r="L44" s="100"/>
    </row>
    <row r="45" spans="1:12" ht="12.75" customHeight="1" x14ac:dyDescent="0.25">
      <c r="A45" s="416" t="s">
        <v>1123</v>
      </c>
      <c r="B45" s="419"/>
      <c r="C45" s="754"/>
      <c r="D45" s="755">
        <v>27500000</v>
      </c>
      <c r="E45" s="756">
        <v>35134416</v>
      </c>
      <c r="F45" s="756">
        <v>201434.94</v>
      </c>
      <c r="G45" s="756">
        <v>1526759.14</v>
      </c>
      <c r="H45" s="756">
        <f>E45/12*10</f>
        <v>29278680</v>
      </c>
      <c r="I45" s="44">
        <f t="shared" si="7"/>
        <v>-27751920.859999999</v>
      </c>
      <c r="J45" s="330">
        <f t="shared" si="8"/>
        <v>-0.94785423591500706</v>
      </c>
      <c r="K45" s="754">
        <f>E45</f>
        <v>35134416</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7486842.6100000003</v>
      </c>
      <c r="G47" s="637">
        <f t="shared" si="9"/>
        <v>57218993.190000005</v>
      </c>
      <c r="H47" s="637">
        <f t="shared" si="9"/>
        <v>268404618.14999998</v>
      </c>
      <c r="I47" s="44">
        <f t="shared" si="7"/>
        <v>-211185624.95999998</v>
      </c>
      <c r="J47" s="330">
        <f t="shared" si="8"/>
        <v>-0.78681814946260453</v>
      </c>
      <c r="K47" s="641">
        <f>SUM(K48:K52)</f>
        <v>322085541.77999997</v>
      </c>
      <c r="L47" s="100"/>
    </row>
    <row r="48" spans="1:12" ht="12.75" customHeight="1" x14ac:dyDescent="0.25">
      <c r="A48" s="416" t="s">
        <v>110</v>
      </c>
      <c r="B48" s="419"/>
      <c r="C48" s="735"/>
      <c r="D48" s="753">
        <v>45972000</v>
      </c>
      <c r="E48" s="733">
        <v>37482375</v>
      </c>
      <c r="F48" s="733">
        <v>1935078.88</v>
      </c>
      <c r="G48" s="733">
        <v>10328457.649999999</v>
      </c>
      <c r="H48" s="733">
        <f>E48/12*10</f>
        <v>31235312.5</v>
      </c>
      <c r="I48" s="44">
        <f t="shared" si="7"/>
        <v>-20906854.850000001</v>
      </c>
      <c r="J48" s="330">
        <f t="shared" si="8"/>
        <v>-0.66933394215281183</v>
      </c>
      <c r="K48" s="735">
        <f>E48</f>
        <v>37482375</v>
      </c>
      <c r="L48" s="100"/>
    </row>
    <row r="49" spans="1:12" ht="12.75" customHeight="1" x14ac:dyDescent="0.25">
      <c r="A49" s="416" t="s">
        <v>111</v>
      </c>
      <c r="B49" s="419"/>
      <c r="C49" s="735"/>
      <c r="D49" s="753"/>
      <c r="E49" s="733">
        <v>0</v>
      </c>
      <c r="F49" s="733"/>
      <c r="G49" s="733">
        <v>890340.17999999993</v>
      </c>
      <c r="H49" s="733"/>
      <c r="I49" s="44">
        <f t="shared" si="7"/>
        <v>890340.17999999993</v>
      </c>
      <c r="J49" s="330" t="e">
        <f t="shared" si="8"/>
        <v>#DIV/0!</v>
      </c>
      <c r="K49" s="735"/>
      <c r="L49" s="100"/>
    </row>
    <row r="50" spans="1:12" ht="12.75" customHeight="1" x14ac:dyDescent="0.25">
      <c r="A50" s="416" t="s">
        <v>112</v>
      </c>
      <c r="B50" s="419"/>
      <c r="C50" s="735"/>
      <c r="D50" s="753"/>
      <c r="E50" s="733">
        <v>0</v>
      </c>
      <c r="F50" s="733">
        <v>90123</v>
      </c>
      <c r="G50" s="733">
        <v>275132</v>
      </c>
      <c r="H50" s="733"/>
      <c r="I50" s="44">
        <f t="shared" si="7"/>
        <v>275132</v>
      </c>
      <c r="J50" s="330" t="e">
        <f t="shared" si="8"/>
        <v>#DIV/0!</v>
      </c>
      <c r="K50" s="735"/>
      <c r="L50" s="100"/>
    </row>
    <row r="51" spans="1:12" ht="12.75" customHeight="1" x14ac:dyDescent="0.25">
      <c r="A51" s="416" t="s">
        <v>711</v>
      </c>
      <c r="B51" s="419"/>
      <c r="C51" s="735"/>
      <c r="D51" s="753">
        <v>278902092</v>
      </c>
      <c r="E51" s="733">
        <v>284603166.77999997</v>
      </c>
      <c r="F51" s="733">
        <v>5461640.7300000004</v>
      </c>
      <c r="G51" s="733">
        <v>45725063.360000007</v>
      </c>
      <c r="H51" s="733">
        <f>E51/12*10</f>
        <v>237169305.64999998</v>
      </c>
      <c r="I51" s="44">
        <f t="shared" si="7"/>
        <v>-191444242.28999996</v>
      </c>
      <c r="J51" s="330">
        <f t="shared" si="8"/>
        <v>-0.80720497015967874</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45177145.050000004</v>
      </c>
      <c r="G53" s="637">
        <f t="shared" si="10"/>
        <v>183718766.47</v>
      </c>
      <c r="H53" s="637">
        <f t="shared" si="10"/>
        <v>164888058.33333334</v>
      </c>
      <c r="I53" s="44">
        <f t="shared" si="7"/>
        <v>18830708.136666656</v>
      </c>
      <c r="J53" s="330">
        <f t="shared" si="8"/>
        <v>0.11420298308443291</v>
      </c>
      <c r="K53" s="641">
        <f>SUM(K54:K56)</f>
        <v>197865670</v>
      </c>
      <c r="L53" s="100"/>
    </row>
    <row r="54" spans="1:12" ht="12.75" customHeight="1" x14ac:dyDescent="0.25">
      <c r="A54" s="416" t="s">
        <v>114</v>
      </c>
      <c r="B54" s="419"/>
      <c r="C54" s="735"/>
      <c r="D54" s="753">
        <v>13936064</v>
      </c>
      <c r="E54" s="733">
        <v>37856365</v>
      </c>
      <c r="F54" s="733">
        <v>3697136.31</v>
      </c>
      <c r="G54" s="733">
        <v>4442369.59</v>
      </c>
      <c r="H54" s="733">
        <f t="shared" ref="H54:H55" si="11">E54/12*10</f>
        <v>31546970.833333336</v>
      </c>
      <c r="I54" s="44">
        <f t="shared" si="7"/>
        <v>-27104601.243333336</v>
      </c>
      <c r="J54" s="330">
        <f t="shared" si="8"/>
        <v>-0.8591823724227089</v>
      </c>
      <c r="K54" s="735">
        <f t="shared" ref="K54:K55" si="12">E54</f>
        <v>37856365</v>
      </c>
      <c r="L54" s="100"/>
    </row>
    <row r="55" spans="1:12" ht="12.75" customHeight="1" x14ac:dyDescent="0.25">
      <c r="A55" s="416" t="s">
        <v>115</v>
      </c>
      <c r="B55" s="419"/>
      <c r="C55" s="735"/>
      <c r="D55" s="753">
        <v>90636000</v>
      </c>
      <c r="E55" s="733">
        <v>160009305</v>
      </c>
      <c r="F55" s="733">
        <v>41480008.740000002</v>
      </c>
      <c r="G55" s="733">
        <v>179276396.88</v>
      </c>
      <c r="H55" s="733">
        <f t="shared" si="11"/>
        <v>133341087.5</v>
      </c>
      <c r="I55" s="44">
        <f t="shared" si="7"/>
        <v>45935309.379999995</v>
      </c>
      <c r="J55" s="330">
        <f t="shared" si="8"/>
        <v>0.34449478582511184</v>
      </c>
      <c r="K55" s="735">
        <f t="shared" si="12"/>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185657098</v>
      </c>
      <c r="F57" s="637">
        <f t="shared" si="13"/>
        <v>15446949.98</v>
      </c>
      <c r="G57" s="637">
        <f t="shared" si="13"/>
        <v>139354111.93000001</v>
      </c>
      <c r="H57" s="637">
        <f t="shared" si="13"/>
        <v>154714248.33333334</v>
      </c>
      <c r="I57" s="44">
        <f t="shared" si="7"/>
        <v>-15360136.403333336</v>
      </c>
      <c r="J57" s="330">
        <f t="shared" si="8"/>
        <v>-9.9280684027496763E-2</v>
      </c>
      <c r="K57" s="641">
        <f>SUM(K58:K61)</f>
        <v>185657098</v>
      </c>
      <c r="L57" s="100"/>
    </row>
    <row r="58" spans="1:12" ht="12.75" customHeight="1" x14ac:dyDescent="0.25">
      <c r="A58" s="416" t="s">
        <v>1191</v>
      </c>
      <c r="B58" s="419"/>
      <c r="C58" s="735"/>
      <c r="D58" s="753">
        <v>12500000</v>
      </c>
      <c r="E58" s="733">
        <v>16134330</v>
      </c>
      <c r="F58" s="733">
        <v>3964921.95</v>
      </c>
      <c r="G58" s="733">
        <v>15189541.630000003</v>
      </c>
      <c r="H58" s="733">
        <f t="shared" ref="H58:H62" si="14">E58/12*10</f>
        <v>13445275</v>
      </c>
      <c r="I58" s="44">
        <f t="shared" si="7"/>
        <v>1744266.6300000027</v>
      </c>
      <c r="J58" s="330">
        <f t="shared" si="8"/>
        <v>0.12973082588493004</v>
      </c>
      <c r="K58" s="735">
        <f t="shared" ref="K58:K62" si="15">E58</f>
        <v>16134330</v>
      </c>
      <c r="L58" s="100"/>
    </row>
    <row r="59" spans="1:12" ht="12.75" customHeight="1" x14ac:dyDescent="0.25">
      <c r="A59" s="416" t="s">
        <v>1195</v>
      </c>
      <c r="B59" s="419"/>
      <c r="C59" s="735"/>
      <c r="D59" s="753">
        <v>59255000</v>
      </c>
      <c r="E59" s="733">
        <v>68660397</v>
      </c>
      <c r="F59" s="733">
        <v>4252471.290000001</v>
      </c>
      <c r="G59" s="733">
        <v>51556042.700000003</v>
      </c>
      <c r="H59" s="733">
        <f t="shared" si="14"/>
        <v>57216997.5</v>
      </c>
      <c r="I59" s="44">
        <f t="shared" si="7"/>
        <v>-5660954.799999997</v>
      </c>
      <c r="J59" s="330">
        <f t="shared" si="8"/>
        <v>-9.8938340831323718E-2</v>
      </c>
      <c r="K59" s="735">
        <f t="shared" si="15"/>
        <v>68660397</v>
      </c>
      <c r="L59" s="100"/>
    </row>
    <row r="60" spans="1:12" ht="12.75" customHeight="1" x14ac:dyDescent="0.25">
      <c r="A60" s="416" t="s">
        <v>118</v>
      </c>
      <c r="B60" s="419"/>
      <c r="C60" s="754"/>
      <c r="D60" s="755">
        <v>27514000</v>
      </c>
      <c r="E60" s="756">
        <v>73099946</v>
      </c>
      <c r="F60" s="756">
        <v>4501630.8099999996</v>
      </c>
      <c r="G60" s="756">
        <v>55683819.319999993</v>
      </c>
      <c r="H60" s="756">
        <f t="shared" si="14"/>
        <v>60916621.666666672</v>
      </c>
      <c r="I60" s="44">
        <f t="shared" si="7"/>
        <v>-5232802.3466666788</v>
      </c>
      <c r="J60" s="330">
        <f t="shared" si="8"/>
        <v>-8.5901059571234353E-2</v>
      </c>
      <c r="K60" s="754">
        <f t="shared" si="15"/>
        <v>73099946</v>
      </c>
      <c r="L60" s="100"/>
    </row>
    <row r="61" spans="1:12" ht="12.75" customHeight="1" x14ac:dyDescent="0.25">
      <c r="A61" s="416" t="s">
        <v>119</v>
      </c>
      <c r="B61" s="419"/>
      <c r="C61" s="735"/>
      <c r="D61" s="753">
        <v>4500000</v>
      </c>
      <c r="E61" s="733">
        <v>27762425</v>
      </c>
      <c r="F61" s="733">
        <v>2727925.93</v>
      </c>
      <c r="G61" s="733">
        <v>16924708.280000001</v>
      </c>
      <c r="H61" s="733">
        <f t="shared" si="14"/>
        <v>23135354.166666664</v>
      </c>
      <c r="I61" s="44">
        <f t="shared" si="7"/>
        <v>-6210645.886666663</v>
      </c>
      <c r="J61" s="330">
        <f t="shared" si="8"/>
        <v>-0.26844827366485441</v>
      </c>
      <c r="K61" s="735">
        <f t="shared" si="15"/>
        <v>27762425</v>
      </c>
      <c r="L61" s="100"/>
    </row>
    <row r="62" spans="1:12" ht="12.75" customHeight="1" x14ac:dyDescent="0.25">
      <c r="A62" s="414" t="s">
        <v>718</v>
      </c>
      <c r="B62" s="419"/>
      <c r="C62" s="735"/>
      <c r="D62" s="753">
        <v>2500000</v>
      </c>
      <c r="E62" s="733">
        <v>2647634</v>
      </c>
      <c r="F62" s="733">
        <v>557843.63</v>
      </c>
      <c r="G62" s="733">
        <v>2038113.77</v>
      </c>
      <c r="H62" s="733">
        <f t="shared" si="14"/>
        <v>2206361.6666666665</v>
      </c>
      <c r="I62" s="44">
        <f t="shared" si="7"/>
        <v>-168247.89666666649</v>
      </c>
      <c r="J62" s="330">
        <f t="shared" si="8"/>
        <v>-7.6255810281934663E-2</v>
      </c>
      <c r="K62" s="735">
        <f t="shared" si="15"/>
        <v>2647634</v>
      </c>
      <c r="L62" s="100"/>
    </row>
    <row r="63" spans="1:12" ht="12.75" customHeight="1" x14ac:dyDescent="0.25">
      <c r="A63" s="537" t="s">
        <v>1213</v>
      </c>
      <c r="B63" s="539">
        <v>3</v>
      </c>
      <c r="C63" s="540">
        <f>C43+C47+C53+C57+C62</f>
        <v>0</v>
      </c>
      <c r="D63" s="541">
        <f t="shared" ref="D63:I63" si="16">D43+D47+D53+D57+D62</f>
        <v>568215156</v>
      </c>
      <c r="E63" s="478">
        <f t="shared" si="16"/>
        <v>747190359.77999997</v>
      </c>
      <c r="F63" s="478">
        <f t="shared" si="16"/>
        <v>69137296.340000004</v>
      </c>
      <c r="G63" s="478">
        <f t="shared" si="16"/>
        <v>385266519.48000002</v>
      </c>
      <c r="H63" s="478">
        <f t="shared" si="16"/>
        <v>622658633.14999998</v>
      </c>
      <c r="I63" s="478">
        <f t="shared" si="16"/>
        <v>-237392113.67000002</v>
      </c>
      <c r="J63" s="542">
        <f t="shared" si="8"/>
        <v>-0.38125563676688262</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56758912.539999999</v>
      </c>
      <c r="G66" s="733">
        <v>290554203.69999999</v>
      </c>
      <c r="H66" s="733">
        <f t="shared" ref="H66:H67" si="17">E66/12*10</f>
        <v>256766250.64999998</v>
      </c>
      <c r="I66" s="44">
        <f t="shared" ref="I66:I74" si="18">G66-H66</f>
        <v>33787953.050000012</v>
      </c>
      <c r="J66" s="330">
        <f t="shared" ref="J66:J74" si="19">IF(I66=0,"",I66/H66)</f>
        <v>0.13159031985109534</v>
      </c>
      <c r="K66" s="735">
        <f t="shared" ref="K66:K67" si="20">E66</f>
        <v>308119500.77999997</v>
      </c>
      <c r="L66" s="100"/>
    </row>
    <row r="67" spans="1:12" ht="12.75" customHeight="1" x14ac:dyDescent="0.25">
      <c r="A67" s="107" t="s">
        <v>603</v>
      </c>
      <c r="B67" s="169"/>
      <c r="C67" s="748"/>
      <c r="D67" s="753">
        <v>270624156</v>
      </c>
      <c r="E67" s="733">
        <v>340486443</v>
      </c>
      <c r="F67" s="733">
        <v>7194566.1299999999</v>
      </c>
      <c r="G67" s="733">
        <v>49517007.850000001</v>
      </c>
      <c r="H67" s="733">
        <f t="shared" si="17"/>
        <v>283738702.5</v>
      </c>
      <c r="I67" s="44">
        <f t="shared" si="18"/>
        <v>-234221694.65000001</v>
      </c>
      <c r="J67" s="330">
        <f t="shared" si="19"/>
        <v>-0.82548377287374108</v>
      </c>
      <c r="K67" s="735">
        <f t="shared" si="20"/>
        <v>340486443</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648605943.77999997</v>
      </c>
      <c r="F70" s="50">
        <f t="shared" si="21"/>
        <v>63953478.670000002</v>
      </c>
      <c r="G70" s="50">
        <f t="shared" si="21"/>
        <v>340071211.55000001</v>
      </c>
      <c r="H70" s="50">
        <f t="shared" si="21"/>
        <v>540504953.14999998</v>
      </c>
      <c r="I70" s="50">
        <f t="shared" si="18"/>
        <v>-200433741.59999996</v>
      </c>
      <c r="J70" s="146">
        <f t="shared" si="19"/>
        <v>-0.37082683596495358</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98584414</v>
      </c>
      <c r="F73" s="751">
        <v>5093694.6700000009</v>
      </c>
      <c r="G73" s="751">
        <v>44920175.93</v>
      </c>
      <c r="H73" s="751">
        <f>E73/12*10</f>
        <v>82153678.333333328</v>
      </c>
      <c r="I73" s="99">
        <f t="shared" si="18"/>
        <v>-37233502.403333329</v>
      </c>
      <c r="J73" s="335">
        <f t="shared" si="19"/>
        <v>-0.4532177153682731</v>
      </c>
      <c r="K73" s="752">
        <f>E73</f>
        <v>98584414</v>
      </c>
      <c r="L73" s="100"/>
    </row>
    <row r="74" spans="1:12" ht="12.75" customHeight="1" x14ac:dyDescent="0.25">
      <c r="A74" s="538" t="s">
        <v>892</v>
      </c>
      <c r="B74" s="119"/>
      <c r="C74" s="244">
        <f t="shared" ref="C74:H74" si="22">+C70+C72+C73</f>
        <v>0</v>
      </c>
      <c r="D74" s="265">
        <f t="shared" si="22"/>
        <v>580891580.99999988</v>
      </c>
      <c r="E74" s="76">
        <f t="shared" si="22"/>
        <v>747190357.77999997</v>
      </c>
      <c r="F74" s="76">
        <f t="shared" si="22"/>
        <v>69047173.340000004</v>
      </c>
      <c r="G74" s="76">
        <f t="shared" si="22"/>
        <v>384991387.48000002</v>
      </c>
      <c r="H74" s="76">
        <f t="shared" si="22"/>
        <v>622658631.48333335</v>
      </c>
      <c r="I74" s="76">
        <f t="shared" si="18"/>
        <v>-237667244.00333333</v>
      </c>
      <c r="J74" s="333">
        <f t="shared" si="19"/>
        <v>-0.38169750162645089</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7" t="s">
        <v>143</v>
      </c>
      <c r="B77" s="1057"/>
      <c r="C77" s="1057"/>
      <c r="D77" s="1057"/>
      <c r="E77" s="1057"/>
      <c r="F77" s="1057"/>
      <c r="G77" s="1057"/>
      <c r="H77" s="1057"/>
      <c r="I77" s="1057"/>
      <c r="J77" s="1057"/>
      <c r="K77" s="1057"/>
    </row>
    <row r="78" spans="1:12" ht="12" customHeight="1" x14ac:dyDescent="0.25">
      <c r="A78" s="1057" t="s">
        <v>1215</v>
      </c>
      <c r="B78" s="1057"/>
      <c r="C78" s="1057"/>
      <c r="D78" s="1057"/>
      <c r="E78" s="1057"/>
      <c r="F78" s="1057"/>
      <c r="G78" s="1057"/>
      <c r="H78" s="1057"/>
      <c r="I78" s="1057"/>
      <c r="J78" s="1057"/>
      <c r="K78" s="1057"/>
    </row>
    <row r="79" spans="1:12" ht="12" customHeight="1" x14ac:dyDescent="0.25">
      <c r="A79" s="1058" t="s">
        <v>524</v>
      </c>
      <c r="B79" s="1057"/>
      <c r="C79" s="1057"/>
      <c r="D79" s="1057"/>
      <c r="E79" s="1057"/>
      <c r="F79" s="1057"/>
      <c r="G79" s="1057"/>
      <c r="H79" s="1057"/>
      <c r="I79" s="1057"/>
      <c r="J79" s="1057"/>
      <c r="K79" s="1057"/>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2</v>
      </c>
      <c r="F86" s="693">
        <f t="shared" si="23"/>
        <v>90123</v>
      </c>
      <c r="G86" s="693">
        <f t="shared" si="23"/>
        <v>275132</v>
      </c>
      <c r="H86" s="693">
        <f t="shared" si="23"/>
        <v>1.6666666269302368</v>
      </c>
      <c r="I86" s="693"/>
      <c r="J86" s="693"/>
      <c r="K86" s="693">
        <f t="shared" si="23"/>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s="25" customFormat="1" ht="11.25" customHeight="1" x14ac:dyDescent="0.25"/>
    <row r="98" s="25" customFormat="1" ht="11.25" customHeight="1" x14ac:dyDescent="0.25"/>
    <row r="99" s="25" customFormat="1" ht="11.25" customHeight="1" x14ac:dyDescent="0.25"/>
    <row r="100" s="25" customFormat="1" ht="11.25" customHeight="1" x14ac:dyDescent="0.25"/>
    <row r="101" s="25" customFormat="1" ht="11.25" customHeight="1" x14ac:dyDescent="0.25"/>
    <row r="102" s="25" customFormat="1" ht="11.25" customHeight="1" x14ac:dyDescent="0.25"/>
    <row r="103" s="25" customFormat="1" ht="11.25" customHeight="1" x14ac:dyDescent="0.25"/>
    <row r="104" s="25" customFormat="1" ht="11.25" customHeight="1" x14ac:dyDescent="0.25"/>
    <row r="105" s="25" customFormat="1" ht="11.25" customHeight="1" x14ac:dyDescent="0.25"/>
    <row r="106" s="25" customFormat="1" ht="11.25" customHeight="1" x14ac:dyDescent="0.25"/>
    <row r="107" s="25" customFormat="1" ht="11.25" customHeight="1" x14ac:dyDescent="0.25"/>
    <row r="108" s="25" customFormat="1" ht="11.25" customHeight="1" x14ac:dyDescent="0.25"/>
    <row r="109" s="25" customFormat="1" ht="11.25" customHeight="1" x14ac:dyDescent="0.25"/>
    <row r="110" s="25" customFormat="1" ht="11.25" customHeight="1" x14ac:dyDescent="0.25"/>
    <row r="111" s="25" customFormat="1" ht="11.25" customHeight="1" x14ac:dyDescent="0.25"/>
    <row r="112" s="25" customFormat="1" ht="11.25" customHeight="1" x14ac:dyDescent="0.25"/>
    <row r="113" s="25" customFormat="1" ht="11.25" customHeight="1" x14ac:dyDescent="0.25"/>
    <row r="114" s="25" customFormat="1" ht="11.25" customHeight="1" x14ac:dyDescent="0.25"/>
    <row r="115" s="25" customFormat="1" ht="11.25" customHeight="1" x14ac:dyDescent="0.25"/>
    <row r="116" s="25" customFormat="1" ht="11.25" customHeight="1" x14ac:dyDescent="0.25"/>
    <row r="117" s="25" customFormat="1" ht="11.25" customHeight="1" x14ac:dyDescent="0.25"/>
    <row r="118" s="25" customFormat="1" ht="11.25" customHeight="1" x14ac:dyDescent="0.25"/>
    <row r="119" s="25" customFormat="1" ht="11.25" customHeight="1" x14ac:dyDescent="0.25"/>
    <row r="120" s="25" customFormat="1" ht="11.25" customHeight="1" x14ac:dyDescent="0.25"/>
    <row r="121" s="25" customFormat="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51" activePane="bottomRight" state="frozen"/>
      <selection pane="topRight"/>
      <selection pane="bottomLeft"/>
      <selection pane="bottomRight" activeCell="F316" sqref="F316"/>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7" t="str">
        <f>muni&amp; " - "&amp;S71D&amp; " - "&amp;"A"&amp; " - "&amp;date</f>
        <v>KZN225 Msunduzi - Table C5 Consolidated Monthly Budget Statement - Capital Expenditure (municipal vote, functional classification and funding  - A - M10 April</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1916666.6666666665</v>
      </c>
      <c r="I7" s="50">
        <f t="shared" ref="I7:I43" si="1">G7-H7</f>
        <v>-1916666.6666666665</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E9/12*10</f>
        <v>1916666.6666666665</v>
      </c>
      <c r="I9" s="44">
        <f t="shared" si="1"/>
        <v>-1916666.6666666665</v>
      </c>
      <c r="J9" s="330">
        <f t="shared" si="2"/>
        <v>-1</v>
      </c>
      <c r="K9" s="743">
        <f t="shared" ref="K9" si="3">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4720000</v>
      </c>
      <c r="F12" s="443">
        <f t="shared" si="4"/>
        <v>80049.11</v>
      </c>
      <c r="G12" s="441">
        <f t="shared" si="4"/>
        <v>205932.74</v>
      </c>
      <c r="H12" s="443">
        <f t="shared" si="4"/>
        <v>3933333.333333333</v>
      </c>
      <c r="I12" s="44">
        <f t="shared" si="1"/>
        <v>-3727400.5933333328</v>
      </c>
      <c r="J12" s="330">
        <f t="shared" si="2"/>
        <v>-0.94764421864406778</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c r="G14" s="741"/>
      <c r="H14" s="742">
        <f>E14/12*10</f>
        <v>3933333.333333333</v>
      </c>
      <c r="I14" s="44">
        <f t="shared" si="1"/>
        <v>-3933333.333333333</v>
      </c>
      <c r="J14" s="330">
        <f t="shared" si="2"/>
        <v>-1</v>
      </c>
      <c r="K14" s="743">
        <f t="shared" ref="K14" si="5">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v>80049.11</v>
      </c>
      <c r="G17" s="741">
        <v>205932.74</v>
      </c>
      <c r="H17" s="742"/>
      <c r="I17" s="44">
        <f t="shared" si="1"/>
        <v>205932.74</v>
      </c>
      <c r="J17" s="330" t="e">
        <f t="shared" si="2"/>
        <v>#DIV/0!</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46120040</v>
      </c>
      <c r="F18" s="443">
        <f t="shared" si="6"/>
        <v>4100482.81</v>
      </c>
      <c r="G18" s="441">
        <f t="shared" si="6"/>
        <v>23880044.300000001</v>
      </c>
      <c r="H18" s="443">
        <f t="shared" si="6"/>
        <v>38433366.666666672</v>
      </c>
      <c r="I18" s="44">
        <f t="shared" si="1"/>
        <v>-14553322.366666671</v>
      </c>
      <c r="J18" s="330">
        <f t="shared" si="2"/>
        <v>-0.37866374010083259</v>
      </c>
      <c r="K18" s="442">
        <f>SUM(K19:K22)</f>
        <v>46120040</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23320040</v>
      </c>
      <c r="F21" s="742">
        <v>1935078.88</v>
      </c>
      <c r="G21" s="741">
        <v>7517858.0200000005</v>
      </c>
      <c r="H21" s="742">
        <f t="shared" ref="H21:H22" si="7">E21/12*10</f>
        <v>19433366.666666668</v>
      </c>
      <c r="I21" s="44">
        <f t="shared" si="1"/>
        <v>-11915508.646666668</v>
      </c>
      <c r="J21" s="330">
        <f t="shared" si="2"/>
        <v>-0.61314690609450073</v>
      </c>
      <c r="K21" s="743">
        <f t="shared" ref="K21:K22" si="8">E21</f>
        <v>23320040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22800000</v>
      </c>
      <c r="F22" s="742">
        <v>2165403.9300000002</v>
      </c>
      <c r="G22" s="741">
        <v>16362186.280000001</v>
      </c>
      <c r="H22" s="742">
        <f t="shared" si="7"/>
        <v>19000000</v>
      </c>
      <c r="I22" s="44">
        <f t="shared" si="1"/>
        <v>-2637813.7199999988</v>
      </c>
      <c r="J22" s="330">
        <f t="shared" si="2"/>
        <v>-0.13883230105263153</v>
      </c>
      <c r="K22" s="743">
        <f t="shared" si="8"/>
        <v>22800000</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1970000</v>
      </c>
      <c r="F23" s="443">
        <f t="shared" si="9"/>
        <v>0</v>
      </c>
      <c r="G23" s="441">
        <f t="shared" si="9"/>
        <v>0</v>
      </c>
      <c r="H23" s="443">
        <f t="shared" si="9"/>
        <v>1641666.6666666665</v>
      </c>
      <c r="I23" s="44">
        <f t="shared" si="1"/>
        <v>-1641666.6666666665</v>
      </c>
      <c r="J23" s="330">
        <f t="shared" si="2"/>
        <v>-1</v>
      </c>
      <c r="K23" s="442">
        <f>SUM(K24:K28)</f>
        <v>1970000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v>1970000</v>
      </c>
      <c r="F25" s="742"/>
      <c r="G25" s="741"/>
      <c r="H25" s="742">
        <f>E25/12*10</f>
        <v>1641666.6666666665</v>
      </c>
      <c r="I25" s="44">
        <f t="shared" si="1"/>
        <v>-1641666.6666666665</v>
      </c>
      <c r="J25" s="330">
        <f t="shared" si="2"/>
        <v>-1</v>
      </c>
      <c r="K25" s="743">
        <f t="shared" ref="K25" si="10">E25</f>
        <v>1970000</v>
      </c>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1">SUM(C30:C34)</f>
        <v>0</v>
      </c>
      <c r="D29" s="444">
        <f t="shared" si="11"/>
        <v>168455000</v>
      </c>
      <c r="E29" s="441">
        <f t="shared" si="11"/>
        <v>7780000</v>
      </c>
      <c r="F29" s="443">
        <f t="shared" si="11"/>
        <v>50439312.790000007</v>
      </c>
      <c r="G29" s="441">
        <f t="shared" si="11"/>
        <v>292844744.18000001</v>
      </c>
      <c r="H29" s="443">
        <f t="shared" si="11"/>
        <v>6483333.333333334</v>
      </c>
      <c r="I29" s="44">
        <f t="shared" si="1"/>
        <v>286361410.84666669</v>
      </c>
      <c r="J29" s="330">
        <f t="shared" si="2"/>
        <v>44.168855143444731</v>
      </c>
      <c r="K29" s="442">
        <f>SUM(K30:K34)</f>
        <v>7780000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v>7780000</v>
      </c>
      <c r="F30" s="742">
        <v>205201.95000000019</v>
      </c>
      <c r="G30" s="741">
        <v>6328485.2800000003</v>
      </c>
      <c r="H30" s="742">
        <f>E30/12*10</f>
        <v>6483333.333333334</v>
      </c>
      <c r="I30" s="44">
        <f t="shared" si="1"/>
        <v>-154848.05333333369</v>
      </c>
      <c r="J30" s="330">
        <f t="shared" si="2"/>
        <v>-2.3884018508997483E-2</v>
      </c>
      <c r="K30" s="743">
        <f t="shared" ref="K30" si="12">E30</f>
        <v>7780000</v>
      </c>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c r="F32" s="742">
        <v>41480008.740000002</v>
      </c>
      <c r="G32" s="741">
        <v>179276396.88</v>
      </c>
      <c r="H32" s="742"/>
      <c r="I32" s="44">
        <f t="shared" si="1"/>
        <v>179276396.88</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8754102.0999999996</v>
      </c>
      <c r="G33" s="741">
        <v>107239862.02</v>
      </c>
      <c r="H33" s="742"/>
      <c r="I33" s="44">
        <f t="shared" si="1"/>
        <v>107239862.02</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0</v>
      </c>
      <c r="D35" s="444">
        <f t="shared" si="13"/>
        <v>300600156</v>
      </c>
      <c r="E35" s="441">
        <f t="shared" si="13"/>
        <v>319509531.77999997</v>
      </c>
      <c r="F35" s="443">
        <f t="shared" si="13"/>
        <v>9618885.0199999996</v>
      </c>
      <c r="G35" s="441">
        <f t="shared" si="13"/>
        <v>51861244.370000005</v>
      </c>
      <c r="H35" s="443">
        <f t="shared" si="13"/>
        <v>266257943.14999998</v>
      </c>
      <c r="I35" s="44">
        <f t="shared" si="1"/>
        <v>-214396698.77999997</v>
      </c>
      <c r="J35" s="330">
        <f t="shared" si="2"/>
        <v>-0.80522179448827458</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v>557843.63</v>
      </c>
      <c r="G36" s="741">
        <v>2038113.77</v>
      </c>
      <c r="H36" s="742">
        <f t="shared" ref="H36:H39" si="14">E36/12*10</f>
        <v>2083333.3333333335</v>
      </c>
      <c r="I36" s="44">
        <f t="shared" si="1"/>
        <v>-45219.56333333347</v>
      </c>
      <c r="J36" s="330">
        <f t="shared" si="2"/>
        <v>-2.1705390400000062E-2</v>
      </c>
      <c r="K36" s="743">
        <f t="shared" ref="K36:K39" si="15">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v>2756400.65</v>
      </c>
      <c r="G37" s="741">
        <v>2756400.65</v>
      </c>
      <c r="H37" s="742">
        <f t="shared" si="14"/>
        <v>16853581.666666668</v>
      </c>
      <c r="I37" s="44">
        <f t="shared" si="1"/>
        <v>-14097181.016666668</v>
      </c>
      <c r="J37" s="330">
        <f t="shared" si="2"/>
        <v>-0.8364501561438622</v>
      </c>
      <c r="K37" s="743">
        <f t="shared" si="15"/>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5461640.7300000004</v>
      </c>
      <c r="G38" s="741">
        <v>45478496.660000004</v>
      </c>
      <c r="H38" s="742">
        <f t="shared" si="14"/>
        <v>232794305.64999998</v>
      </c>
      <c r="I38" s="44">
        <f t="shared" si="1"/>
        <v>-187315808.98999998</v>
      </c>
      <c r="J38" s="330">
        <f t="shared" si="2"/>
        <v>-0.80464085436704924</v>
      </c>
      <c r="K38" s="743">
        <f t="shared" si="15"/>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v>843000.01</v>
      </c>
      <c r="G39" s="741">
        <v>1588233.29</v>
      </c>
      <c r="H39" s="742">
        <f t="shared" si="14"/>
        <v>14526722.5</v>
      </c>
      <c r="I39" s="44">
        <f t="shared" si="1"/>
        <v>-12938489.210000001</v>
      </c>
      <c r="J39" s="330">
        <f t="shared" si="2"/>
        <v>-0.89066816069488497</v>
      </c>
      <c r="K39" s="743">
        <f t="shared" si="15"/>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64238729.730000004</v>
      </c>
      <c r="G145" s="448">
        <f>G7+G12+G18+G23+G29+G35+G46+G57+G68+G79+G90+G101+G112+G123+G134</f>
        <v>368791965.59000003</v>
      </c>
      <c r="H145" s="450">
        <f>H7+H12+H18+H23+H29+H35+H46+H57+H68+H79+H90+H101+H112+H123+H134</f>
        <v>318666309.81666666</v>
      </c>
      <c r="I145" s="514">
        <f t="shared" si="24"/>
        <v>50125655.773333371</v>
      </c>
      <c r="J145" s="515">
        <f t="shared" si="25"/>
        <v>0.15729825911679018</v>
      </c>
      <c r="K145" s="449">
        <f>K7+K12+K18+K23+K29+K35+K46+K57+K68+K79+K90+K101+K112+K123+K134</f>
        <v>382399571.77999997</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1500000</v>
      </c>
      <c r="F149" s="470">
        <f t="shared" si="30"/>
        <v>267080.13</v>
      </c>
      <c r="G149" s="468">
        <f t="shared" si="30"/>
        <v>1409774.98</v>
      </c>
      <c r="H149" s="470">
        <f t="shared" si="30"/>
        <v>1250000</v>
      </c>
      <c r="I149" s="44">
        <f t="shared" si="24"/>
        <v>159774.97999999998</v>
      </c>
      <c r="J149" s="330">
        <f t="shared" si="25"/>
        <v>0.127819984</v>
      </c>
      <c r="K149" s="469">
        <f t="shared" si="30"/>
        <v>1500000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v>1310000</v>
      </c>
      <c r="F151" s="746">
        <v>267080.13</v>
      </c>
      <c r="G151" s="733">
        <v>274174.98</v>
      </c>
      <c r="H151" s="746">
        <f t="shared" ref="H151:H152" si="31">E151/12*10</f>
        <v>1091666.6666666667</v>
      </c>
      <c r="I151" s="44">
        <f t="shared" si="24"/>
        <v>-817491.68666666676</v>
      </c>
      <c r="J151" s="330">
        <f t="shared" si="25"/>
        <v>-0.7488473465648855</v>
      </c>
      <c r="K151" s="747">
        <f t="shared" ref="K151:K152" si="32">E151</f>
        <v>1310000</v>
      </c>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v>190000</v>
      </c>
      <c r="F152" s="746"/>
      <c r="G152" s="733">
        <v>1135600</v>
      </c>
      <c r="H152" s="746">
        <f t="shared" si="31"/>
        <v>158333.33333333334</v>
      </c>
      <c r="I152" s="44">
        <f t="shared" si="24"/>
        <v>977266.66666666663</v>
      </c>
      <c r="J152" s="330">
        <f t="shared" si="25"/>
        <v>6.1722105263157889</v>
      </c>
      <c r="K152" s="747">
        <f t="shared" si="32"/>
        <v>190000</v>
      </c>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3">SUM(E161:E170)</f>
        <v>27914416</v>
      </c>
      <c r="F160" s="443">
        <f t="shared" si="33"/>
        <v>0</v>
      </c>
      <c r="G160" s="441">
        <f t="shared" si="33"/>
        <v>1199440.5699999998</v>
      </c>
      <c r="H160" s="443">
        <f t="shared" si="33"/>
        <v>23262013.333333332</v>
      </c>
      <c r="I160" s="44">
        <f t="shared" si="24"/>
        <v>-22062572.763333332</v>
      </c>
      <c r="J160" s="330">
        <f t="shared" si="25"/>
        <v>-0.94843780059736871</v>
      </c>
      <c r="K160" s="442">
        <f t="shared" si="33"/>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34">E161/12*10</f>
        <v>11250000</v>
      </c>
      <c r="I161" s="44">
        <f t="shared" si="24"/>
        <v>-11250000</v>
      </c>
      <c r="J161" s="330">
        <f t="shared" si="25"/>
        <v>-1</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c r="G162" s="733">
        <v>1175131.3199999998</v>
      </c>
      <c r="H162" s="746">
        <f t="shared" si="34"/>
        <v>11566180</v>
      </c>
      <c r="I162" s="44">
        <f t="shared" si="24"/>
        <v>-10391048.68</v>
      </c>
      <c r="J162" s="330">
        <f t="shared" si="25"/>
        <v>-0.8983993574369411</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v>0</v>
      </c>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v>0</v>
      </c>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E165/12*10</f>
        <v>445833.33333333337</v>
      </c>
      <c r="I165" s="44">
        <f t="shared" si="24"/>
        <v>-421524.08333333337</v>
      </c>
      <c r="J165" s="330">
        <f t="shared" si="25"/>
        <v>-0.94547457943925239</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5">SUM(C172:C181)</f>
        <v>0</v>
      </c>
      <c r="D171" s="444">
        <f t="shared" si="35"/>
        <v>13700000</v>
      </c>
      <c r="E171" s="441">
        <f t="shared" si="35"/>
        <v>19124760</v>
      </c>
      <c r="F171" s="443">
        <f t="shared" si="35"/>
        <v>562522</v>
      </c>
      <c r="G171" s="441">
        <f t="shared" si="35"/>
        <v>4263461.8099999996</v>
      </c>
      <c r="H171" s="443">
        <f t="shared" si="35"/>
        <v>15937300</v>
      </c>
      <c r="I171" s="44">
        <f t="shared" si="24"/>
        <v>-11673838.190000001</v>
      </c>
      <c r="J171" s="330">
        <f t="shared" si="25"/>
        <v>-0.73248531369805436</v>
      </c>
      <c r="K171" s="442">
        <f t="shared" si="35"/>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0</v>
      </c>
      <c r="F172" s="746"/>
      <c r="G172" s="733"/>
      <c r="H172" s="746"/>
      <c r="I172" s="44">
        <f t="shared" si="24"/>
        <v>0</v>
      </c>
      <c r="J172" s="330" t="str">
        <f t="shared" si="25"/>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36">E173/12*10</f>
        <v>1666666.6666666665</v>
      </c>
      <c r="I173" s="44">
        <f t="shared" ref="I173:I236" si="37">G173-H173</f>
        <v>-1666666.6666666665</v>
      </c>
      <c r="J173" s="330">
        <f t="shared" ref="J173:J236" si="38">IF(I173=0,"",I173/H173)</f>
        <v>-1</v>
      </c>
      <c r="K173" s="747">
        <f t="shared" ref="K173:K175" si="39">E173</f>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v>3700939.8099999996</v>
      </c>
      <c r="H174" s="472">
        <f t="shared" si="36"/>
        <v>10135279.166666666</v>
      </c>
      <c r="I174" s="44">
        <f t="shared" si="37"/>
        <v>-6434339.3566666665</v>
      </c>
      <c r="J174" s="330">
        <f t="shared" si="38"/>
        <v>-0.6348457946603181</v>
      </c>
      <c r="K174" s="395">
        <f t="shared" si="39"/>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562522</v>
      </c>
      <c r="G175" s="384">
        <v>562522</v>
      </c>
      <c r="H175" s="472">
        <f t="shared" si="36"/>
        <v>4135354.166666667</v>
      </c>
      <c r="I175" s="44">
        <f t="shared" si="37"/>
        <v>-3572832.166666667</v>
      </c>
      <c r="J175" s="330">
        <f t="shared" si="38"/>
        <v>-0.86397247313561421</v>
      </c>
      <c r="K175" s="395">
        <f t="shared" si="39"/>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7"/>
        <v>0</v>
      </c>
      <c r="J176" s="330" t="str">
        <f t="shared" si="38"/>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7"/>
        <v>0</v>
      </c>
      <c r="J177" s="330" t="str">
        <f t="shared" si="38"/>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7"/>
        <v>0</v>
      </c>
      <c r="J178" s="330" t="str">
        <f t="shared" si="38"/>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7"/>
        <v>0</v>
      </c>
      <c r="J179" s="330" t="str">
        <f t="shared" si="38"/>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7"/>
        <v>0</v>
      </c>
      <c r="J180" s="330" t="str">
        <f t="shared" si="38"/>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7"/>
        <v>0</v>
      </c>
      <c r="J181" s="330" t="str">
        <f t="shared" si="38"/>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0">SUM(C183:C192)</f>
        <v>0</v>
      </c>
      <c r="D182" s="444">
        <f t="shared" si="40"/>
        <v>0</v>
      </c>
      <c r="E182" s="441">
        <f t="shared" si="40"/>
        <v>530000</v>
      </c>
      <c r="F182" s="443">
        <f t="shared" si="40"/>
        <v>121385.83</v>
      </c>
      <c r="G182" s="441">
        <f t="shared" si="40"/>
        <v>121385.83</v>
      </c>
      <c r="H182" s="443">
        <f t="shared" si="40"/>
        <v>441666.66666666663</v>
      </c>
      <c r="I182" s="44">
        <f t="shared" si="37"/>
        <v>-320280.83666666661</v>
      </c>
      <c r="J182" s="330">
        <f t="shared" si="38"/>
        <v>-0.72516415849056592</v>
      </c>
      <c r="K182" s="442">
        <f t="shared" si="40"/>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7"/>
        <v>0</v>
      </c>
      <c r="J183" s="330" t="str">
        <f t="shared" si="38"/>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121385.83</v>
      </c>
      <c r="G184" s="384">
        <v>121385.83</v>
      </c>
      <c r="H184" s="472">
        <f t="shared" ref="H184" si="41">E184/12*10</f>
        <v>441666.66666666663</v>
      </c>
      <c r="I184" s="44">
        <f t="shared" si="37"/>
        <v>-320280.83666666661</v>
      </c>
      <c r="J184" s="330">
        <f t="shared" si="38"/>
        <v>-0.72516415849056592</v>
      </c>
      <c r="K184" s="395">
        <f t="shared" ref="K184" si="42">E184</f>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7"/>
        <v>0</v>
      </c>
      <c r="J185" s="330" t="str">
        <f t="shared" si="38"/>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7"/>
        <v>0</v>
      </c>
      <c r="J186" s="330" t="str">
        <f t="shared" si="38"/>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7"/>
        <v>0</v>
      </c>
      <c r="J187" s="330" t="str">
        <f t="shared" si="38"/>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7"/>
        <v>0</v>
      </c>
      <c r="J188" s="330" t="str">
        <f t="shared" si="38"/>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7"/>
        <v>0</v>
      </c>
      <c r="J189" s="330" t="str">
        <f t="shared" si="38"/>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7"/>
        <v>0</v>
      </c>
      <c r="J190" s="330" t="str">
        <f t="shared" si="38"/>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7"/>
        <v>0</v>
      </c>
      <c r="J191" s="330" t="str">
        <f t="shared" si="38"/>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7"/>
        <v>0</v>
      </c>
      <c r="J192" s="330" t="str">
        <f t="shared" si="38"/>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3">SUM(C194:C203)</f>
        <v>0</v>
      </c>
      <c r="D193" s="444">
        <f t="shared" si="43"/>
        <v>33000000</v>
      </c>
      <c r="E193" s="441">
        <f t="shared" si="43"/>
        <v>310123978</v>
      </c>
      <c r="F193" s="443">
        <f t="shared" si="43"/>
        <v>3759720</v>
      </c>
      <c r="G193" s="441">
        <f t="shared" si="43"/>
        <v>8861056.3499999996</v>
      </c>
      <c r="H193" s="443">
        <f t="shared" si="43"/>
        <v>258436648.33333331</v>
      </c>
      <c r="I193" s="44">
        <f t="shared" si="37"/>
        <v>-249575591.98333332</v>
      </c>
      <c r="J193" s="330">
        <f t="shared" si="38"/>
        <v>-0.96571284913674105</v>
      </c>
      <c r="K193" s="442">
        <f t="shared" si="4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3759720</v>
      </c>
      <c r="G194" s="384">
        <v>8861056.3499999996</v>
      </c>
      <c r="H194" s="472">
        <f t="shared" ref="H194" si="44">E194/12*10</f>
        <v>6961941.666666666</v>
      </c>
      <c r="I194" s="44">
        <f t="shared" si="37"/>
        <v>1899114.6833333336</v>
      </c>
      <c r="J194" s="330">
        <f t="shared" si="38"/>
        <v>0.27278520479799107</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v>0</v>
      </c>
      <c r="F195" s="472"/>
      <c r="G195" s="384"/>
      <c r="H195" s="472"/>
      <c r="I195" s="44">
        <f t="shared" si="37"/>
        <v>0</v>
      </c>
      <c r="J195" s="330" t="str">
        <f t="shared" si="38"/>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c r="G196" s="384"/>
      <c r="H196" s="472">
        <f t="shared" ref="H196:H197" si="45">E196/12*10</f>
        <v>133341087.5</v>
      </c>
      <c r="I196" s="44">
        <f t="shared" si="37"/>
        <v>-133341087.5</v>
      </c>
      <c r="J196" s="330">
        <f t="shared" si="38"/>
        <v>-1</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45"/>
        <v>118133619.16666666</v>
      </c>
      <c r="I197" s="44">
        <f t="shared" si="37"/>
        <v>-118133619.16666666</v>
      </c>
      <c r="J197" s="330">
        <f t="shared" si="38"/>
        <v>-1</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7"/>
        <v>0</v>
      </c>
      <c r="J198" s="330" t="str">
        <f t="shared" si="38"/>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7"/>
        <v>0</v>
      </c>
      <c r="J199" s="330" t="str">
        <f t="shared" si="38"/>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7"/>
        <v>0</v>
      </c>
      <c r="J200" s="330" t="str">
        <f t="shared" si="38"/>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7"/>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7"/>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7"/>
        <v>0</v>
      </c>
      <c r="J203" s="330" t="str">
        <f t="shared" si="38"/>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6">SUM(C205:C214)</f>
        <v>0</v>
      </c>
      <c r="D204" s="444">
        <f t="shared" si="46"/>
        <v>10024000</v>
      </c>
      <c r="E204" s="441">
        <f t="shared" si="46"/>
        <v>5597634</v>
      </c>
      <c r="F204" s="443">
        <f t="shared" si="46"/>
        <v>187858.65</v>
      </c>
      <c r="G204" s="441">
        <f t="shared" si="46"/>
        <v>619434.35</v>
      </c>
      <c r="H204" s="443">
        <f t="shared" si="46"/>
        <v>4664695</v>
      </c>
      <c r="I204" s="44">
        <f t="shared" si="37"/>
        <v>-4045260.65</v>
      </c>
      <c r="J204" s="330">
        <f t="shared" si="38"/>
        <v>-0.86720796322160398</v>
      </c>
      <c r="K204" s="442">
        <f t="shared" si="46"/>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90123</v>
      </c>
      <c r="G205" s="384">
        <v>275132</v>
      </c>
      <c r="H205" s="472">
        <f t="shared" ref="H205" si="47">E205/12*10</f>
        <v>123028.33333333334</v>
      </c>
      <c r="I205" s="44">
        <f t="shared" si="37"/>
        <v>152103.66666666666</v>
      </c>
      <c r="J205" s="330">
        <f t="shared" si="38"/>
        <v>1.2363303845997533</v>
      </c>
      <c r="K205" s="395">
        <f t="shared" ref="K205:K206" si="48">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0</v>
      </c>
      <c r="F206" s="472"/>
      <c r="G206" s="384"/>
      <c r="H206" s="472"/>
      <c r="I206" s="44">
        <f t="shared" si="37"/>
        <v>0</v>
      </c>
      <c r="J206" s="330" t="str">
        <f t="shared" si="38"/>
        <v/>
      </c>
      <c r="K206" s="395">
        <f t="shared" si="48"/>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v>246566.7</v>
      </c>
      <c r="H207" s="472">
        <f t="shared" ref="H207:H208" si="49">E207/12*10</f>
        <v>4375000</v>
      </c>
      <c r="I207" s="44">
        <f t="shared" si="37"/>
        <v>-4128433.3</v>
      </c>
      <c r="J207" s="330">
        <f t="shared" si="38"/>
        <v>-0.94364189714285707</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v>97735.65</v>
      </c>
      <c r="G208" s="384">
        <v>97735.65</v>
      </c>
      <c r="H208" s="472">
        <f t="shared" si="49"/>
        <v>166666.66666666669</v>
      </c>
      <c r="I208" s="44">
        <f t="shared" si="37"/>
        <v>-68931.016666666692</v>
      </c>
      <c r="J208" s="330">
        <f t="shared" si="38"/>
        <v>-0.41358610000000012</v>
      </c>
      <c r="K208" s="395">
        <f>E208</f>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7"/>
        <v>0</v>
      </c>
      <c r="J209" s="330" t="str">
        <f t="shared" si="38"/>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7"/>
        <v>0</v>
      </c>
      <c r="J210" s="330" t="str">
        <f t="shared" si="38"/>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7"/>
        <v>0</v>
      </c>
      <c r="J211" s="330" t="str">
        <f t="shared" si="38"/>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7"/>
        <v>0</v>
      </c>
      <c r="J212" s="330" t="str">
        <f t="shared" si="38"/>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7"/>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7"/>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50">SUM(C216:C225)</f>
        <v>0</v>
      </c>
      <c r="D215" s="444">
        <f t="shared" si="50"/>
        <v>0</v>
      </c>
      <c r="E215" s="441">
        <f t="shared" si="50"/>
        <v>0</v>
      </c>
      <c r="F215" s="443">
        <f t="shared" si="50"/>
        <v>0</v>
      </c>
      <c r="G215" s="441">
        <f t="shared" si="50"/>
        <v>0</v>
      </c>
      <c r="H215" s="443">
        <f t="shared" si="50"/>
        <v>0</v>
      </c>
      <c r="I215" s="44">
        <f t="shared" si="37"/>
        <v>0</v>
      </c>
      <c r="J215" s="330" t="str">
        <f t="shared" si="38"/>
        <v/>
      </c>
      <c r="K215" s="442">
        <f t="shared" si="50"/>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7"/>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7"/>
        <v>0</v>
      </c>
      <c r="J217" s="330" t="str">
        <f t="shared" si="38"/>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7"/>
        <v>0</v>
      </c>
      <c r="J218" s="330" t="str">
        <f t="shared" si="38"/>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7"/>
        <v>0</v>
      </c>
      <c r="J219" s="330" t="str">
        <f t="shared" si="38"/>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7"/>
        <v>0</v>
      </c>
      <c r="J220" s="330" t="str">
        <f t="shared" si="38"/>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7"/>
        <v>0</v>
      </c>
      <c r="J221" s="330" t="str">
        <f t="shared" si="38"/>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7"/>
        <v>0</v>
      </c>
      <c r="J222" s="330" t="str">
        <f t="shared" si="38"/>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7"/>
        <v>0</v>
      </c>
      <c r="J223" s="330" t="str">
        <f t="shared" si="38"/>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7"/>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7"/>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51">SUM(C227:C236)</f>
        <v>0</v>
      </c>
      <c r="D226" s="444">
        <f t="shared" si="51"/>
        <v>0</v>
      </c>
      <c r="E226" s="441">
        <f t="shared" si="51"/>
        <v>0</v>
      </c>
      <c r="F226" s="443">
        <f t="shared" si="51"/>
        <v>0</v>
      </c>
      <c r="G226" s="441">
        <f t="shared" si="51"/>
        <v>0</v>
      </c>
      <c r="H226" s="443">
        <f t="shared" si="51"/>
        <v>0</v>
      </c>
      <c r="I226" s="44">
        <f t="shared" si="37"/>
        <v>0</v>
      </c>
      <c r="J226" s="330" t="str">
        <f t="shared" si="38"/>
        <v/>
      </c>
      <c r="K226" s="442">
        <f t="shared" si="51"/>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7"/>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7"/>
        <v>0</v>
      </c>
      <c r="J228" s="330" t="str">
        <f t="shared" si="38"/>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7"/>
        <v>0</v>
      </c>
      <c r="J229" s="330" t="str">
        <f t="shared" si="38"/>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7"/>
        <v>0</v>
      </c>
      <c r="J230" s="330" t="str">
        <f t="shared" si="38"/>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7"/>
        <v>0</v>
      </c>
      <c r="J231" s="330" t="str">
        <f t="shared" si="38"/>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7"/>
        <v>0</v>
      </c>
      <c r="J232" s="330" t="str">
        <f t="shared" si="38"/>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7"/>
        <v>0</v>
      </c>
      <c r="J233" s="330" t="str">
        <f t="shared" si="38"/>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7"/>
        <v>0</v>
      </c>
      <c r="J234" s="330" t="str">
        <f t="shared" si="38"/>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7"/>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7"/>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52">SUM(C238:C247)</f>
        <v>0</v>
      </c>
      <c r="D237" s="444">
        <f t="shared" si="52"/>
        <v>0</v>
      </c>
      <c r="E237" s="441">
        <f t="shared" si="52"/>
        <v>0</v>
      </c>
      <c r="F237" s="443">
        <f t="shared" si="52"/>
        <v>0</v>
      </c>
      <c r="G237" s="441">
        <f t="shared" si="52"/>
        <v>0</v>
      </c>
      <c r="H237" s="443">
        <f t="shared" si="52"/>
        <v>0</v>
      </c>
      <c r="I237" s="44">
        <f t="shared" ref="I237:I300" si="53">G237-H237</f>
        <v>0</v>
      </c>
      <c r="J237" s="330" t="str">
        <f t="shared" ref="J237:J300" si="54">IF(I237=0,"",I237/H237)</f>
        <v/>
      </c>
      <c r="K237" s="442">
        <f t="shared" si="52"/>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53"/>
        <v>0</v>
      </c>
      <c r="J238" s="330" t="str">
        <f t="shared" si="54"/>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53"/>
        <v>0</v>
      </c>
      <c r="J239" s="330" t="str">
        <f t="shared" si="54"/>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53"/>
        <v>0</v>
      </c>
      <c r="J240" s="330" t="str">
        <f t="shared" si="54"/>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53"/>
        <v>0</v>
      </c>
      <c r="J241" s="330" t="str">
        <f t="shared" si="54"/>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53"/>
        <v>0</v>
      </c>
      <c r="J242" s="330" t="str">
        <f t="shared" si="54"/>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53"/>
        <v>0</v>
      </c>
      <c r="J243" s="330" t="str">
        <f t="shared" si="54"/>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53"/>
        <v>0</v>
      </c>
      <c r="J244" s="330" t="str">
        <f t="shared" si="54"/>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53"/>
        <v>0</v>
      </c>
      <c r="J245" s="330" t="str">
        <f t="shared" si="54"/>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53"/>
        <v>0</v>
      </c>
      <c r="J246" s="330" t="str">
        <f t="shared" si="54"/>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53"/>
        <v>0</v>
      </c>
      <c r="J247" s="330" t="str">
        <f t="shared" si="54"/>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5">SUM(C249:C258)</f>
        <v>0</v>
      </c>
      <c r="D248" s="444">
        <f t="shared" si="55"/>
        <v>0</v>
      </c>
      <c r="E248" s="441">
        <f t="shared" si="55"/>
        <v>0</v>
      </c>
      <c r="F248" s="443">
        <f t="shared" si="55"/>
        <v>0</v>
      </c>
      <c r="G248" s="441">
        <f t="shared" si="55"/>
        <v>0</v>
      </c>
      <c r="H248" s="443">
        <f t="shared" si="55"/>
        <v>0</v>
      </c>
      <c r="I248" s="44">
        <f t="shared" si="53"/>
        <v>0</v>
      </c>
      <c r="J248" s="330" t="str">
        <f t="shared" si="54"/>
        <v/>
      </c>
      <c r="K248" s="442">
        <f t="shared" si="55"/>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53"/>
        <v>0</v>
      </c>
      <c r="J249" s="330" t="str">
        <f t="shared" si="54"/>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53"/>
        <v>0</v>
      </c>
      <c r="J250" s="330" t="str">
        <f t="shared" si="54"/>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53"/>
        <v>0</v>
      </c>
      <c r="J251" s="330" t="str">
        <f t="shared" si="54"/>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53"/>
        <v>0</v>
      </c>
      <c r="J252" s="330" t="str">
        <f t="shared" si="54"/>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53"/>
        <v>0</v>
      </c>
      <c r="J253" s="330" t="str">
        <f t="shared" si="54"/>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53"/>
        <v>0</v>
      </c>
      <c r="J254" s="330" t="str">
        <f t="shared" si="54"/>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53"/>
        <v>0</v>
      </c>
      <c r="J255" s="330" t="str">
        <f t="shared" si="54"/>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53"/>
        <v>0</v>
      </c>
      <c r="J256" s="330" t="str">
        <f t="shared" si="54"/>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53"/>
        <v>0</v>
      </c>
      <c r="J257" s="330" t="str">
        <f t="shared" si="54"/>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53"/>
        <v>0</v>
      </c>
      <c r="J258" s="330" t="str">
        <f t="shared" si="54"/>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6">SUM(C260:C269)</f>
        <v>0</v>
      </c>
      <c r="D259" s="444">
        <f t="shared" si="56"/>
        <v>0</v>
      </c>
      <c r="E259" s="441">
        <f t="shared" si="56"/>
        <v>0</v>
      </c>
      <c r="F259" s="443">
        <f t="shared" si="56"/>
        <v>0</v>
      </c>
      <c r="G259" s="441">
        <f t="shared" si="56"/>
        <v>0</v>
      </c>
      <c r="H259" s="443">
        <f t="shared" si="56"/>
        <v>0</v>
      </c>
      <c r="I259" s="44">
        <f t="shared" si="53"/>
        <v>0</v>
      </c>
      <c r="J259" s="330" t="str">
        <f t="shared" si="54"/>
        <v/>
      </c>
      <c r="K259" s="442">
        <f t="shared" si="56"/>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53"/>
        <v>0</v>
      </c>
      <c r="J260" s="330" t="str">
        <f t="shared" si="54"/>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53"/>
        <v>0</v>
      </c>
      <c r="J261" s="330" t="str">
        <f t="shared" si="54"/>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53"/>
        <v>0</v>
      </c>
      <c r="J262" s="330" t="str">
        <f t="shared" si="54"/>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53"/>
        <v>0</v>
      </c>
      <c r="J263" s="330" t="str">
        <f t="shared" si="54"/>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53"/>
        <v>0</v>
      </c>
      <c r="J264" s="330" t="str">
        <f t="shared" si="54"/>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53"/>
        <v>0</v>
      </c>
      <c r="J265" s="330" t="str">
        <f t="shared" si="54"/>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53"/>
        <v>0</v>
      </c>
      <c r="J266" s="330" t="str">
        <f t="shared" si="54"/>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53"/>
        <v>0</v>
      </c>
      <c r="J267" s="330" t="str">
        <f t="shared" si="54"/>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53"/>
        <v>0</v>
      </c>
      <c r="J268" s="330" t="str">
        <f t="shared" si="54"/>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53"/>
        <v>0</v>
      </c>
      <c r="J269" s="330" t="str">
        <f t="shared" si="54"/>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7">SUM(C271:C280)</f>
        <v>0</v>
      </c>
      <c r="D270" s="444">
        <f t="shared" si="57"/>
        <v>0</v>
      </c>
      <c r="E270" s="441">
        <f t="shared" si="57"/>
        <v>0</v>
      </c>
      <c r="F270" s="443">
        <f t="shared" si="57"/>
        <v>0</v>
      </c>
      <c r="G270" s="441">
        <f t="shared" si="57"/>
        <v>0</v>
      </c>
      <c r="H270" s="443">
        <f t="shared" si="57"/>
        <v>0</v>
      </c>
      <c r="I270" s="44">
        <f t="shared" si="53"/>
        <v>0</v>
      </c>
      <c r="J270" s="330" t="str">
        <f t="shared" si="54"/>
        <v/>
      </c>
      <c r="K270" s="442">
        <f t="shared" si="57"/>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53"/>
        <v>0</v>
      </c>
      <c r="J271" s="330" t="str">
        <f t="shared" si="54"/>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53"/>
        <v>0</v>
      </c>
      <c r="J272" s="330" t="str">
        <f t="shared" si="54"/>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53"/>
        <v>0</v>
      </c>
      <c r="J273" s="330" t="str">
        <f t="shared" si="54"/>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53"/>
        <v>0</v>
      </c>
      <c r="J274" s="330" t="str">
        <f t="shared" si="54"/>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53"/>
        <v>0</v>
      </c>
      <c r="J275" s="330" t="str">
        <f t="shared" si="54"/>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53"/>
        <v>0</v>
      </c>
      <c r="J276" s="330" t="str">
        <f t="shared" si="54"/>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53"/>
        <v>0</v>
      </c>
      <c r="J277" s="330" t="str">
        <f t="shared" si="54"/>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53"/>
        <v>0</v>
      </c>
      <c r="J278" s="330" t="str">
        <f t="shared" si="54"/>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53"/>
        <v>0</v>
      </c>
      <c r="J279" s="330" t="str">
        <f t="shared" si="54"/>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53"/>
        <v>0</v>
      </c>
      <c r="J280" s="330" t="str">
        <f t="shared" si="54"/>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8">SUM(C282:C291)</f>
        <v>0</v>
      </c>
      <c r="D281" s="444">
        <f t="shared" si="58"/>
        <v>0</v>
      </c>
      <c r="E281" s="441">
        <f t="shared" si="58"/>
        <v>0</v>
      </c>
      <c r="F281" s="443">
        <f t="shared" si="58"/>
        <v>0</v>
      </c>
      <c r="G281" s="441">
        <f t="shared" si="58"/>
        <v>0</v>
      </c>
      <c r="H281" s="443">
        <f t="shared" si="58"/>
        <v>0</v>
      </c>
      <c r="I281" s="44">
        <f t="shared" si="53"/>
        <v>0</v>
      </c>
      <c r="J281" s="330" t="str">
        <f t="shared" si="54"/>
        <v/>
      </c>
      <c r="K281" s="442">
        <f t="shared" si="58"/>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53"/>
        <v>0</v>
      </c>
      <c r="J282" s="330" t="str">
        <f t="shared" si="54"/>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53"/>
        <v>0</v>
      </c>
      <c r="J283" s="330" t="str">
        <f t="shared" si="54"/>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53"/>
        <v>0</v>
      </c>
      <c r="J284" s="330" t="str">
        <f t="shared" si="54"/>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53"/>
        <v>0</v>
      </c>
      <c r="J285" s="330" t="str">
        <f t="shared" si="54"/>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53"/>
        <v>0</v>
      </c>
      <c r="J286" s="330" t="str">
        <f t="shared" si="54"/>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53"/>
        <v>0</v>
      </c>
      <c r="J287" s="330" t="str">
        <f t="shared" si="54"/>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53"/>
        <v>0</v>
      </c>
      <c r="J288" s="330" t="str">
        <f t="shared" si="54"/>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53"/>
        <v>0</v>
      </c>
      <c r="J289" s="330" t="str">
        <f t="shared" si="54"/>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53"/>
        <v>0</v>
      </c>
      <c r="J290" s="330" t="str">
        <f t="shared" si="54"/>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53"/>
        <v>0</v>
      </c>
      <c r="J291" s="330" t="str">
        <f t="shared" si="54"/>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9">SUM(C293:C302)</f>
        <v>0</v>
      </c>
      <c r="D292" s="444">
        <f t="shared" si="59"/>
        <v>0</v>
      </c>
      <c r="E292" s="441">
        <f t="shared" si="59"/>
        <v>0</v>
      </c>
      <c r="F292" s="443">
        <f t="shared" si="59"/>
        <v>0</v>
      </c>
      <c r="G292" s="441">
        <f t="shared" si="59"/>
        <v>0</v>
      </c>
      <c r="H292" s="443">
        <f t="shared" si="59"/>
        <v>0</v>
      </c>
      <c r="I292" s="44">
        <f t="shared" si="53"/>
        <v>0</v>
      </c>
      <c r="J292" s="330" t="str">
        <f t="shared" si="54"/>
        <v/>
      </c>
      <c r="K292" s="442">
        <f t="shared" si="59"/>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53"/>
        <v>0</v>
      </c>
      <c r="J293" s="330" t="str">
        <f t="shared" si="54"/>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53"/>
        <v>0</v>
      </c>
      <c r="J294" s="330" t="str">
        <f t="shared" si="54"/>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53"/>
        <v>0</v>
      </c>
      <c r="J295" s="330" t="str">
        <f t="shared" si="54"/>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53"/>
        <v>0</v>
      </c>
      <c r="J296" s="330" t="str">
        <f t="shared" si="54"/>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53"/>
        <v>0</v>
      </c>
      <c r="J297" s="330" t="str">
        <f t="shared" si="54"/>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53"/>
        <v>0</v>
      </c>
      <c r="J298" s="330" t="str">
        <f t="shared" si="54"/>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53"/>
        <v>0</v>
      </c>
      <c r="J299" s="330" t="str">
        <f t="shared" si="54"/>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53"/>
        <v>0</v>
      </c>
      <c r="J300" s="330" t="str">
        <f t="shared" si="54"/>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60">G301-H301</f>
        <v>0</v>
      </c>
      <c r="J301" s="330" t="str">
        <f t="shared" ref="J301:J316" si="61">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60"/>
        <v>0</v>
      </c>
      <c r="J302" s="330" t="str">
        <f t="shared" si="61"/>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62">SUM(C304:C313)</f>
        <v>0</v>
      </c>
      <c r="D303" s="444">
        <f t="shared" si="62"/>
        <v>0</v>
      </c>
      <c r="E303" s="441">
        <f t="shared" si="62"/>
        <v>0</v>
      </c>
      <c r="F303" s="443">
        <f t="shared" si="62"/>
        <v>0</v>
      </c>
      <c r="G303" s="441">
        <f t="shared" si="62"/>
        <v>0</v>
      </c>
      <c r="H303" s="443">
        <f t="shared" si="62"/>
        <v>0</v>
      </c>
      <c r="I303" s="44">
        <f t="shared" si="60"/>
        <v>0</v>
      </c>
      <c r="J303" s="330" t="str">
        <f t="shared" si="61"/>
        <v/>
      </c>
      <c r="K303" s="442">
        <f t="shared" si="62"/>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60"/>
        <v>0</v>
      </c>
      <c r="J304" s="330" t="str">
        <f t="shared" si="61"/>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60"/>
        <v>0</v>
      </c>
      <c r="J305" s="330" t="str">
        <f t="shared" si="61"/>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60"/>
        <v>0</v>
      </c>
      <c r="J306" s="330" t="str">
        <f t="shared" si="61"/>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60"/>
        <v>0</v>
      </c>
      <c r="J307" s="330" t="str">
        <f t="shared" si="61"/>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60"/>
        <v>0</v>
      </c>
      <c r="J308" s="330" t="str">
        <f t="shared" si="61"/>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60"/>
        <v>0</v>
      </c>
      <c r="J309" s="330" t="str">
        <f t="shared" si="61"/>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60"/>
        <v>0</v>
      </c>
      <c r="J310" s="330" t="str">
        <f t="shared" si="61"/>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60"/>
        <v>0</v>
      </c>
      <c r="J311" s="330" t="str">
        <f t="shared" si="61"/>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60"/>
        <v>0</v>
      </c>
      <c r="J312" s="330" t="str">
        <f t="shared" si="61"/>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60"/>
        <v>0</v>
      </c>
      <c r="J313" s="330" t="str">
        <f t="shared" si="61"/>
        <v/>
      </c>
      <c r="K313" s="395"/>
      <c r="L313" s="452">
        <f t="shared" ref="L313:W313" si="63">SUM(L148:L224)</f>
        <v>0</v>
      </c>
      <c r="M313" s="453">
        <f t="shared" si="63"/>
        <v>0</v>
      </c>
      <c r="N313" s="453">
        <f t="shared" si="63"/>
        <v>0</v>
      </c>
      <c r="O313" s="453">
        <f t="shared" si="63"/>
        <v>0</v>
      </c>
      <c r="P313" s="453">
        <f t="shared" si="63"/>
        <v>0</v>
      </c>
      <c r="Q313" s="453">
        <f t="shared" si="63"/>
        <v>0</v>
      </c>
      <c r="R313" s="453">
        <f t="shared" si="63"/>
        <v>0</v>
      </c>
      <c r="S313" s="453">
        <f t="shared" si="63"/>
        <v>0</v>
      </c>
      <c r="T313" s="453">
        <f t="shared" si="63"/>
        <v>0</v>
      </c>
      <c r="U313" s="453">
        <f t="shared" si="63"/>
        <v>0</v>
      </c>
      <c r="V313" s="453">
        <f t="shared" si="63"/>
        <v>0</v>
      </c>
      <c r="W313" s="453">
        <f t="shared" si="63"/>
        <v>0</v>
      </c>
    </row>
    <row r="314" spans="1:23" ht="12.75" customHeight="1" x14ac:dyDescent="0.25">
      <c r="A314" s="711" t="s">
        <v>799</v>
      </c>
      <c r="B314" s="712"/>
      <c r="C314" s="508">
        <f>C149+C160+C171+C182+C193+C204+C215+C226+C237+C259+C270+C281+C292+C303+C248</f>
        <v>0</v>
      </c>
      <c r="D314" s="475">
        <f t="shared" ref="D314:K314" si="64">D149+D160+D171+D182+D193+D204+D215+D226+D237+D259+D270+D281+D292+D303+D248</f>
        <v>71724000</v>
      </c>
      <c r="E314" s="430">
        <f t="shared" si="64"/>
        <v>364790788</v>
      </c>
      <c r="F314" s="474">
        <f t="shared" si="64"/>
        <v>4898566.6100000003</v>
      </c>
      <c r="G314" s="430">
        <f t="shared" si="64"/>
        <v>16474553.889999999</v>
      </c>
      <c r="H314" s="474">
        <f t="shared" si="64"/>
        <v>303992323.33333331</v>
      </c>
      <c r="I314" s="430">
        <f t="shared" si="60"/>
        <v>-287517769.44333333</v>
      </c>
      <c r="J314" s="430">
        <f t="shared" si="61"/>
        <v>-0.94580602000289549</v>
      </c>
      <c r="K314" s="513">
        <f t="shared" si="64"/>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60"/>
        <v>0</v>
      </c>
      <c r="J315" s="50" t="str">
        <f t="shared" si="61"/>
        <v/>
      </c>
      <c r="K315" s="194"/>
      <c r="L315" s="480">
        <f t="shared" ref="L315:W315" si="65">L144-L313</f>
        <v>0</v>
      </c>
      <c r="M315" s="481">
        <f t="shared" si="65"/>
        <v>0</v>
      </c>
      <c r="N315" s="481">
        <f t="shared" si="65"/>
        <v>0</v>
      </c>
      <c r="O315" s="481">
        <f t="shared" si="65"/>
        <v>0</v>
      </c>
      <c r="P315" s="481">
        <f t="shared" si="65"/>
        <v>0</v>
      </c>
      <c r="Q315" s="481">
        <f t="shared" si="65"/>
        <v>0</v>
      </c>
      <c r="R315" s="481">
        <f t="shared" si="65"/>
        <v>0</v>
      </c>
      <c r="S315" s="481">
        <f t="shared" si="65"/>
        <v>0</v>
      </c>
      <c r="T315" s="481">
        <f t="shared" si="65"/>
        <v>0</v>
      </c>
      <c r="U315" s="481">
        <f t="shared" si="65"/>
        <v>0</v>
      </c>
      <c r="V315" s="481">
        <f t="shared" si="65"/>
        <v>0</v>
      </c>
      <c r="W315" s="481">
        <f t="shared" si="65"/>
        <v>0</v>
      </c>
    </row>
    <row r="316" spans="1:23" s="486" customFormat="1" ht="13.5" customHeight="1" thickTop="1" x14ac:dyDescent="0.25">
      <c r="A316" s="53" t="s">
        <v>761</v>
      </c>
      <c r="B316" s="477"/>
      <c r="C316" s="509">
        <f>C145+C314</f>
        <v>0</v>
      </c>
      <c r="D316" s="512">
        <f t="shared" ref="D316:K316" si="66">D145+D314</f>
        <v>580891581</v>
      </c>
      <c r="E316" s="55">
        <f t="shared" si="66"/>
        <v>747190359.77999997</v>
      </c>
      <c r="F316" s="479">
        <f t="shared" si="66"/>
        <v>69137296.340000004</v>
      </c>
      <c r="G316" s="55">
        <f t="shared" si="66"/>
        <v>385266519.48000002</v>
      </c>
      <c r="H316" s="479">
        <f t="shared" si="66"/>
        <v>622658633.14999998</v>
      </c>
      <c r="I316" s="55">
        <f t="shared" si="60"/>
        <v>-237392113.66999996</v>
      </c>
      <c r="J316" s="55">
        <f t="shared" si="61"/>
        <v>-0.38125563676688251</v>
      </c>
      <c r="K316" s="235">
        <f t="shared" si="66"/>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L22" sqref="L22"/>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0" t="str">
        <f>muni&amp; " - "&amp;S71E&amp; " - "&amp;date</f>
        <v>KZN225 Msunduzi - Table C6 Consolidated Monthly Budget Statement - Financial Position  - M10 April</v>
      </c>
      <c r="B1" s="1060"/>
      <c r="C1" s="1060"/>
      <c r="D1" s="1060"/>
      <c r="E1" s="1060"/>
      <c r="F1" s="1060"/>
      <c r="G1" s="1060"/>
    </row>
    <row r="2" spans="1:8" x14ac:dyDescent="0.25">
      <c r="A2" s="1045" t="str">
        <f>desc</f>
        <v>Description</v>
      </c>
      <c r="B2" s="1038" t="str">
        <f>head27</f>
        <v>Ref</v>
      </c>
      <c r="C2" s="140" t="str">
        <f>Head1</f>
        <v>2019/20</v>
      </c>
      <c r="D2" s="245" t="str">
        <f>Head2</f>
        <v>Budget Year 2020/21</v>
      </c>
      <c r="E2" s="229"/>
      <c r="F2" s="229"/>
      <c r="G2" s="230"/>
    </row>
    <row r="3" spans="1:8" ht="25.5" x14ac:dyDescent="0.25">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219655439.85161698</v>
      </c>
      <c r="F7" s="733">
        <v>21433994.109999999</v>
      </c>
      <c r="G7" s="735">
        <f>E7</f>
        <v>219655439.85161698</v>
      </c>
    </row>
    <row r="8" spans="1:8" ht="12.75" customHeight="1" x14ac:dyDescent="0.25">
      <c r="A8" s="39" t="s">
        <v>590</v>
      </c>
      <c r="B8" s="169"/>
      <c r="C8" s="748"/>
      <c r="D8" s="753">
        <v>16771734.260000002</v>
      </c>
      <c r="E8" s="733">
        <v>67212254.891475201</v>
      </c>
      <c r="F8" s="733">
        <v>475942671.61000007</v>
      </c>
      <c r="G8" s="735">
        <f t="shared" ref="G8:G10" si="0">E8</f>
        <v>67212254.891475201</v>
      </c>
    </row>
    <row r="9" spans="1:8" ht="12.75" customHeight="1" x14ac:dyDescent="0.25">
      <c r="A9" s="39" t="s">
        <v>588</v>
      </c>
      <c r="B9" s="169"/>
      <c r="C9" s="748"/>
      <c r="D9" s="753">
        <v>2485904793.8587079</v>
      </c>
      <c r="E9" s="733">
        <v>2165986452.8837075</v>
      </c>
      <c r="F9" s="733">
        <v>1735786361.6599989</v>
      </c>
      <c r="G9" s="735">
        <f t="shared" si="0"/>
        <v>2165986452.8837075</v>
      </c>
    </row>
    <row r="10" spans="1:8" ht="12.75" customHeight="1" x14ac:dyDescent="0.25">
      <c r="A10" s="39" t="s">
        <v>589</v>
      </c>
      <c r="B10" s="169"/>
      <c r="C10" s="748"/>
      <c r="D10" s="753">
        <v>67823549.673443094</v>
      </c>
      <c r="E10" s="733">
        <v>67823549.673443094</v>
      </c>
      <c r="F10" s="733">
        <v>16653566.380000005</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173496047.05902392</v>
      </c>
      <c r="F12" s="733">
        <v>359309988.49000001</v>
      </c>
      <c r="G12" s="735">
        <f>E12</f>
        <v>173496047.05902392</v>
      </c>
    </row>
    <row r="13" spans="1:8" ht="12.75" customHeight="1" x14ac:dyDescent="0.25">
      <c r="A13" s="92" t="s">
        <v>632</v>
      </c>
      <c r="B13" s="233"/>
      <c r="C13" s="243">
        <f>SUM(C7:C12)</f>
        <v>0</v>
      </c>
      <c r="D13" s="260">
        <f>SUM(D7:D12)</f>
        <v>2972344764.6444831</v>
      </c>
      <c r="E13" s="73">
        <f>SUM(E7:E12)</f>
        <v>2694173744.3592668</v>
      </c>
      <c r="F13" s="73">
        <f>SUM(F7:F12)</f>
        <v>2609126582.249999</v>
      </c>
      <c r="G13" s="145">
        <f>SUM(G7:G12)</f>
        <v>2694173744.3592668</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-798939.5700000003</v>
      </c>
      <c r="G16" s="733"/>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 t="shared" ref="G18:G24" si="1">E18</f>
        <v>782332533.60000002</v>
      </c>
      <c r="H18" s="39"/>
    </row>
    <row r="19" spans="1:8" ht="12.75" customHeight="1" x14ac:dyDescent="0.25">
      <c r="A19" s="39" t="s">
        <v>278</v>
      </c>
      <c r="B19" s="169"/>
      <c r="C19" s="748"/>
      <c r="D19" s="753"/>
      <c r="E19" s="733">
        <v>0</v>
      </c>
      <c r="F19" s="733"/>
      <c r="G19" s="735"/>
      <c r="H19" s="39"/>
    </row>
    <row r="20" spans="1:8" ht="12.75" customHeight="1" x14ac:dyDescent="0.25">
      <c r="A20" s="39" t="s">
        <v>584</v>
      </c>
      <c r="B20" s="169"/>
      <c r="C20" s="748"/>
      <c r="D20" s="753">
        <v>7111997635.7252645</v>
      </c>
      <c r="E20" s="733">
        <v>7285796412.2295036</v>
      </c>
      <c r="F20" s="733">
        <v>6652741303.6999989</v>
      </c>
      <c r="G20" s="735">
        <f t="shared" si="1"/>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21976947.690000013</v>
      </c>
      <c r="G23" s="735">
        <f t="shared" si="1"/>
        <v>46132727.226800002</v>
      </c>
      <c r="H23" s="39"/>
    </row>
    <row r="24" spans="1:8" ht="12.75" customHeight="1" x14ac:dyDescent="0.25">
      <c r="A24" s="39" t="s">
        <v>795</v>
      </c>
      <c r="B24" s="169"/>
      <c r="C24" s="748"/>
      <c r="D24" s="753">
        <v>395927434.26520002</v>
      </c>
      <c r="E24" s="733">
        <v>395927434.26520002</v>
      </c>
      <c r="F24" s="733">
        <v>73100000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7455716561.7699986</v>
      </c>
      <c r="G25" s="145">
        <f>SUM(G16:G20)+SUM(G22:G24)</f>
        <v>8511254429.0807037</v>
      </c>
      <c r="H25" s="39"/>
    </row>
    <row r="26" spans="1:8" ht="12.75" customHeight="1" x14ac:dyDescent="0.25">
      <c r="A26" s="92" t="s">
        <v>778</v>
      </c>
      <c r="B26" s="233"/>
      <c r="C26" s="243">
        <f>C13+C25</f>
        <v>0</v>
      </c>
      <c r="D26" s="260">
        <f>D13+D25</f>
        <v>11312770417.220949</v>
      </c>
      <c r="E26" s="73">
        <f>E13+E25</f>
        <v>11205428173.43997</v>
      </c>
      <c r="F26" s="73">
        <f>F13+F25</f>
        <v>10064843144.019997</v>
      </c>
      <c r="G26" s="145">
        <f>G13+G25</f>
        <v>11205428173.43997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21811095.280000001</v>
      </c>
      <c r="G31" s="735">
        <f t="shared" ref="G31:G34" si="2">E31</f>
        <v>85380595.876948789</v>
      </c>
    </row>
    <row r="32" spans="1:8" ht="12.75" customHeight="1" x14ac:dyDescent="0.25">
      <c r="A32" s="39" t="s">
        <v>583</v>
      </c>
      <c r="B32" s="169"/>
      <c r="C32" s="748"/>
      <c r="D32" s="753">
        <v>114344430.65218705</v>
      </c>
      <c r="E32" s="733">
        <v>114344430.65218705</v>
      </c>
      <c r="F32" s="733">
        <v>130779202.41</v>
      </c>
      <c r="G32" s="735">
        <f t="shared" si="2"/>
        <v>114344430.65218705</v>
      </c>
    </row>
    <row r="33" spans="1:7" ht="12.75" customHeight="1" x14ac:dyDescent="0.25">
      <c r="A33" s="39" t="s">
        <v>787</v>
      </c>
      <c r="B33" s="169"/>
      <c r="C33" s="748"/>
      <c r="D33" s="753">
        <v>1101595513.0999999</v>
      </c>
      <c r="E33" s="733">
        <v>1005724626.099849</v>
      </c>
      <c r="F33" s="733">
        <v>1371456726.29</v>
      </c>
      <c r="G33" s="735">
        <f t="shared" si="2"/>
        <v>1005724626.099849</v>
      </c>
    </row>
    <row r="34" spans="1:7" ht="12.75" customHeight="1" x14ac:dyDescent="0.25">
      <c r="A34" s="39" t="s">
        <v>546</v>
      </c>
      <c r="B34" s="169"/>
      <c r="C34" s="748"/>
      <c r="D34" s="753">
        <v>140397811.785</v>
      </c>
      <c r="E34" s="733">
        <v>140397811.785</v>
      </c>
      <c r="F34" s="733">
        <v>39036244</v>
      </c>
      <c r="G34" s="735">
        <f t="shared" si="2"/>
        <v>140397811.785</v>
      </c>
    </row>
    <row r="35" spans="1:7" ht="12.75" customHeight="1" x14ac:dyDescent="0.25">
      <c r="A35" s="92" t="s">
        <v>459</v>
      </c>
      <c r="B35" s="233"/>
      <c r="C35" s="243">
        <f>SUM(C30:C34)</f>
        <v>0</v>
      </c>
      <c r="D35" s="260">
        <f>SUM(D30:D34)</f>
        <v>1441718351.4141357</v>
      </c>
      <c r="E35" s="73">
        <f>SUM(E30:E34)</f>
        <v>1345847464.413985</v>
      </c>
      <c r="F35" s="73">
        <f>SUM(F30:F34)</f>
        <v>1563083267.98</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531179839.63999999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2379581103.27</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8767715757.0954189</v>
      </c>
      <c r="F43" s="76">
        <f>F26-F41</f>
        <v>7685262040.7499962</v>
      </c>
      <c r="G43" s="234">
        <f>G26-G41</f>
        <v>8767715757.0954189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8538802498.9995632</v>
      </c>
      <c r="F46" s="733">
        <v>7493065304.0299997</v>
      </c>
      <c r="G46" s="735">
        <f t="shared" ref="G46:G47" si="4">E46</f>
        <v>8538802498.9995632</v>
      </c>
    </row>
    <row r="47" spans="1:7" ht="12.75" customHeight="1" x14ac:dyDescent="0.25">
      <c r="A47" s="39" t="s">
        <v>902</v>
      </c>
      <c r="B47" s="169"/>
      <c r="C47" s="748"/>
      <c r="D47" s="753">
        <v>228913258</v>
      </c>
      <c r="E47" s="733">
        <v>228913258.09585571</v>
      </c>
      <c r="F47" s="733">
        <v>192196736.71999601</v>
      </c>
      <c r="G47" s="735">
        <f t="shared" si="4"/>
        <v>228913258.09585571</v>
      </c>
    </row>
    <row r="48" spans="1:7" ht="12.75" customHeight="1" x14ac:dyDescent="0.25">
      <c r="A48" s="53" t="s">
        <v>626</v>
      </c>
      <c r="B48" s="236">
        <v>2</v>
      </c>
      <c r="C48" s="112">
        <f>SUM(C46:C47)</f>
        <v>0</v>
      </c>
      <c r="D48" s="271">
        <f>SUM(D46:D47)</f>
        <v>8779187113.8762474</v>
      </c>
      <c r="E48" s="55">
        <f>SUM(E46:E47)</f>
        <v>8767715757.0954189</v>
      </c>
      <c r="F48" s="55">
        <f>SUM(F46:F47)</f>
        <v>7685262040.7499962</v>
      </c>
      <c r="G48" s="235">
        <f>SUM(G46:G47)</f>
        <v>8767715757.0954189</v>
      </c>
    </row>
    <row r="49" spans="1:7" ht="12.75" customHeight="1" x14ac:dyDescent="0.25">
      <c r="A49" s="78" t="str">
        <f>head27a</f>
        <v>References</v>
      </c>
      <c r="B49" s="58"/>
      <c r="C49" s="49"/>
      <c r="D49" s="49"/>
      <c r="E49" s="49"/>
      <c r="F49" s="49"/>
      <c r="G49" s="49"/>
    </row>
    <row r="50" spans="1:7" ht="13.5" customHeight="1" x14ac:dyDescent="0.25">
      <c r="A50" s="1059" t="s">
        <v>145</v>
      </c>
      <c r="B50" s="1059"/>
      <c r="C50" s="1059"/>
      <c r="D50" s="1059"/>
      <c r="E50" s="1059"/>
      <c r="F50" s="1059"/>
      <c r="G50" s="1059"/>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F27" sqref="F27:G2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"&amp;S71F&amp; " - "&amp;date</f>
        <v>KZN225 Msunduzi - Table C7 Consolidated Monthly Budget Statement - Cash Flow  - M10 April</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1041231567.0978758</v>
      </c>
      <c r="F7" s="733">
        <v>72091424.269999996</v>
      </c>
      <c r="G7" s="733">
        <v>137200485.66999972</v>
      </c>
      <c r="H7" s="733">
        <f>E7/12*10</f>
        <v>867692972.58156312</v>
      </c>
      <c r="I7" s="44">
        <f t="shared" ref="I7:I13" si="0">G7-H7</f>
        <v>-730492486.9115634</v>
      </c>
      <c r="J7" s="330">
        <f>IF(I7=0,"",I7/H7)</f>
        <v>-0.84187899406191991</v>
      </c>
      <c r="K7" s="735">
        <f>E7</f>
        <v>1041231567.0978758</v>
      </c>
    </row>
    <row r="8" spans="1:11" ht="12.75" customHeight="1" x14ac:dyDescent="0.25">
      <c r="A8" s="518" t="s">
        <v>962</v>
      </c>
      <c r="B8" s="169"/>
      <c r="C8" s="748"/>
      <c r="D8" s="745">
        <v>3039399061.9489746</v>
      </c>
      <c r="E8" s="733">
        <v>2932126153.8801875</v>
      </c>
      <c r="F8" s="733">
        <v>218966797.37000099</v>
      </c>
      <c r="G8" s="733">
        <v>405761038.22000301</v>
      </c>
      <c r="H8" s="733">
        <f t="shared" ref="H8:H12" si="1">E8/12*10</f>
        <v>2443438461.566823</v>
      </c>
      <c r="I8" s="44">
        <f t="shared" si="0"/>
        <v>-2037677423.3468199</v>
      </c>
      <c r="J8" s="330">
        <f>IF(I8=0,"",I8/H8)</f>
        <v>-0.83393850731161279</v>
      </c>
      <c r="K8" s="735">
        <f t="shared" ref="K8:K12" si="2">E8</f>
        <v>2932126153.8801875</v>
      </c>
    </row>
    <row r="9" spans="1:11" ht="12.75" customHeight="1" x14ac:dyDescent="0.25">
      <c r="A9" s="518" t="s">
        <v>453</v>
      </c>
      <c r="B9" s="169"/>
      <c r="C9" s="748"/>
      <c r="D9" s="745">
        <v>152193014.45782498</v>
      </c>
      <c r="E9" s="733">
        <v>152193014.45782498</v>
      </c>
      <c r="F9" s="733">
        <v>108262006.36999901</v>
      </c>
      <c r="G9" s="733">
        <v>278034542.25999749</v>
      </c>
      <c r="H9" s="733">
        <f t="shared" si="1"/>
        <v>126827512.04818748</v>
      </c>
      <c r="I9" s="44">
        <f t="shared" si="0"/>
        <v>151207030.21180999</v>
      </c>
      <c r="J9" s="330">
        <f>IF(I9=0,"",I9/H9)</f>
        <v>1.1922257857929093</v>
      </c>
      <c r="K9" s="735">
        <f t="shared" si="2"/>
        <v>152193014.45782498</v>
      </c>
    </row>
    <row r="10" spans="1:11" ht="12.75" customHeight="1" x14ac:dyDescent="0.25">
      <c r="A10" s="992" t="s">
        <v>1372</v>
      </c>
      <c r="B10" s="171"/>
      <c r="C10" s="748"/>
      <c r="D10" s="745">
        <v>675483240</v>
      </c>
      <c r="E10" s="733">
        <v>819982787</v>
      </c>
      <c r="F10" s="733"/>
      <c r="G10" s="733">
        <v>301948058.13999999</v>
      </c>
      <c r="H10" s="733">
        <f t="shared" si="1"/>
        <v>683318989.16666675</v>
      </c>
      <c r="I10" s="44">
        <f t="shared" si="0"/>
        <v>-381370931.02666676</v>
      </c>
      <c r="J10" s="330">
        <f>IF(I10=0,"",I10/H10)</f>
        <v>-0.55811551716389873</v>
      </c>
      <c r="K10" s="735">
        <f t="shared" si="2"/>
        <v>819982787</v>
      </c>
    </row>
    <row r="11" spans="1:11" ht="12.75" customHeight="1" x14ac:dyDescent="0.25">
      <c r="A11" s="992" t="s">
        <v>1373</v>
      </c>
      <c r="B11" s="171"/>
      <c r="C11" s="748"/>
      <c r="D11" s="745">
        <v>525891580.99999982</v>
      </c>
      <c r="E11" s="733">
        <v>526485334.99999982</v>
      </c>
      <c r="F11" s="733">
        <v>4215397.12</v>
      </c>
      <c r="G11" s="733">
        <v>34561789.240000002</v>
      </c>
      <c r="H11" s="733">
        <f t="shared" si="1"/>
        <v>438737779.16666651</v>
      </c>
      <c r="I11" s="44">
        <f t="shared" si="0"/>
        <v>-404175989.9266665</v>
      </c>
      <c r="J11" s="330">
        <f t="shared" ref="J11:J18" si="3">IF(I11=0,"",I11/H11)</f>
        <v>-0.92122449699762288</v>
      </c>
      <c r="K11" s="735">
        <f t="shared" si="2"/>
        <v>526485334.99999982</v>
      </c>
    </row>
    <row r="12" spans="1:11" ht="12.75" customHeight="1" x14ac:dyDescent="0.25">
      <c r="A12" s="86" t="s">
        <v>886</v>
      </c>
      <c r="B12" s="171"/>
      <c r="C12" s="748"/>
      <c r="D12" s="745">
        <v>185060483.86592242</v>
      </c>
      <c r="E12" s="733">
        <v>185169383.865922</v>
      </c>
      <c r="F12" s="733">
        <v>41458</v>
      </c>
      <c r="G12" s="733">
        <v>243396</v>
      </c>
      <c r="H12" s="733">
        <f t="shared" si="1"/>
        <v>154307819.88826835</v>
      </c>
      <c r="I12" s="44">
        <f t="shared" si="0"/>
        <v>-154064423.88826835</v>
      </c>
      <c r="J12" s="330">
        <f t="shared" si="3"/>
        <v>-0.99842265933005703</v>
      </c>
      <c r="K12" s="735">
        <f t="shared" si="2"/>
        <v>185169383.865922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-4980315359.5587177</v>
      </c>
      <c r="F15" s="733">
        <f>(((((-499096406.78-1167576)+-1316488)+-1231860)+-878964)+-1110463)+-1325002</f>
        <v>-506126759.77999997</v>
      </c>
      <c r="G15" s="733">
        <v>-1188651609.0799999</v>
      </c>
      <c r="H15" s="733">
        <f t="shared" ref="H15:H17" si="4">E15/12*10</f>
        <v>-4150262799.6322651</v>
      </c>
      <c r="I15" s="44">
        <f>H15-G15</f>
        <v>-2961611190.5522652</v>
      </c>
      <c r="J15" s="330">
        <f t="shared" si="3"/>
        <v>0.71359606211314608</v>
      </c>
      <c r="K15" s="735">
        <f t="shared" ref="K15:K17" si="5">E15</f>
        <v>-4980315359.5587177</v>
      </c>
    </row>
    <row r="16" spans="1:11" ht="12.75" customHeight="1" x14ac:dyDescent="0.25">
      <c r="A16" s="86" t="s">
        <v>452</v>
      </c>
      <c r="B16" s="171"/>
      <c r="C16" s="748"/>
      <c r="D16" s="745">
        <v>-31793212.220000003</v>
      </c>
      <c r="E16" s="733">
        <v>-36505334.219999969</v>
      </c>
      <c r="F16" s="733">
        <v>-7584129.6500000004</v>
      </c>
      <c r="G16" s="733">
        <v>-12188526.43</v>
      </c>
      <c r="H16" s="733">
        <f t="shared" si="4"/>
        <v>-30421111.849999972</v>
      </c>
      <c r="I16" s="44">
        <f>H16-G16</f>
        <v>-18232585.419999972</v>
      </c>
      <c r="J16" s="330">
        <f t="shared" si="3"/>
        <v>0.59933987652722787</v>
      </c>
      <c r="K16" s="735">
        <f t="shared" si="5"/>
        <v>-36505334.219999969</v>
      </c>
    </row>
    <row r="17" spans="1:11" ht="12.75" customHeight="1" x14ac:dyDescent="0.25">
      <c r="A17" s="86" t="s">
        <v>69</v>
      </c>
      <c r="B17" s="171"/>
      <c r="C17" s="748"/>
      <c r="D17" s="745">
        <v>-25080461.44304001</v>
      </c>
      <c r="E17" s="733">
        <v>-46080462</v>
      </c>
      <c r="F17" s="733"/>
      <c r="G17" s="733"/>
      <c r="H17" s="733">
        <f t="shared" si="4"/>
        <v>-38400385</v>
      </c>
      <c r="I17" s="44">
        <f>H17-G17</f>
        <v>-38400385</v>
      </c>
      <c r="J17" s="330">
        <f t="shared" si="3"/>
        <v>1</v>
      </c>
      <c r="K17" s="735">
        <f t="shared" si="5"/>
        <v>-46080462</v>
      </c>
    </row>
    <row r="18" spans="1:11" ht="12.75" customHeight="1" x14ac:dyDescent="0.25">
      <c r="A18" s="92" t="s">
        <v>889</v>
      </c>
      <c r="B18" s="233"/>
      <c r="C18" s="243">
        <f t="shared" ref="C18:H18" si="6">SUM(C7:C13)+SUM(C15:C17)</f>
        <v>0</v>
      </c>
      <c r="D18" s="74">
        <f t="shared" si="6"/>
        <v>752533430.43256187</v>
      </c>
      <c r="E18" s="73">
        <f t="shared" si="6"/>
        <v>594287085.52309227</v>
      </c>
      <c r="F18" s="73">
        <f t="shared" si="6"/>
        <v>-110133806.29999995</v>
      </c>
      <c r="G18" s="73">
        <f t="shared" si="6"/>
        <v>-43090825.979999781</v>
      </c>
      <c r="H18" s="73">
        <f t="shared" si="6"/>
        <v>495239237.9359107</v>
      </c>
      <c r="I18" s="73">
        <f>H18-G18</f>
        <v>538330063.91591048</v>
      </c>
      <c r="J18" s="331">
        <f t="shared" si="3"/>
        <v>1.0870101209257903</v>
      </c>
      <c r="K18" s="145">
        <f>SUM(K7:K13)+SUM(K15:K17)</f>
        <v>594287085.52309227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v>242527</v>
      </c>
      <c r="G22" s="733">
        <v>0</v>
      </c>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v>-51696534.259999998</v>
      </c>
      <c r="G27" s="733">
        <v>-33108536.490000002</v>
      </c>
      <c r="H27" s="733">
        <f>E27/12*10</f>
        <v>-622658631.48333323</v>
      </c>
      <c r="I27" s="44">
        <f>H27-G27</f>
        <v>-589550094.99333322</v>
      </c>
      <c r="J27" s="330">
        <f t="shared" si="7"/>
        <v>0.94682714602200735</v>
      </c>
      <c r="K27" s="735">
        <f>E27</f>
        <v>-747190357.77999985</v>
      </c>
    </row>
    <row r="28" spans="1:11" ht="12.75" customHeight="1" x14ac:dyDescent="0.25">
      <c r="A28" s="92" t="s">
        <v>890</v>
      </c>
      <c r="B28" s="233"/>
      <c r="C28" s="545">
        <f t="shared" ref="C28:H28" si="8">SUM(C22:C25)+C27</f>
        <v>0</v>
      </c>
      <c r="D28" s="74">
        <f>SUM(D22:D25)+D27</f>
        <v>-580891580.99999988</v>
      </c>
      <c r="E28" s="73">
        <f t="shared" si="8"/>
        <v>-747190357.77999985</v>
      </c>
      <c r="F28" s="73">
        <f t="shared" si="8"/>
        <v>-51454007.259999998</v>
      </c>
      <c r="G28" s="73">
        <f t="shared" si="8"/>
        <v>-33108536.490000002</v>
      </c>
      <c r="H28" s="73">
        <f t="shared" si="8"/>
        <v>-622658631.48333323</v>
      </c>
      <c r="I28" s="73">
        <f>H28-G28</f>
        <v>-589550094.99333322</v>
      </c>
      <c r="J28" s="331">
        <f t="shared" si="7"/>
        <v>0.94682714602200735</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E36/12*10</f>
        <v>-66005000</v>
      </c>
      <c r="I36" s="44">
        <f>H36-G36</f>
        <v>-45748809.629999995</v>
      </c>
      <c r="J36" s="330">
        <f t="shared" si="9"/>
        <v>0.69311127384289062</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-66005000</v>
      </c>
      <c r="I37" s="73">
        <f>H37-G37</f>
        <v>-45748809.629999995</v>
      </c>
      <c r="J37" s="331">
        <f t="shared" si="9"/>
        <v>0.69311127384289062</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-232109272.25690758</v>
      </c>
      <c r="F39" s="50">
        <f t="shared" si="11"/>
        <v>-181154599.93999994</v>
      </c>
      <c r="G39" s="50">
        <f t="shared" si="11"/>
        <v>-96455552.839999795</v>
      </c>
      <c r="H39" s="50">
        <f t="shared" si="11"/>
        <v>-193424393.54742253</v>
      </c>
      <c r="I39" s="327"/>
      <c r="J39" s="327"/>
      <c r="K39" s="194">
        <f>K18+K28+K37</f>
        <v>-232109272.25690758</v>
      </c>
    </row>
    <row r="40" spans="1:11" ht="12.75" customHeight="1" x14ac:dyDescent="0.25">
      <c r="A40" s="39" t="s">
        <v>505</v>
      </c>
      <c r="B40" s="169"/>
      <c r="C40" s="748"/>
      <c r="D40" s="745">
        <v>290000000</v>
      </c>
      <c r="E40" s="733">
        <v>518976967</v>
      </c>
      <c r="F40" s="273"/>
      <c r="G40" s="733">
        <v>470048249</v>
      </c>
      <c r="H40" s="44">
        <f>IF(E40=0, D40, E40)</f>
        <v>518976967</v>
      </c>
      <c r="I40" s="273"/>
      <c r="J40" s="273"/>
      <c r="K40" s="385">
        <f>G40</f>
        <v>470048249</v>
      </c>
    </row>
    <row r="41" spans="1:11" ht="12.75" customHeight="1" x14ac:dyDescent="0.25">
      <c r="A41" s="129" t="s">
        <v>55</v>
      </c>
      <c r="B41" s="119"/>
      <c r="C41" s="225">
        <f>C39+C40</f>
        <v>0</v>
      </c>
      <c r="D41" s="116">
        <f>D39+D40</f>
        <v>382435849.43256199</v>
      </c>
      <c r="E41" s="115">
        <f>E39+E40</f>
        <v>286867694.74309242</v>
      </c>
      <c r="F41" s="274"/>
      <c r="G41" s="115">
        <f>G39+G40</f>
        <v>373592696.16000021</v>
      </c>
      <c r="H41" s="115">
        <f>H39+H40</f>
        <v>325552573.45257747</v>
      </c>
      <c r="I41" s="274"/>
      <c r="J41" s="274"/>
      <c r="K41" s="190">
        <f>K39+K40</f>
        <v>237938976.74309242</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D27" sqref="D27"/>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6" t="str">
        <f>muni&amp; " - "&amp;S71G&amp; " - "&amp;date</f>
        <v>KZN225 Msunduzi - Supporting Table SC1 Material variance explanations  - M10 April</v>
      </c>
      <c r="B1" s="1056"/>
      <c r="C1" s="1056"/>
      <c r="D1" s="1056"/>
      <c r="E1" s="1056"/>
    </row>
    <row r="2" spans="1:5" x14ac:dyDescent="0.25">
      <c r="A2" s="1038" t="str">
        <f>head27</f>
        <v>Ref</v>
      </c>
      <c r="B2" s="1045" t="str">
        <f>desc</f>
        <v>Description</v>
      </c>
      <c r="C2" s="269"/>
      <c r="D2" s="269"/>
      <c r="E2" s="275"/>
    </row>
    <row r="3" spans="1:5" x14ac:dyDescent="0.25">
      <c r="A3" s="1049"/>
      <c r="B3" s="1046"/>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1005">
        <v>-0.56771423532559384</v>
      </c>
      <c r="D6" s="758" t="s">
        <v>1476</v>
      </c>
      <c r="E6" s="758" t="s">
        <v>1477</v>
      </c>
    </row>
    <row r="7" spans="1:5" ht="11.25" customHeight="1" x14ac:dyDescent="0.25">
      <c r="A7" s="169"/>
      <c r="B7" s="758" t="s">
        <v>838</v>
      </c>
      <c r="C7" s="1005">
        <v>-0.52952480403297675</v>
      </c>
      <c r="D7" s="758" t="s">
        <v>1478</v>
      </c>
      <c r="E7" s="758" t="s">
        <v>1477</v>
      </c>
    </row>
    <row r="8" spans="1:5" ht="11.25" customHeight="1" x14ac:dyDescent="0.25">
      <c r="A8" s="169"/>
      <c r="B8" s="758" t="s">
        <v>1117</v>
      </c>
      <c r="C8" s="1005">
        <v>-0.65749829722260067</v>
      </c>
      <c r="D8" s="758" t="s">
        <v>1479</v>
      </c>
      <c r="E8" s="758" t="s">
        <v>1480</v>
      </c>
    </row>
    <row r="9" spans="1:5" ht="11.25" customHeight="1" x14ac:dyDescent="0.25">
      <c r="A9" s="169"/>
      <c r="B9" s="758" t="s">
        <v>840</v>
      </c>
      <c r="C9" s="1005">
        <v>-0.48389677352496158</v>
      </c>
      <c r="D9" s="758" t="s">
        <v>1481</v>
      </c>
      <c r="E9" s="758" t="s">
        <v>1477</v>
      </c>
    </row>
    <row r="10" spans="1:5" ht="11.25" customHeight="1" x14ac:dyDescent="0.25">
      <c r="A10" s="169">
        <v>2</v>
      </c>
      <c r="B10" s="386" t="str">
        <f>'C4-FinPerf RE'!A24</f>
        <v>Expenditure By Type</v>
      </c>
      <c r="C10" s="387"/>
      <c r="D10" s="387"/>
      <c r="E10" s="387"/>
    </row>
    <row r="11" spans="1:5" ht="11.25" customHeight="1" x14ac:dyDescent="0.25">
      <c r="A11" s="169"/>
      <c r="B11" s="758" t="s">
        <v>611</v>
      </c>
      <c r="C11" s="1005">
        <v>-0.13474234225848372</v>
      </c>
      <c r="D11" s="758" t="s">
        <v>1482</v>
      </c>
      <c r="E11" s="758" t="s">
        <v>1483</v>
      </c>
    </row>
    <row r="12" spans="1:5" ht="11.25" customHeight="1" x14ac:dyDescent="0.25">
      <c r="A12" s="169"/>
      <c r="B12" s="758" t="s">
        <v>664</v>
      </c>
      <c r="C12" s="1005">
        <v>-0.12409927196992565</v>
      </c>
      <c r="D12" s="758" t="s">
        <v>1484</v>
      </c>
      <c r="E12" s="758" t="s">
        <v>1483</v>
      </c>
    </row>
    <row r="13" spans="1:5" ht="11.25" customHeight="1" x14ac:dyDescent="0.25">
      <c r="A13" s="169"/>
      <c r="B13" s="758" t="s">
        <v>920</v>
      </c>
      <c r="C13" s="1005">
        <v>-0.22489657093530402</v>
      </c>
      <c r="D13" s="758" t="s">
        <v>1485</v>
      </c>
      <c r="E13" s="758" t="s">
        <v>1486</v>
      </c>
    </row>
    <row r="14" spans="1:5" ht="11.25" customHeight="1" x14ac:dyDescent="0.25">
      <c r="A14" s="169"/>
      <c r="B14" s="758" t="s">
        <v>1118</v>
      </c>
      <c r="C14" s="1005">
        <v>-0.20148570565690319</v>
      </c>
      <c r="D14" s="758" t="s">
        <v>1487</v>
      </c>
      <c r="E14" s="758" t="s">
        <v>1486</v>
      </c>
    </row>
    <row r="15" spans="1:5" ht="11.25" customHeight="1" x14ac:dyDescent="0.25">
      <c r="A15" s="169">
        <v>3</v>
      </c>
      <c r="B15" s="386" t="str">
        <f>RIGHT('C5-Capex'!A40,19)</f>
        <v>Capital Expenditure</v>
      </c>
      <c r="C15" s="387"/>
      <c r="D15" s="387"/>
      <c r="E15" s="387"/>
    </row>
    <row r="16" spans="1:5" ht="11.25" customHeight="1" x14ac:dyDescent="0.25">
      <c r="A16" s="169"/>
      <c r="B16" s="758" t="s">
        <v>892</v>
      </c>
      <c r="C16" s="1005">
        <v>-0.38169750328145752</v>
      </c>
      <c r="D16" s="758" t="s">
        <v>1488</v>
      </c>
      <c r="E16" s="758" t="s">
        <v>1487</v>
      </c>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17"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6" t="str">
        <f>muni&amp; " - "&amp;S71H&amp; " - "&amp;Head57</f>
        <v>KZN225 Msunduzi - Supporting Table SC2 Monthly Budget Statement - performance indicators   - M10 April</v>
      </c>
      <c r="B1" s="1056"/>
      <c r="C1" s="1056"/>
      <c r="D1" s="1056"/>
      <c r="E1" s="1056"/>
      <c r="F1" s="1056"/>
      <c r="G1" s="1056"/>
      <c r="H1" s="1056"/>
    </row>
    <row r="2" spans="1:11" ht="12.75" x14ac:dyDescent="0.25">
      <c r="A2" s="1061" t="s">
        <v>554</v>
      </c>
      <c r="B2" s="1045" t="s">
        <v>772</v>
      </c>
      <c r="C2" s="1038" t="str">
        <f>head27</f>
        <v>Ref</v>
      </c>
      <c r="D2" s="138" t="str">
        <f>Head1</f>
        <v>2019/20</v>
      </c>
      <c r="E2" s="245" t="str">
        <f>Head2</f>
        <v>Budget Year 2020/21</v>
      </c>
      <c r="F2" s="229"/>
      <c r="G2" s="229"/>
      <c r="H2" s="230"/>
    </row>
    <row r="3" spans="1:11" ht="25.5" x14ac:dyDescent="0.25">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9.1474170348435677E-2</v>
      </c>
      <c r="G7" s="124">
        <f>IF(ISERROR((G42+G44)/G45),0,((G42+G44)/G45))</f>
        <v>7.4116245016794735E-3</v>
      </c>
      <c r="H7" s="276">
        <f>IF(ISERROR((H42+H44)/H45),0,((H42+H44)/H45))</f>
        <v>1.5891650905154837E-2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0.15661898686274364</v>
      </c>
      <c r="G10" s="124">
        <f>IF(ISERROR(G48/G49),0,(G48/G49))</f>
        <v>0.21841621122605059</v>
      </c>
      <c r="H10" s="276">
        <f>IF(ISERROR(H48/H49),0,(H48/H49))</f>
        <v>0.15661898686274364</v>
      </c>
    </row>
    <row r="11" spans="1:11" ht="12.75" customHeight="1" x14ac:dyDescent="0.25">
      <c r="A11" s="126" t="s">
        <v>735</v>
      </c>
      <c r="B11" s="123" t="s">
        <v>719</v>
      </c>
      <c r="C11" s="174"/>
      <c r="D11" s="120">
        <f>IF(ISERROR(D51/D50),0,(D51/D50))</f>
        <v>0</v>
      </c>
      <c r="E11" s="282">
        <f>IF(ISERROR(E51/E50),0,(E51/E50))</f>
        <v>1.2322813430054802</v>
      </c>
      <c r="F11" s="124">
        <f>IF(ISERROR(F51/F50),0,(F51/F50))</f>
        <v>1.2322813424894716</v>
      </c>
      <c r="G11" s="124">
        <f>IF(ISERROR(G51/G50),0,(G51/G50))</f>
        <v>1.4845100937674542</v>
      </c>
      <c r="H11" s="276">
        <f>IF(ISERROR(H51/H50),0,(H51/H50))</f>
        <v>1.2322813424894716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2.0018418250186891</v>
      </c>
      <c r="G13" s="124">
        <f>IF(ISERROR(G52/G53),0,(G52/G53))</f>
        <v>1.6692179077713623</v>
      </c>
      <c r="H13" s="276">
        <f>IF(ISERROR(H52/H53),0,(H52/H53))</f>
        <v>2.0018418250186891</v>
      </c>
    </row>
    <row r="14" spans="1:11" ht="12.75" customHeight="1" x14ac:dyDescent="0.25">
      <c r="A14" s="126" t="s">
        <v>738</v>
      </c>
      <c r="B14" s="123" t="s">
        <v>436</v>
      </c>
      <c r="C14" s="174"/>
      <c r="D14" s="120">
        <f>IF(ISERROR(D54/D53),0,(D54/D53))</f>
        <v>0</v>
      </c>
      <c r="E14" s="282">
        <f>IF(ISERROR(E54/E53),0,(E54/E53))</f>
        <v>0.26526391167695329</v>
      </c>
      <c r="F14" s="124">
        <f>IF(ISERROR(F54/F53),0,(F54/F53))</f>
        <v>0.21315022863159416</v>
      </c>
      <c r="G14" s="124">
        <f>IF(ISERROR(G54/G53),0,(G54/G53))</f>
        <v>0.31820228385066696</v>
      </c>
      <c r="H14" s="276">
        <f>IF(ISERROR(H54/H53),0,(H54/H53))</f>
        <v>0.21315022863159416</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0.36846844655614924</v>
      </c>
      <c r="G17" s="124">
        <f>IF(ISERROR(G59/G55),0,(G59/G55))</f>
        <v>0.36627142014381625</v>
      </c>
      <c r="H17" s="276">
        <f>IF(ISERROR(H59/H55),0,(H59/H55))</f>
        <v>0.36846844655614924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0.2432458135998426</v>
      </c>
      <c r="G26" s="124">
        <f>IF(ISERROR(G40/G55),0,(G40/G55))</f>
        <v>0.23599792646265677</v>
      </c>
      <c r="H26" s="276">
        <f>IF(ISERROR(H40/H55),0,(H40/H55))</f>
        <v>0.2432458135998426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8.5600617304391807E-2</v>
      </c>
      <c r="G28" s="124">
        <f>IF(ISERROR((G42+G44)/G55),0,((G42+G44)/G55))</f>
        <v>6.8757293103627031E-3</v>
      </c>
      <c r="H28" s="276">
        <f>IF(ISERROR((H42+H44)/H55),0,((H42+H44)/H55))</f>
        <v>1.487124859712285E-2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11205428173.43997</v>
      </c>
      <c r="G39" s="97">
        <f>'C6-FinPos'!F26</f>
        <v>10064843144.019997</v>
      </c>
      <c r="H39" s="48">
        <f>'C6-FinPos'!G26</f>
        <v>11205428173.43997</v>
      </c>
    </row>
    <row r="40" spans="1:9" ht="12.75" customHeight="1" x14ac:dyDescent="0.25">
      <c r="A40" s="42" t="str">
        <f>'C4-FinPerf RE'!A25</f>
        <v>Employee related costs</v>
      </c>
      <c r="B40" s="67"/>
      <c r="C40" s="67"/>
      <c r="D40" s="84">
        <f>'C4-FinPerf RE'!C25</f>
        <v>0</v>
      </c>
      <c r="E40" s="84">
        <f>'C4-FinPerf RE'!D25</f>
        <v>1478324301.5741799</v>
      </c>
      <c r="F40" s="84">
        <f>'C4-FinPerf RE'!E25</f>
        <v>1474657970.2495086</v>
      </c>
      <c r="G40" s="97">
        <f>'C4-FinPerf RE'!G25</f>
        <v>1128626527.9000022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32882197.800000001</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482441449.27473998</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5673151027.4213114</v>
      </c>
      <c r="G45" s="97">
        <f>'C4-FinPerf RE'!G36</f>
        <v>4436570928.8900023</v>
      </c>
      <c r="H45" s="48">
        <f>'C4-FinPerf RE'!K36</f>
        <v>5673151027.4213114</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385266519.48000002</v>
      </c>
      <c r="H46" s="48">
        <f>'C5-Capex'!K40</f>
        <v>747190359.77999997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1678585817.2199998</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8767715757.0954189</v>
      </c>
      <c r="G49" s="97">
        <f>'C6-FinPos'!F48</f>
        <v>7685262040.7499962</v>
      </c>
      <c r="H49" s="48">
        <f>'C6-FinPos'!G48</f>
        <v>8767715757.0954189</v>
      </c>
    </row>
    <row r="50" spans="1:8" ht="12.75" customHeight="1" x14ac:dyDescent="0.25">
      <c r="A50" s="42" t="str">
        <f>'C6-FinPos'!A47</f>
        <v>Reserves</v>
      </c>
      <c r="B50" s="67"/>
      <c r="C50" s="67"/>
      <c r="D50" s="84">
        <f>'C6-FinPos'!C47</f>
        <v>0</v>
      </c>
      <c r="E50" s="84">
        <f>'C6-FinPos'!D47</f>
        <v>228913258</v>
      </c>
      <c r="F50" s="84">
        <f>'C6-FinPos'!E47</f>
        <v>228913258.09585571</v>
      </c>
      <c r="G50" s="97">
        <f>'C6-FinPos'!F47</f>
        <v>192196736.71999601</v>
      </c>
      <c r="H50" s="48">
        <f>'C6-FinPos'!G47</f>
        <v>228913258.09585571</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2694173744.3592668</v>
      </c>
      <c r="G52" s="97">
        <f>'C6-FinPos'!F13</f>
        <v>2609126582.249999</v>
      </c>
      <c r="H52" s="48">
        <f>'C6-FinPos'!G13</f>
        <v>2694173744.3592668</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1563083267.98</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286867694.74309218</v>
      </c>
      <c r="G54" s="97">
        <f>'C6-FinPos'!F7+'C6-FinPos'!F8</f>
        <v>497376665.72000009</v>
      </c>
      <c r="H54" s="48">
        <f>'C6-FinPos'!G7+'C6-FinPos'!G8</f>
        <v>286867694.74309218</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6062418704.8720617</v>
      </c>
      <c r="G55" s="97">
        <f>'C4-FinPerf RE'!G22</f>
        <v>4782357814.8199997</v>
      </c>
      <c r="H55" s="48">
        <f>'C4-FinPerf RE'!K22</f>
        <v>6062418704.8720617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739842505.64999998</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376578342.24000001</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105963383.865922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1751640988.4699991</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2788068709.0900002</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286867366.17229217</v>
      </c>
      <c r="G61" s="97">
        <f>'C6-FinPos'!F7+'C6-FinPos'!F8+'C6-FinPos'!F17-'C6-FinPos'!F30</f>
        <v>497376665.72000009</v>
      </c>
      <c r="H61" s="48">
        <f>'C6-FinPos'!G7+'C6-FinPos'!G8+'C6-FinPos'!G17-'C6-FinPos'!G30</f>
        <v>286867366.17229217</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-798939.5700000003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D31" sqref="D3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6" t="str">
        <f>muni&amp; " - "&amp;S71I&amp; " - "&amp;Head57</f>
        <v>KZN225 Msunduzi - Supporting Table SC3 Monthly Budget Statement - aged debtors - M10 April</v>
      </c>
      <c r="B1" s="1056"/>
      <c r="C1" s="1063"/>
      <c r="D1" s="1063"/>
      <c r="E1" s="1063"/>
      <c r="F1" s="1063"/>
      <c r="G1" s="1063"/>
      <c r="H1" s="1063"/>
      <c r="I1" s="1063"/>
      <c r="J1" s="1063"/>
      <c r="K1" s="1063"/>
      <c r="L1" s="1063"/>
      <c r="M1" s="1063"/>
      <c r="N1" s="162"/>
      <c r="O1" s="406"/>
    </row>
    <row r="2" spans="1:16" ht="13.35" customHeight="1" x14ac:dyDescent="0.25">
      <c r="A2" s="355" t="str">
        <f>desc</f>
        <v>Description</v>
      </c>
      <c r="B2" s="894"/>
      <c r="C2" s="1064" t="str">
        <f>Head2</f>
        <v>Budget Year 2020/21</v>
      </c>
      <c r="D2" s="1065"/>
      <c r="E2" s="1065"/>
      <c r="F2" s="1065"/>
      <c r="G2" s="1065"/>
      <c r="H2" s="1065"/>
      <c r="I2" s="1065"/>
      <c r="J2" s="1065"/>
      <c r="K2" s="1065"/>
      <c r="L2" s="1065"/>
      <c r="M2" s="1065"/>
      <c r="N2" s="1066"/>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124395064.45</v>
      </c>
      <c r="D5" s="733">
        <v>38183367.32</v>
      </c>
      <c r="E5" s="733">
        <v>40549958.07</v>
      </c>
      <c r="F5" s="733">
        <v>36150070.810000002</v>
      </c>
      <c r="G5" s="733">
        <v>38350284.969999999</v>
      </c>
      <c r="H5" s="733">
        <v>37312877.07</v>
      </c>
      <c r="I5" s="733">
        <v>174643014.19999999</v>
      </c>
      <c r="J5" s="744">
        <v>1377172239.1800001</v>
      </c>
      <c r="K5" s="134">
        <f>SUM(C5:J5)</f>
        <v>1866756876.0700002</v>
      </c>
      <c r="L5" s="134">
        <f>SUM(F5:J5)</f>
        <v>1663628486.23</v>
      </c>
      <c r="M5" s="747"/>
      <c r="N5" s="747">
        <v>998915113.30999994</v>
      </c>
      <c r="O5" s="912"/>
    </row>
    <row r="6" spans="1:16" ht="12.75" customHeight="1" x14ac:dyDescent="0.25">
      <c r="A6" s="39" t="s">
        <v>1079</v>
      </c>
      <c r="B6" s="169">
        <v>1300</v>
      </c>
      <c r="C6" s="745">
        <v>139219167.03</v>
      </c>
      <c r="D6" s="733">
        <v>34817186.850000001</v>
      </c>
      <c r="E6" s="733">
        <v>16228031.65</v>
      </c>
      <c r="F6" s="733">
        <v>14184309.57</v>
      </c>
      <c r="G6" s="733">
        <v>13590406.4</v>
      </c>
      <c r="H6" s="733">
        <v>13677229.65</v>
      </c>
      <c r="I6" s="733">
        <v>49266898.159999996</v>
      </c>
      <c r="J6" s="744">
        <v>151123980.19</v>
      </c>
      <c r="K6" s="134">
        <f>SUM(C6:J6)</f>
        <v>432107209.5</v>
      </c>
      <c r="L6" s="134">
        <f t="shared" ref="L6:L12" si="0">SUM(F6:J6)</f>
        <v>241842823.97</v>
      </c>
      <c r="M6" s="747"/>
      <c r="N6" s="747">
        <v>90036034.530000001</v>
      </c>
      <c r="O6" s="912"/>
    </row>
    <row r="7" spans="1:16" ht="12.75" customHeight="1" x14ac:dyDescent="0.25">
      <c r="A7" s="39" t="s">
        <v>1078</v>
      </c>
      <c r="B7" s="169">
        <v>1400</v>
      </c>
      <c r="C7" s="745">
        <v>147039636.21000001</v>
      </c>
      <c r="D7" s="733">
        <v>30323462.82</v>
      </c>
      <c r="E7" s="733">
        <v>27203901.329999998</v>
      </c>
      <c r="F7" s="733">
        <v>24773579.32</v>
      </c>
      <c r="G7" s="733">
        <v>23726096.48</v>
      </c>
      <c r="H7" s="733">
        <v>42094762.07</v>
      </c>
      <c r="I7" s="733">
        <v>117742822.47</v>
      </c>
      <c r="J7" s="744">
        <v>581769094.33000004</v>
      </c>
      <c r="K7" s="134">
        <f t="shared" ref="K7:K13" si="1">SUM(C7:J7)</f>
        <v>994673355.03000009</v>
      </c>
      <c r="L7" s="134">
        <f t="shared" si="0"/>
        <v>790106354.67000008</v>
      </c>
      <c r="M7" s="747"/>
      <c r="N7" s="747">
        <v>412070749.01999998</v>
      </c>
      <c r="O7" s="912"/>
    </row>
    <row r="8" spans="1:16" ht="12.75" customHeight="1" x14ac:dyDescent="0.25">
      <c r="A8" s="39" t="s">
        <v>1080</v>
      </c>
      <c r="B8" s="169">
        <v>1500</v>
      </c>
      <c r="C8" s="745">
        <v>27377663.239999998</v>
      </c>
      <c r="D8" s="733">
        <v>5985130.3099999996</v>
      </c>
      <c r="E8" s="733">
        <v>5988607.8099999996</v>
      </c>
      <c r="F8" s="733">
        <v>5533863</v>
      </c>
      <c r="G8" s="733">
        <v>5586337.6600000001</v>
      </c>
      <c r="H8" s="733">
        <v>5350465.7699999996</v>
      </c>
      <c r="I8" s="733">
        <v>27403227.579999998</v>
      </c>
      <c r="J8" s="744">
        <v>243511486.59</v>
      </c>
      <c r="K8" s="134">
        <f t="shared" si="1"/>
        <v>326736781.95999998</v>
      </c>
      <c r="L8" s="134">
        <f t="shared" si="0"/>
        <v>287385380.60000002</v>
      </c>
      <c r="M8" s="747"/>
      <c r="N8" s="747">
        <v>189203075.00999999</v>
      </c>
      <c r="O8" s="912"/>
    </row>
    <row r="9" spans="1:16" ht="12.75" customHeight="1" x14ac:dyDescent="0.25">
      <c r="A9" s="39" t="s">
        <v>1081</v>
      </c>
      <c r="B9" s="169">
        <v>1600</v>
      </c>
      <c r="C9" s="745">
        <v>14473685.85</v>
      </c>
      <c r="D9" s="733">
        <v>3468287.36</v>
      </c>
      <c r="E9" s="733">
        <v>3103223.67</v>
      </c>
      <c r="F9" s="733">
        <v>2964526.98</v>
      </c>
      <c r="G9" s="733">
        <v>2887338.87</v>
      </c>
      <c r="H9" s="733">
        <v>2725522.59</v>
      </c>
      <c r="I9" s="733">
        <v>13762748.58</v>
      </c>
      <c r="J9" s="744">
        <v>139522643.33000001</v>
      </c>
      <c r="K9" s="134">
        <f t="shared" si="1"/>
        <v>182907977.23000002</v>
      </c>
      <c r="L9" s="134">
        <f>SUM(F9:J9)</f>
        <v>161862780.35000002</v>
      </c>
      <c r="M9" s="747"/>
      <c r="N9" s="747">
        <v>105730359.75</v>
      </c>
      <c r="O9" s="912"/>
    </row>
    <row r="10" spans="1:16" ht="12.75" customHeight="1" x14ac:dyDescent="0.25">
      <c r="A10" s="39" t="s">
        <v>1082</v>
      </c>
      <c r="B10" s="169">
        <v>1700</v>
      </c>
      <c r="C10" s="745">
        <v>2720654.87</v>
      </c>
      <c r="D10" s="733">
        <v>1077515.98</v>
      </c>
      <c r="E10" s="733">
        <v>675429.02</v>
      </c>
      <c r="F10" s="733">
        <v>792685.51</v>
      </c>
      <c r="G10" s="733">
        <v>746036.23</v>
      </c>
      <c r="H10" s="733">
        <v>720295.55</v>
      </c>
      <c r="I10" s="733">
        <v>6217262.3600000003</v>
      </c>
      <c r="J10" s="744">
        <v>42960159.979999997</v>
      </c>
      <c r="K10" s="134">
        <f t="shared" si="1"/>
        <v>55910039.5</v>
      </c>
      <c r="L10" s="134">
        <f>SUM(F10:J10)</f>
        <v>51436439.629999995</v>
      </c>
      <c r="M10" s="747"/>
      <c r="N10" s="747">
        <v>32944687.719999999</v>
      </c>
      <c r="O10" s="912"/>
    </row>
    <row r="11" spans="1:16" ht="12.75" customHeight="1" x14ac:dyDescent="0.25">
      <c r="A11" s="39" t="s">
        <v>1083</v>
      </c>
      <c r="B11" s="169">
        <v>1810</v>
      </c>
      <c r="C11" s="745">
        <v>32990589.399999999</v>
      </c>
      <c r="D11" s="733">
        <v>17668594.190000001</v>
      </c>
      <c r="E11" s="733">
        <v>17574161.059999999</v>
      </c>
      <c r="F11" s="733">
        <v>16605518.76</v>
      </c>
      <c r="G11" s="733">
        <v>16644340.359999999</v>
      </c>
      <c r="H11" s="733">
        <v>15836567.550000001</v>
      </c>
      <c r="I11" s="733">
        <v>106446093.52</v>
      </c>
      <c r="J11" s="744">
        <v>563228271.98000002</v>
      </c>
      <c r="K11" s="134">
        <f t="shared" si="1"/>
        <v>786994136.82000005</v>
      </c>
      <c r="L11" s="134">
        <f t="shared" si="0"/>
        <v>718760792.17000008</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-4954677.99</v>
      </c>
      <c r="D13" s="733">
        <v>926273.39</v>
      </c>
      <c r="E13" s="733">
        <v>10282.719999999999</v>
      </c>
      <c r="F13" s="733">
        <v>19942.150000000001</v>
      </c>
      <c r="G13" s="733">
        <v>40245.51</v>
      </c>
      <c r="H13" s="733">
        <v>11650.21</v>
      </c>
      <c r="I13" s="733">
        <v>1484526.98</v>
      </c>
      <c r="J13" s="744">
        <v>309657506.54000002</v>
      </c>
      <c r="K13" s="134">
        <f t="shared" si="1"/>
        <v>307195749.51000005</v>
      </c>
      <c r="L13" s="134">
        <f>SUM(F13:J13)</f>
        <v>311213871.39000005</v>
      </c>
      <c r="M13" s="747"/>
      <c r="N13" s="747">
        <v>314944996.63</v>
      </c>
      <c r="O13" s="912"/>
    </row>
    <row r="14" spans="1:16" ht="12.75" customHeight="1" x14ac:dyDescent="0.25">
      <c r="A14" s="53" t="s">
        <v>1085</v>
      </c>
      <c r="B14" s="284">
        <v>2000</v>
      </c>
      <c r="C14" s="56">
        <f t="shared" ref="C14:N14" si="2">SUM(C5:C13)</f>
        <v>483261783.06000006</v>
      </c>
      <c r="D14" s="55">
        <f t="shared" si="2"/>
        <v>132449818.22000001</v>
      </c>
      <c r="E14" s="55">
        <f t="shared" si="2"/>
        <v>111333595.33</v>
      </c>
      <c r="F14" s="55">
        <f t="shared" si="2"/>
        <v>101024496.10000002</v>
      </c>
      <c r="G14" s="55">
        <f t="shared" si="2"/>
        <v>101571086.48</v>
      </c>
      <c r="H14" s="55">
        <f t="shared" si="2"/>
        <v>117729370.45999998</v>
      </c>
      <c r="I14" s="55">
        <f t="shared" si="2"/>
        <v>496966593.84999996</v>
      </c>
      <c r="J14" s="83">
        <f t="shared" si="2"/>
        <v>3408945382.1200004</v>
      </c>
      <c r="K14" s="112">
        <f t="shared" si="2"/>
        <v>4953282125.6200008</v>
      </c>
      <c r="L14" s="112">
        <f>SUM(L5:L13)</f>
        <v>4226236929.0099998</v>
      </c>
      <c r="M14" s="54">
        <f t="shared" si="2"/>
        <v>0</v>
      </c>
      <c r="N14" s="54">
        <f t="shared" si="2"/>
        <v>2406181321.46</v>
      </c>
      <c r="O14" s="913"/>
    </row>
    <row r="15" spans="1:16" ht="12.75" customHeight="1" x14ac:dyDescent="0.25">
      <c r="A15" s="313" t="str">
        <f>Head1&amp;" - totals only"</f>
        <v>2019/20 - totals only</v>
      </c>
      <c r="B15" s="367"/>
      <c r="C15" s="745">
        <v>706236012.38999999</v>
      </c>
      <c r="D15" s="745">
        <v>16375525.92</v>
      </c>
      <c r="E15" s="745">
        <v>180699068.26000002</v>
      </c>
      <c r="F15" s="745">
        <v>18837669.799999997</v>
      </c>
      <c r="G15" s="745">
        <v>122221189.27999999</v>
      </c>
      <c r="H15" s="745">
        <v>98975212.929999992</v>
      </c>
      <c r="I15" s="745">
        <v>454294899.34999996</v>
      </c>
      <c r="J15" s="745">
        <v>2691237135.48</v>
      </c>
      <c r="K15" s="795">
        <f>SUM(C15:J15)</f>
        <v>4288876713.4099998</v>
      </c>
      <c r="L15" s="368">
        <f>SUM(F15:J15)</f>
        <v>3385566106.8400002</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31170361.5</v>
      </c>
      <c r="D17" s="733">
        <v>10316479</v>
      </c>
      <c r="E17" s="733">
        <v>6640329.0300000003</v>
      </c>
      <c r="F17" s="733">
        <v>5922074.2999999998</v>
      </c>
      <c r="G17" s="733">
        <v>6175332.6200000001</v>
      </c>
      <c r="H17" s="733">
        <v>8342857.3600000003</v>
      </c>
      <c r="I17" s="733">
        <v>28167687.91</v>
      </c>
      <c r="J17" s="744">
        <v>131906369.66</v>
      </c>
      <c r="K17" s="134">
        <f>SUM(C17:J17)</f>
        <v>228641491.38</v>
      </c>
      <c r="L17" s="645">
        <f>SUM(F17:J17)</f>
        <v>180514321.84999999</v>
      </c>
      <c r="M17" s="747"/>
      <c r="N17" s="748">
        <v>234146848.66999999</v>
      </c>
    </row>
    <row r="18" spans="1:14" ht="12.75" customHeight="1" x14ac:dyDescent="0.25">
      <c r="A18" s="39" t="s">
        <v>1087</v>
      </c>
      <c r="B18" s="169">
        <v>2300</v>
      </c>
      <c r="C18" s="745">
        <v>217164398.05000001</v>
      </c>
      <c r="D18" s="733">
        <v>39812963.450000003</v>
      </c>
      <c r="E18" s="733">
        <v>25035875.09</v>
      </c>
      <c r="F18" s="733">
        <v>19202262.07</v>
      </c>
      <c r="G18" s="733">
        <v>19176626.5</v>
      </c>
      <c r="H18" s="733">
        <v>23473941.140000001</v>
      </c>
      <c r="I18" s="733">
        <v>75397349.859999999</v>
      </c>
      <c r="J18" s="744">
        <v>343526922.60000002</v>
      </c>
      <c r="K18" s="134">
        <f>SUM(C18:J18)</f>
        <v>762790338.75999999</v>
      </c>
      <c r="L18" s="645">
        <f>SUM(F18:J18)</f>
        <v>480777102.17000002</v>
      </c>
      <c r="M18" s="747"/>
      <c r="N18" s="748">
        <v>81533684.739999995</v>
      </c>
    </row>
    <row r="19" spans="1:14" ht="12.75" customHeight="1" x14ac:dyDescent="0.25">
      <c r="A19" s="39" t="s">
        <v>685</v>
      </c>
      <c r="B19" s="169">
        <v>2400</v>
      </c>
      <c r="C19" s="745">
        <v>227654690.44999999</v>
      </c>
      <c r="D19" s="733">
        <v>78112540.069999993</v>
      </c>
      <c r="E19" s="733">
        <v>78672851.780000001</v>
      </c>
      <c r="F19" s="733">
        <v>71770416.659999996</v>
      </c>
      <c r="G19" s="733">
        <v>71971942.689999998</v>
      </c>
      <c r="H19" s="733">
        <v>79779508.75</v>
      </c>
      <c r="I19" s="733">
        <v>370002944.06999999</v>
      </c>
      <c r="J19" s="744">
        <v>2735309844.5999999</v>
      </c>
      <c r="K19" s="134">
        <f>SUM(C19:J19)</f>
        <v>3713274739.0699997</v>
      </c>
      <c r="L19" s="645">
        <f>SUM(F19:J19)</f>
        <v>3328834656.77</v>
      </c>
      <c r="M19" s="747"/>
      <c r="N19" s="748">
        <v>1939643496.0599999</v>
      </c>
    </row>
    <row r="20" spans="1:14" ht="12.75" customHeight="1" x14ac:dyDescent="0.25">
      <c r="A20" s="39" t="s">
        <v>718</v>
      </c>
      <c r="B20" s="169">
        <v>2500</v>
      </c>
      <c r="C20" s="745">
        <v>7272333.0599999996</v>
      </c>
      <c r="D20" s="733">
        <v>4207835.7</v>
      </c>
      <c r="E20" s="733">
        <v>984539.43</v>
      </c>
      <c r="F20" s="733">
        <v>4129743.07</v>
      </c>
      <c r="G20" s="733">
        <v>4247184.67</v>
      </c>
      <c r="H20" s="733">
        <v>6133063.21</v>
      </c>
      <c r="I20" s="733">
        <v>23398612.010000002</v>
      </c>
      <c r="J20" s="744">
        <v>198202245.25999999</v>
      </c>
      <c r="K20" s="134">
        <f>SUM(C20:J20)</f>
        <v>248575556.41</v>
      </c>
      <c r="L20" s="645">
        <f>SUM(F20:J20)</f>
        <v>236110848.22</v>
      </c>
      <c r="M20" s="747"/>
      <c r="N20" s="749">
        <v>150857291.99000001</v>
      </c>
    </row>
    <row r="21" spans="1:14" ht="12.75" customHeight="1" x14ac:dyDescent="0.25">
      <c r="A21" s="53" t="s">
        <v>1090</v>
      </c>
      <c r="B21" s="284">
        <v>2600</v>
      </c>
      <c r="C21" s="56">
        <f t="shared" ref="C21:I21" si="3">SUM(C17:C20)</f>
        <v>483261783.06</v>
      </c>
      <c r="D21" s="55">
        <f t="shared" si="3"/>
        <v>132449818.22</v>
      </c>
      <c r="E21" s="55">
        <f t="shared" si="3"/>
        <v>111333595.33000001</v>
      </c>
      <c r="F21" s="55">
        <f t="shared" si="3"/>
        <v>101024496.09999999</v>
      </c>
      <c r="G21" s="55">
        <f t="shared" si="3"/>
        <v>101571086.48</v>
      </c>
      <c r="H21" s="55">
        <f t="shared" si="3"/>
        <v>117729370.45999999</v>
      </c>
      <c r="I21" s="55">
        <f t="shared" si="3"/>
        <v>496966593.84999996</v>
      </c>
      <c r="J21" s="83">
        <f>SUM(J17:J20)</f>
        <v>3408945382.1199999</v>
      </c>
      <c r="K21" s="112">
        <f>SUM(K17:K20)</f>
        <v>4953282125.6199999</v>
      </c>
      <c r="L21" s="914">
        <f>SUM(L17:L20)</f>
        <v>4226236929.0099998</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10</v>
      </c>
    </row>
    <row r="11" spans="4:25" x14ac:dyDescent="0.2">
      <c r="W11" s="646" t="s">
        <v>866</v>
      </c>
      <c r="X11" s="701" t="str">
        <f>VLOOKUP(X10,W39:X55,2)</f>
        <v>M10 April</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M35" sqref="M35"/>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6" t="str">
        <f>muni&amp; " - "&amp;S71J&amp; " - "&amp;Head57</f>
        <v>KZN225 Msunduzi - Supporting Table SC4 Monthly Budget Statement - aged creditors  - M10 April</v>
      </c>
      <c r="B1" s="1056"/>
      <c r="C1" s="1056"/>
      <c r="D1" s="1056"/>
      <c r="E1" s="1056"/>
      <c r="F1" s="1056"/>
      <c r="G1" s="1056"/>
      <c r="H1" s="1056"/>
      <c r="I1" s="1056"/>
      <c r="J1" s="1056"/>
      <c r="K1" s="1056"/>
    </row>
    <row r="2" spans="1:12" ht="12.75" customHeight="1" x14ac:dyDescent="0.25">
      <c r="A2" s="1045" t="str">
        <f>desc</f>
        <v>Description</v>
      </c>
      <c r="B2" s="1077" t="s">
        <v>734</v>
      </c>
      <c r="C2" s="137" t="str">
        <f>Head2</f>
        <v>Budget Year 2020/21</v>
      </c>
      <c r="D2" s="137"/>
      <c r="E2" s="137"/>
      <c r="F2" s="137"/>
      <c r="G2" s="137"/>
      <c r="H2" s="137"/>
      <c r="I2" s="137"/>
      <c r="J2" s="137"/>
      <c r="K2" s="138"/>
      <c r="L2" s="1067" t="s">
        <v>74</v>
      </c>
    </row>
    <row r="3" spans="1:12" ht="12.75" customHeight="1" x14ac:dyDescent="0.25">
      <c r="A3" s="1076"/>
      <c r="B3" s="1078"/>
      <c r="C3" s="1079" t="s">
        <v>726</v>
      </c>
      <c r="D3" s="1070" t="s">
        <v>727</v>
      </c>
      <c r="E3" s="1070" t="s">
        <v>728</v>
      </c>
      <c r="F3" s="1070" t="s">
        <v>729</v>
      </c>
      <c r="G3" s="1070" t="s">
        <v>730</v>
      </c>
      <c r="H3" s="1070" t="s">
        <v>731</v>
      </c>
      <c r="I3" s="1070" t="s">
        <v>732</v>
      </c>
      <c r="J3" s="1072" t="s">
        <v>733</v>
      </c>
      <c r="K3" s="1074" t="s">
        <v>506</v>
      </c>
      <c r="L3" s="1068"/>
    </row>
    <row r="4" spans="1:12" ht="12.75" customHeight="1" x14ac:dyDescent="0.25">
      <c r="A4" s="34" t="s">
        <v>667</v>
      </c>
      <c r="B4" s="1075"/>
      <c r="C4" s="1080"/>
      <c r="D4" s="1071"/>
      <c r="E4" s="1071"/>
      <c r="F4" s="1071"/>
      <c r="G4" s="1071"/>
      <c r="H4" s="1071"/>
      <c r="I4" s="1071"/>
      <c r="J4" s="1073"/>
      <c r="K4" s="1075"/>
      <c r="L4" s="1069"/>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316984519.17999995</v>
      </c>
      <c r="D6" s="733">
        <v>22134.13</v>
      </c>
      <c r="E6" s="733">
        <v>0</v>
      </c>
      <c r="F6" s="733">
        <v>0</v>
      </c>
      <c r="G6" s="733">
        <v>0</v>
      </c>
      <c r="H6" s="733"/>
      <c r="I6" s="733"/>
      <c r="J6" s="735"/>
      <c r="K6" s="109">
        <f>SUM(C6:J6)</f>
        <v>317006653.30999994</v>
      </c>
      <c r="L6" s="748">
        <v>185515179.43000001</v>
      </c>
    </row>
    <row r="7" spans="1:12" ht="12.75" customHeight="1" x14ac:dyDescent="0.25">
      <c r="A7" s="39" t="s">
        <v>688</v>
      </c>
      <c r="B7" s="169" t="s">
        <v>689</v>
      </c>
      <c r="C7" s="753">
        <v>171744844.69999999</v>
      </c>
      <c r="D7" s="733">
        <v>0</v>
      </c>
      <c r="E7" s="733">
        <v>0</v>
      </c>
      <c r="F7" s="733">
        <v>0</v>
      </c>
      <c r="G7" s="733">
        <v>0</v>
      </c>
      <c r="H7" s="733"/>
      <c r="I7" s="733"/>
      <c r="J7" s="735"/>
      <c r="K7" s="109">
        <f t="shared" ref="K7:K13" si="0">SUM(C7:J7)</f>
        <v>171744844.69999999</v>
      </c>
      <c r="L7" s="748">
        <v>106775573.08</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218913377.01000005</v>
      </c>
      <c r="D9" s="733"/>
      <c r="E9" s="733"/>
      <c r="F9" s="733"/>
      <c r="G9" s="733"/>
      <c r="H9" s="733"/>
      <c r="I9" s="733"/>
      <c r="J9" s="735"/>
      <c r="K9" s="109">
        <f t="shared" si="0"/>
        <v>218913377.01000005</v>
      </c>
      <c r="L9" s="748">
        <v>196581271.24000001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60856303.57</v>
      </c>
      <c r="D12" s="733">
        <v>20202749.699999999</v>
      </c>
      <c r="E12" s="733">
        <v>52920.36</v>
      </c>
      <c r="F12" s="733">
        <v>0</v>
      </c>
      <c r="G12" s="733">
        <v>147029.21</v>
      </c>
      <c r="H12" s="733"/>
      <c r="I12" s="733">
        <v>0</v>
      </c>
      <c r="J12" s="735"/>
      <c r="K12" s="109">
        <f t="shared" si="0"/>
        <v>81259002.839999989</v>
      </c>
      <c r="L12" s="748">
        <v>63096320.660000004</v>
      </c>
    </row>
    <row r="13" spans="1:12" ht="12.75" customHeight="1" x14ac:dyDescent="0.25">
      <c r="A13" s="39" t="s">
        <v>599</v>
      </c>
      <c r="B13" s="169" t="s">
        <v>600</v>
      </c>
      <c r="C13" s="753">
        <v>1968437.26</v>
      </c>
      <c r="D13" s="733"/>
      <c r="E13" s="733"/>
      <c r="F13" s="733"/>
      <c r="G13" s="733"/>
      <c r="H13" s="733"/>
      <c r="I13" s="733"/>
      <c r="J13" s="735"/>
      <c r="K13" s="109">
        <f t="shared" si="0"/>
        <v>1968437.26</v>
      </c>
      <c r="L13" s="748">
        <v>254552.39</v>
      </c>
    </row>
    <row r="14" spans="1:12" ht="12.75" customHeight="1" x14ac:dyDescent="0.25">
      <c r="A14" s="39" t="s">
        <v>718</v>
      </c>
      <c r="B14" s="169" t="s">
        <v>601</v>
      </c>
      <c r="C14" s="753">
        <v>263615273.54999998</v>
      </c>
      <c r="D14" s="733"/>
      <c r="E14" s="733"/>
      <c r="F14" s="733"/>
      <c r="G14" s="733"/>
      <c r="H14" s="733"/>
      <c r="I14" s="733"/>
      <c r="J14" s="735"/>
      <c r="K14" s="109">
        <f>SUM(C14:J14)</f>
        <v>263615273.54999998</v>
      </c>
      <c r="L14" s="748">
        <v>204427142.44</v>
      </c>
    </row>
    <row r="15" spans="1:12" ht="12.75" customHeight="1" x14ac:dyDescent="0.25">
      <c r="A15" s="53" t="s">
        <v>919</v>
      </c>
      <c r="B15" s="284">
        <v>1000</v>
      </c>
      <c r="C15" s="271">
        <f>SUM(C6:C14)</f>
        <v>1034082755.27</v>
      </c>
      <c r="D15" s="55">
        <f t="shared" ref="D15:J15" si="1">SUM(D6:D14)</f>
        <v>20224883.829999998</v>
      </c>
      <c r="E15" s="55">
        <f t="shared" si="1"/>
        <v>52920.36</v>
      </c>
      <c r="F15" s="55">
        <f t="shared" si="1"/>
        <v>0</v>
      </c>
      <c r="G15" s="55">
        <f t="shared" si="1"/>
        <v>147029.21</v>
      </c>
      <c r="H15" s="55">
        <f t="shared" si="1"/>
        <v>0</v>
      </c>
      <c r="I15" s="55">
        <f t="shared" si="1"/>
        <v>0</v>
      </c>
      <c r="J15" s="235">
        <f t="shared" si="1"/>
        <v>0</v>
      </c>
      <c r="K15" s="112">
        <f>SUM(K6:K14)</f>
        <v>1054507588.67</v>
      </c>
      <c r="L15" s="160">
        <f>SUM(L6:L14)</f>
        <v>756650039.24000001</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6" t="str">
        <f>muni&amp; " - "&amp;S71K&amp; " - "&amp;Head57</f>
        <v>KZN225 Msunduzi - Supporting Table SC5 Monthly Budget Statement - investment portfolio  - M10 April</v>
      </c>
      <c r="B1" s="1056"/>
      <c r="C1" s="1056"/>
      <c r="D1" s="1056"/>
      <c r="E1" s="1056"/>
      <c r="F1" s="1056"/>
      <c r="G1" s="1056"/>
      <c r="H1" s="1056"/>
      <c r="I1" s="1056"/>
      <c r="J1" s="1056"/>
      <c r="K1" s="67"/>
    </row>
    <row r="2" spans="1:15" ht="54" customHeight="1" x14ac:dyDescent="0.25">
      <c r="A2" s="270" t="s">
        <v>894</v>
      </c>
      <c r="B2" s="1077" t="s">
        <v>571</v>
      </c>
      <c r="C2" s="26" t="s">
        <v>126</v>
      </c>
      <c r="D2" s="1083" t="s">
        <v>607</v>
      </c>
      <c r="E2" s="948" t="s">
        <v>1356</v>
      </c>
      <c r="F2" s="948" t="s">
        <v>1357</v>
      </c>
      <c r="G2" s="948" t="s">
        <v>1358</v>
      </c>
      <c r="H2" s="948" t="s">
        <v>1359</v>
      </c>
      <c r="I2" s="948" t="s">
        <v>1360</v>
      </c>
      <c r="J2" s="1085" t="s">
        <v>608</v>
      </c>
      <c r="K2" s="149" t="s">
        <v>1361</v>
      </c>
      <c r="L2" s="142" t="s">
        <v>1362</v>
      </c>
      <c r="M2" s="26" t="s">
        <v>1363</v>
      </c>
      <c r="N2" s="26" t="s">
        <v>1364</v>
      </c>
      <c r="O2" s="142" t="s">
        <v>1365</v>
      </c>
    </row>
    <row r="3" spans="1:15" ht="12.75" customHeight="1" x14ac:dyDescent="0.25">
      <c r="A3" s="34" t="s">
        <v>667</v>
      </c>
      <c r="B3" s="1075"/>
      <c r="C3" s="413" t="s">
        <v>127</v>
      </c>
      <c r="D3" s="1084"/>
      <c r="E3" s="949"/>
      <c r="F3" s="949"/>
      <c r="G3" s="949"/>
      <c r="H3" s="949"/>
      <c r="I3" s="949"/>
      <c r="J3" s="1073"/>
      <c r="K3" s="1081"/>
      <c r="L3" s="1081"/>
      <c r="M3" s="1081"/>
      <c r="N3" s="1081"/>
      <c r="O3" s="1082"/>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603239221.03999996</v>
      </c>
      <c r="L5" s="954">
        <v>188569.22999999998</v>
      </c>
      <c r="M5" s="955">
        <v>-175972266.90000001</v>
      </c>
      <c r="N5" s="955">
        <v>44280100.019999996</v>
      </c>
      <c r="O5" s="956">
        <f t="shared" ref="O5:O11" si="0">SUM(K5:N5)</f>
        <v>471735623.38999999</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603239221.03999996</v>
      </c>
      <c r="L12" s="960"/>
      <c r="M12" s="961">
        <f>SUM(M5:M11)</f>
        <v>-175972266.90000001</v>
      </c>
      <c r="N12" s="961">
        <f>SUM(N5:N11)</f>
        <v>44280100.019999996</v>
      </c>
      <c r="O12" s="962">
        <f>SUM(O5:O11)</f>
        <v>471735623.38999999</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5365910.84</v>
      </c>
      <c r="L15" s="954">
        <v>8637</v>
      </c>
      <c r="M15" s="955">
        <v>-1167499.72</v>
      </c>
      <c r="N15" s="955"/>
      <c r="O15" s="956">
        <f t="shared" ref="O15:O21" si="1">SUM(K15:N15)</f>
        <v>4207048.12</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5365910.84</v>
      </c>
      <c r="L22" s="960"/>
      <c r="M22" s="961">
        <f>SUM(M15:M21)</f>
        <v>-1167499.72</v>
      </c>
      <c r="N22" s="961">
        <f>SUM(N15:N21)</f>
        <v>0</v>
      </c>
      <c r="O22" s="962">
        <f>SUM(O15:O21)</f>
        <v>4207048.12</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608605131.88</v>
      </c>
      <c r="L24" s="978"/>
      <c r="M24" s="979">
        <f>M12+M22</f>
        <v>-177139766.62</v>
      </c>
      <c r="N24" s="979">
        <f>N12+N22</f>
        <v>44280100.019999996</v>
      </c>
      <c r="O24" s="980">
        <f>O12+O22</f>
        <v>475942671.50999999</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O31" sqref="O31"/>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"&amp;S71L&amp; " - "&amp;Head57</f>
        <v>KZN225 Msunduzi - Supporting Table SC6 Monthly Budget Statement - transfers and grant receipts  - M10 April</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0</v>
      </c>
      <c r="G8" s="50">
        <f t="shared" si="0"/>
        <v>698862779.19000006</v>
      </c>
      <c r="H8" s="50">
        <f t="shared" si="0"/>
        <v>581338812.49999988</v>
      </c>
      <c r="I8" s="50">
        <f t="shared" si="0"/>
        <v>117523966.69000003</v>
      </c>
      <c r="J8" s="343">
        <f>IF(I8=0,"",I8/H8)</f>
        <v>0.20216088133630344</v>
      </c>
      <c r="K8" s="194">
        <f>SUM(K9:K16)</f>
        <v>697606575</v>
      </c>
    </row>
    <row r="9" spans="1:11" ht="12.75" customHeight="1" x14ac:dyDescent="0.25">
      <c r="A9" s="733" t="s">
        <v>986</v>
      </c>
      <c r="B9" s="169"/>
      <c r="C9" s="779"/>
      <c r="D9" s="780">
        <v>593405000</v>
      </c>
      <c r="E9" s="734">
        <v>682403000</v>
      </c>
      <c r="F9" s="734"/>
      <c r="G9" s="734">
        <v>682403000</v>
      </c>
      <c r="H9" s="733">
        <f>E9/12*10</f>
        <v>568669166.66666663</v>
      </c>
      <c r="I9" s="514">
        <f>G9-H9</f>
        <v>113733833.33333337</v>
      </c>
      <c r="J9" s="552">
        <f>IF(I9=0,"",I9/H9)</f>
        <v>0.20000000000000009</v>
      </c>
      <c r="K9" s="736">
        <f>E9</f>
        <v>682403000</v>
      </c>
    </row>
    <row r="10" spans="1:11" ht="12.75" customHeight="1" x14ac:dyDescent="0.25">
      <c r="A10" s="733" t="s">
        <v>988</v>
      </c>
      <c r="B10" s="169"/>
      <c r="C10" s="748"/>
      <c r="D10" s="745">
        <v>1700000</v>
      </c>
      <c r="E10" s="733">
        <v>1700000</v>
      </c>
      <c r="F10" s="733"/>
      <c r="G10" s="733">
        <v>1700000</v>
      </c>
      <c r="H10" s="733">
        <f>E10/12*10</f>
        <v>1416666.6666666665</v>
      </c>
      <c r="I10" s="514">
        <f t="shared" ref="I10:I15" si="1">G10-H10</f>
        <v>283333.33333333349</v>
      </c>
      <c r="J10" s="552">
        <f t="shared" ref="J10:J15" si="2">IF(I10=0,"",I10/H10)</f>
        <v>0.20000000000000012</v>
      </c>
      <c r="K10" s="735">
        <f>E10</f>
        <v>1700000</v>
      </c>
    </row>
    <row r="11" spans="1:11" ht="12.75" customHeight="1" x14ac:dyDescent="0.25">
      <c r="A11" s="733" t="s">
        <v>566</v>
      </c>
      <c r="B11" s="169"/>
      <c r="C11" s="748"/>
      <c r="D11" s="745"/>
      <c r="E11" s="733">
        <v>0</v>
      </c>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v>4388000</v>
      </c>
      <c r="H12" s="733">
        <f>E12/12*10</f>
        <v>3656666.666666667</v>
      </c>
      <c r="I12" s="514">
        <f t="shared" si="1"/>
        <v>731333.33333333302</v>
      </c>
      <c r="J12" s="552">
        <f t="shared" si="2"/>
        <v>0.1999999999999999</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10371779.190000001</v>
      </c>
      <c r="H16" s="733">
        <f>E16/12*10</f>
        <v>7596312.5</v>
      </c>
      <c r="I16" s="44">
        <f>G16-H16</f>
        <v>2775466.6900000013</v>
      </c>
      <c r="J16" s="124">
        <f>IF(I16=0,"",I16/H16)</f>
        <v>0.36537026221604252</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1531264</v>
      </c>
      <c r="G17" s="430">
        <f t="shared" si="3"/>
        <v>29189264</v>
      </c>
      <c r="H17" s="430">
        <f t="shared" si="3"/>
        <v>34420755.833333328</v>
      </c>
      <c r="I17" s="430">
        <f t="shared" si="3"/>
        <v>-5231491.8333333321</v>
      </c>
      <c r="J17" s="553">
        <f>IF(I17=0,"",I17/H17)</f>
        <v>-0.15198654726422697</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c r="I21" s="44">
        <f t="shared" si="4"/>
        <v>0</v>
      </c>
      <c r="J21" s="124" t="str">
        <f t="shared" si="5"/>
        <v/>
      </c>
      <c r="K21" s="735"/>
    </row>
    <row r="22" spans="1:11" ht="12.75" customHeight="1" x14ac:dyDescent="0.25">
      <c r="A22" s="1002" t="s">
        <v>1435</v>
      </c>
      <c r="B22" s="169"/>
      <c r="C22" s="748"/>
      <c r="D22" s="745">
        <v>4264000</v>
      </c>
      <c r="E22" s="733">
        <v>4264000</v>
      </c>
      <c r="F22" s="733"/>
      <c r="G22" s="733"/>
      <c r="H22" s="733">
        <f t="shared" ref="H22:H23" si="6">E22/12*10</f>
        <v>3553333.333333333</v>
      </c>
      <c r="I22" s="44">
        <f t="shared" si="4"/>
        <v>-3553333.333333333</v>
      </c>
      <c r="J22" s="124">
        <f t="shared" si="5"/>
        <v>-1</v>
      </c>
      <c r="K22" s="735">
        <f t="shared" ref="K22:K23" si="7">E22</f>
        <v>4264000</v>
      </c>
    </row>
    <row r="23" spans="1:11" ht="12.75" customHeight="1" x14ac:dyDescent="0.25">
      <c r="A23" s="1002" t="s">
        <v>1436</v>
      </c>
      <c r="B23" s="169"/>
      <c r="C23" s="748"/>
      <c r="D23" s="745">
        <v>24079242</v>
      </c>
      <c r="E23" s="733">
        <v>24079242</v>
      </c>
      <c r="F23" s="733"/>
      <c r="G23" s="733"/>
      <c r="H23" s="733">
        <f t="shared" si="6"/>
        <v>20066035</v>
      </c>
      <c r="I23" s="44">
        <f t="shared" si="4"/>
        <v>-20066035</v>
      </c>
      <c r="J23" s="124">
        <f t="shared" si="5"/>
        <v>-1</v>
      </c>
      <c r="K23" s="735">
        <f t="shared" si="7"/>
        <v>24079242</v>
      </c>
    </row>
    <row r="24" spans="1:11" ht="12.75" customHeight="1" x14ac:dyDescent="0.25">
      <c r="A24" s="1002" t="s">
        <v>1437</v>
      </c>
      <c r="B24" s="169"/>
      <c r="C24" s="748"/>
      <c r="D24" s="745">
        <v>22740423</v>
      </c>
      <c r="E24" s="733"/>
      <c r="F24" s="733">
        <v>1231264</v>
      </c>
      <c r="G24" s="733">
        <v>3231264</v>
      </c>
      <c r="H24" s="733"/>
      <c r="I24" s="44">
        <f t="shared" si="4"/>
        <v>3231264</v>
      </c>
      <c r="J24" s="124" t="e">
        <f t="shared" si="5"/>
        <v>#DIV/0!</v>
      </c>
      <c r="K24" s="735"/>
    </row>
    <row r="25" spans="1:11" ht="12.75" customHeight="1" x14ac:dyDescent="0.25">
      <c r="A25" s="1002" t="s">
        <v>1451</v>
      </c>
      <c r="B25" s="169"/>
      <c r="C25" s="748"/>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12473665</v>
      </c>
      <c r="F26" s="733"/>
      <c r="G26" s="733">
        <v>10200000</v>
      </c>
      <c r="H26" s="733">
        <f t="shared" ref="H26:H27" si="8">E26/12*10</f>
        <v>10394720.833333334</v>
      </c>
      <c r="I26" s="44">
        <f t="shared" ref="I26:I32" si="9">G26-H26</f>
        <v>-194720.83333333395</v>
      </c>
      <c r="J26" s="124">
        <f t="shared" ref="J26:J33" si="10">IF(I26=0,"",I26/H26)</f>
        <v>-1.8732665980688172E-2</v>
      </c>
      <c r="K26" s="735">
        <f t="shared" ref="K26:K27" si="11">E26</f>
        <v>12473665</v>
      </c>
    </row>
    <row r="27" spans="1:11" ht="12.75" customHeight="1" x14ac:dyDescent="0.25">
      <c r="A27" s="1002" t="s">
        <v>1439</v>
      </c>
      <c r="B27" s="169"/>
      <c r="C27" s="748"/>
      <c r="D27" s="745">
        <v>488000</v>
      </c>
      <c r="E27" s="733">
        <v>488000</v>
      </c>
      <c r="F27" s="733"/>
      <c r="G27" s="733"/>
      <c r="H27" s="733">
        <f t="shared" si="8"/>
        <v>406666.66666666663</v>
      </c>
      <c r="I27" s="44">
        <f t="shared" si="9"/>
        <v>-406666.66666666663</v>
      </c>
      <c r="J27" s="124">
        <f t="shared" si="10"/>
        <v>-1</v>
      </c>
      <c r="K27" s="735">
        <f t="shared" si="11"/>
        <v>488000</v>
      </c>
    </row>
    <row r="28" spans="1:11" ht="12.75" customHeight="1" x14ac:dyDescent="0.25">
      <c r="A28" s="1002" t="s">
        <v>1440</v>
      </c>
      <c r="B28" s="169"/>
      <c r="C28" s="748"/>
      <c r="D28" s="745">
        <v>1500000</v>
      </c>
      <c r="E28" s="733"/>
      <c r="F28" s="733">
        <v>300000</v>
      </c>
      <c r="G28" s="733">
        <v>15758000</v>
      </c>
      <c r="H28" s="733"/>
      <c r="I28" s="44">
        <f t="shared" si="9"/>
        <v>15758000</v>
      </c>
      <c r="J28" s="124" t="e">
        <f t="shared" si="10"/>
        <v>#DIV/0!</v>
      </c>
      <c r="K28" s="735"/>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738911482</v>
      </c>
      <c r="F33" s="73">
        <f t="shared" si="14"/>
        <v>1531264</v>
      </c>
      <c r="G33" s="73">
        <f t="shared" si="14"/>
        <v>728052043.19000006</v>
      </c>
      <c r="H33" s="73">
        <f t="shared" si="14"/>
        <v>615759568.33333325</v>
      </c>
      <c r="I33" s="73">
        <f t="shared" si="14"/>
        <v>112292474.8566667</v>
      </c>
      <c r="J33" s="304">
        <f t="shared" si="10"/>
        <v>0.18236415742691092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337738291</v>
      </c>
      <c r="F36" s="44">
        <f t="shared" si="15"/>
        <v>11301000</v>
      </c>
      <c r="G36" s="44">
        <f t="shared" si="15"/>
        <v>379905220.81000006</v>
      </c>
      <c r="H36" s="44">
        <f t="shared" si="15"/>
        <v>207483305.83333334</v>
      </c>
      <c r="I36" s="44">
        <f t="shared" si="15"/>
        <v>172421914.97666669</v>
      </c>
      <c r="J36" s="343">
        <f>IF(I36=0,"",I36/H36)</f>
        <v>0.83101584623472946</v>
      </c>
      <c r="K36" s="144">
        <f>SUM(K37:K44)</f>
        <v>337738291</v>
      </c>
    </row>
    <row r="37" spans="1:11" ht="12.75" customHeight="1" x14ac:dyDescent="0.25">
      <c r="A37" s="778" t="s">
        <v>1441</v>
      </c>
      <c r="B37" s="169"/>
      <c r="C37" s="779"/>
      <c r="D37" s="780">
        <v>187012424.99999985</v>
      </c>
      <c r="E37" s="734">
        <v>197724967</v>
      </c>
      <c r="F37" s="734"/>
      <c r="G37" s="734">
        <v>183349220.81000003</v>
      </c>
      <c r="H37" s="733">
        <f t="shared" ref="H37" si="16">E37/12*10</f>
        <v>164770805.83333334</v>
      </c>
      <c r="I37" s="514">
        <f>G37-H37</f>
        <v>18578414.976666689</v>
      </c>
      <c r="J37" s="552">
        <f>IF(I37=0,"",I37/H37)</f>
        <v>0.11275307468884305</v>
      </c>
      <c r="K37" s="736">
        <f>E37</f>
        <v>197724967</v>
      </c>
    </row>
    <row r="38" spans="1:11" ht="12.75" customHeight="1" x14ac:dyDescent="0.25">
      <c r="A38" s="778" t="s">
        <v>1453</v>
      </c>
      <c r="B38" s="169"/>
      <c r="C38" s="748"/>
      <c r="D38" s="745"/>
      <c r="E38" s="733">
        <v>88758324</v>
      </c>
      <c r="F38" s="733"/>
      <c r="G38" s="733">
        <v>134000000</v>
      </c>
      <c r="H38" s="733"/>
      <c r="I38" s="514">
        <f t="shared" ref="I38:I44" si="17">G38-H38</f>
        <v>134000000</v>
      </c>
      <c r="J38" s="552" t="e">
        <f t="shared" ref="J38:J44" si="18">IF(I38=0,"",I38/H38)</f>
        <v>#DIV/0!</v>
      </c>
      <c r="K38" s="735">
        <f>E38</f>
        <v>88758324</v>
      </c>
    </row>
    <row r="39" spans="1:11" ht="12.75" customHeight="1" x14ac:dyDescent="0.25">
      <c r="A39" s="778" t="s">
        <v>1001</v>
      </c>
      <c r="B39" s="169"/>
      <c r="C39" s="748"/>
      <c r="D39" s="745">
        <v>35000000</v>
      </c>
      <c r="E39" s="733">
        <v>18000000</v>
      </c>
      <c r="F39" s="733"/>
      <c r="G39" s="733">
        <v>18000000</v>
      </c>
      <c r="H39" s="733">
        <f t="shared" ref="H39" si="19">E39/12*10</f>
        <v>15000000</v>
      </c>
      <c r="I39" s="514">
        <f t="shared" si="17"/>
        <v>3000000</v>
      </c>
      <c r="J39" s="552">
        <f t="shared" si="18"/>
        <v>0.2</v>
      </c>
      <c r="K39" s="735">
        <f>E39</f>
        <v>18000000</v>
      </c>
    </row>
    <row r="40" spans="1:11" ht="12.75" customHeight="1" x14ac:dyDescent="0.25">
      <c r="A40" s="778" t="s">
        <v>1454</v>
      </c>
      <c r="B40" s="169"/>
      <c r="C40" s="748"/>
      <c r="D40" s="745"/>
      <c r="E40" s="733"/>
      <c r="F40" s="733"/>
      <c r="G40" s="733"/>
      <c r="H40" s="733"/>
      <c r="I40" s="514">
        <f t="shared" si="17"/>
        <v>0</v>
      </c>
      <c r="J40" s="552" t="str">
        <f t="shared" si="18"/>
        <v/>
      </c>
      <c r="K40" s="735"/>
    </row>
    <row r="41" spans="1:11" ht="12.75" customHeight="1" x14ac:dyDescent="0.25">
      <c r="A41" s="778" t="s">
        <v>1455</v>
      </c>
      <c r="B41" s="169"/>
      <c r="C41" s="748"/>
      <c r="D41" s="745"/>
      <c r="E41" s="733"/>
      <c r="F41" s="733"/>
      <c r="G41" s="733"/>
      <c r="H41" s="733"/>
      <c r="I41" s="514">
        <f t="shared" si="17"/>
        <v>0</v>
      </c>
      <c r="J41" s="552" t="str">
        <f t="shared" si="18"/>
        <v/>
      </c>
      <c r="K41" s="735"/>
    </row>
    <row r="42" spans="1:11" ht="12.75" customHeight="1" x14ac:dyDescent="0.25">
      <c r="A42" s="778" t="s">
        <v>566</v>
      </c>
      <c r="B42" s="169"/>
      <c r="C42" s="748"/>
      <c r="D42" s="745"/>
      <c r="E42" s="733"/>
      <c r="F42" s="733"/>
      <c r="G42" s="733"/>
      <c r="H42" s="733"/>
      <c r="I42" s="514">
        <f t="shared" si="17"/>
        <v>0</v>
      </c>
      <c r="J42" s="552" t="str">
        <f t="shared" si="18"/>
        <v/>
      </c>
      <c r="K42" s="735"/>
    </row>
    <row r="43" spans="1:11" ht="12.75" customHeight="1" x14ac:dyDescent="0.25">
      <c r="A43" s="778" t="s">
        <v>1442</v>
      </c>
      <c r="B43" s="169"/>
      <c r="C43" s="748"/>
      <c r="D43" s="745">
        <v>33255000</v>
      </c>
      <c r="E43" s="733">
        <v>33255000</v>
      </c>
      <c r="F43" s="733">
        <v>11301000</v>
      </c>
      <c r="G43" s="733">
        <v>44556000</v>
      </c>
      <c r="H43" s="733">
        <f t="shared" ref="H43" si="20">E43/12*10</f>
        <v>27712500</v>
      </c>
      <c r="I43" s="514">
        <f t="shared" si="17"/>
        <v>16843500</v>
      </c>
      <c r="J43" s="552">
        <f t="shared" si="18"/>
        <v>0.60779431664411365</v>
      </c>
      <c r="K43" s="735">
        <f>E43</f>
        <v>33255000</v>
      </c>
    </row>
    <row r="44" spans="1:11" ht="12.75" customHeight="1" x14ac:dyDescent="0.25">
      <c r="A44" s="778" t="s">
        <v>1456</v>
      </c>
      <c r="B44" s="169"/>
      <c r="C44" s="748"/>
      <c r="D44" s="745"/>
      <c r="E44" s="733"/>
      <c r="F44" s="733"/>
      <c r="G44" s="733"/>
      <c r="H44" s="733"/>
      <c r="I44" s="514">
        <f t="shared" si="17"/>
        <v>0</v>
      </c>
      <c r="J44" s="552" t="str">
        <f t="shared" si="18"/>
        <v/>
      </c>
      <c r="K44" s="735"/>
    </row>
    <row r="45" spans="1:11" ht="12.75" customHeight="1" x14ac:dyDescent="0.25">
      <c r="A45" s="342" t="str">
        <f>A17</f>
        <v>Provincial Government:</v>
      </c>
      <c r="B45" s="169"/>
      <c r="C45" s="516">
        <f t="shared" ref="C45:H45" si="21">SUM(C46:C56)</f>
        <v>0</v>
      </c>
      <c r="D45" s="475">
        <f t="shared" si="21"/>
        <v>270624156</v>
      </c>
      <c r="E45" s="430">
        <f t="shared" si="21"/>
        <v>316942789</v>
      </c>
      <c r="F45" s="430">
        <f t="shared" si="21"/>
        <v>773753.53</v>
      </c>
      <c r="G45" s="430">
        <f t="shared" si="21"/>
        <v>142569083.08000001</v>
      </c>
      <c r="H45" s="430">
        <f t="shared" si="21"/>
        <v>264118990.83333334</v>
      </c>
      <c r="I45" s="514">
        <f t="shared" ref="I45:I60" si="22">G45-H45</f>
        <v>-121549907.75333333</v>
      </c>
      <c r="J45" s="552">
        <f>IF(I45=0,"",I45/H45)</f>
        <v>-0.46020889058308878</v>
      </c>
      <c r="K45" s="513">
        <f>SUM(K46:K56)</f>
        <v>316942789</v>
      </c>
    </row>
    <row r="46" spans="1:11" ht="12.75" customHeight="1" x14ac:dyDescent="0.25">
      <c r="A46" s="781" t="s">
        <v>1457</v>
      </c>
      <c r="B46" s="169"/>
      <c r="C46" s="783"/>
      <c r="D46" s="784"/>
      <c r="E46" s="737"/>
      <c r="F46" s="733"/>
      <c r="G46" s="733"/>
      <c r="H46" s="737"/>
      <c r="I46" s="514">
        <f t="shared" si="22"/>
        <v>0</v>
      </c>
      <c r="J46" s="552" t="str">
        <f t="shared" ref="J46:J55" si="23">IF(I46=0,"",I46/H46)</f>
        <v/>
      </c>
      <c r="K46" s="738"/>
    </row>
    <row r="47" spans="1:11" ht="12.75" customHeight="1" x14ac:dyDescent="0.25">
      <c r="A47" s="785" t="s">
        <v>1472</v>
      </c>
      <c r="B47" s="169"/>
      <c r="C47" s="786"/>
      <c r="D47" s="787"/>
      <c r="E47" s="788">
        <v>4000000</v>
      </c>
      <c r="F47" s="733"/>
      <c r="G47" s="733"/>
      <c r="H47" s="788">
        <f t="shared" ref="H47:H56" si="24">E47/12*10</f>
        <v>3333333.333333333</v>
      </c>
      <c r="I47" s="44">
        <f t="shared" si="22"/>
        <v>-3333333.333333333</v>
      </c>
      <c r="J47" s="124">
        <f t="shared" si="23"/>
        <v>-1</v>
      </c>
      <c r="K47" s="789">
        <f t="shared" ref="K47:K56" si="25">E47</f>
        <v>4000000</v>
      </c>
    </row>
    <row r="48" spans="1:11" ht="12.75" customHeight="1" x14ac:dyDescent="0.25">
      <c r="A48" s="785" t="s">
        <v>1473</v>
      </c>
      <c r="B48" s="169"/>
      <c r="C48" s="786"/>
      <c r="D48" s="787"/>
      <c r="E48" s="788">
        <v>12835934</v>
      </c>
      <c r="F48" s="733"/>
      <c r="G48" s="733"/>
      <c r="H48" s="788">
        <f t="shared" si="24"/>
        <v>10696611.666666668</v>
      </c>
      <c r="I48" s="44">
        <f t="shared" si="22"/>
        <v>-10696611.666666668</v>
      </c>
      <c r="J48" s="124">
        <f t="shared" si="23"/>
        <v>-1</v>
      </c>
      <c r="K48" s="789">
        <f t="shared" si="25"/>
        <v>12835934</v>
      </c>
    </row>
    <row r="49" spans="1:11" ht="12.75" customHeight="1" x14ac:dyDescent="0.25">
      <c r="A49" s="785" t="s">
        <v>1444</v>
      </c>
      <c r="B49" s="169"/>
      <c r="C49" s="786"/>
      <c r="D49" s="733">
        <v>6124156</v>
      </c>
      <c r="E49" s="733">
        <v>6124156</v>
      </c>
      <c r="F49" s="733"/>
      <c r="G49" s="733"/>
      <c r="H49" s="733">
        <f t="shared" si="24"/>
        <v>5103463.333333333</v>
      </c>
      <c r="I49" s="44">
        <f t="shared" si="22"/>
        <v>-5103463.333333333</v>
      </c>
      <c r="J49" s="124">
        <f t="shared" si="23"/>
        <v>-1</v>
      </c>
      <c r="K49" s="733">
        <f t="shared" si="25"/>
        <v>6124156</v>
      </c>
    </row>
    <row r="50" spans="1:11" ht="12.75" customHeight="1" x14ac:dyDescent="0.25">
      <c r="A50" s="785" t="s">
        <v>1459</v>
      </c>
      <c r="B50" s="169"/>
      <c r="C50" s="786"/>
      <c r="D50" s="733">
        <v>2500000</v>
      </c>
      <c r="E50" s="733">
        <v>2500000</v>
      </c>
      <c r="F50" s="733"/>
      <c r="G50" s="733">
        <v>2500000</v>
      </c>
      <c r="H50" s="733">
        <f t="shared" si="24"/>
        <v>2083333.3333333335</v>
      </c>
      <c r="I50" s="44">
        <f t="shared" si="22"/>
        <v>416666.66666666651</v>
      </c>
      <c r="J50" s="124">
        <f t="shared" si="23"/>
        <v>0.1999999999999999</v>
      </c>
      <c r="K50" s="733">
        <f t="shared" si="25"/>
        <v>2500000</v>
      </c>
    </row>
    <row r="51" spans="1:11" ht="12.75" customHeight="1" x14ac:dyDescent="0.25">
      <c r="A51" s="785" t="s">
        <v>1439</v>
      </c>
      <c r="B51" s="169"/>
      <c r="C51" s="786"/>
      <c r="D51" s="733">
        <v>774000</v>
      </c>
      <c r="E51" s="733">
        <v>774000</v>
      </c>
      <c r="F51" s="733"/>
      <c r="G51" s="733"/>
      <c r="H51" s="733">
        <f t="shared" si="24"/>
        <v>645000</v>
      </c>
      <c r="I51" s="44">
        <f t="shared" si="22"/>
        <v>-645000</v>
      </c>
      <c r="J51" s="124">
        <f t="shared" si="23"/>
        <v>-1</v>
      </c>
      <c r="K51" s="733">
        <f t="shared" si="25"/>
        <v>774000</v>
      </c>
    </row>
    <row r="52" spans="1:11" ht="12.75" customHeight="1" x14ac:dyDescent="0.25">
      <c r="A52" s="785" t="s">
        <v>1440</v>
      </c>
      <c r="B52" s="169"/>
      <c r="C52" s="786"/>
      <c r="D52" s="733"/>
      <c r="E52" s="733">
        <v>2820431</v>
      </c>
      <c r="F52" s="733"/>
      <c r="G52" s="733">
        <v>97986000</v>
      </c>
      <c r="H52" s="788">
        <f t="shared" si="24"/>
        <v>2350359.1666666665</v>
      </c>
      <c r="I52" s="44">
        <f t="shared" si="22"/>
        <v>95635640.833333328</v>
      </c>
      <c r="J52" s="124">
        <f t="shared" si="23"/>
        <v>40.689798474063011</v>
      </c>
      <c r="K52" s="733">
        <f t="shared" si="25"/>
        <v>2820431</v>
      </c>
    </row>
    <row r="53" spans="1:11" ht="12.75" customHeight="1" x14ac:dyDescent="0.25">
      <c r="A53" s="785" t="s">
        <v>1443</v>
      </c>
      <c r="B53" s="169"/>
      <c r="C53" s="786"/>
      <c r="D53" s="733">
        <v>244264000</v>
      </c>
      <c r="E53" s="733">
        <v>250388156</v>
      </c>
      <c r="F53" s="733">
        <v>773753.53</v>
      </c>
      <c r="G53" s="733">
        <v>42053083.080000006</v>
      </c>
      <c r="H53" s="733">
        <f t="shared" si="24"/>
        <v>208656796.66666669</v>
      </c>
      <c r="I53" s="44">
        <f t="shared" si="22"/>
        <v>-166603713.58666667</v>
      </c>
      <c r="J53" s="124">
        <f t="shared" si="23"/>
        <v>-0.79845811997593041</v>
      </c>
      <c r="K53" s="733">
        <f t="shared" si="25"/>
        <v>250388156</v>
      </c>
    </row>
    <row r="54" spans="1:11" ht="12.75" customHeight="1" x14ac:dyDescent="0.25">
      <c r="A54" s="785" t="s">
        <v>1445</v>
      </c>
      <c r="B54" s="169"/>
      <c r="C54" s="786"/>
      <c r="D54" s="733">
        <v>6750000</v>
      </c>
      <c r="E54" s="733">
        <v>6750000</v>
      </c>
      <c r="F54" s="733"/>
      <c r="G54" s="733"/>
      <c r="H54" s="733">
        <f t="shared" si="24"/>
        <v>5625000</v>
      </c>
      <c r="I54" s="44">
        <f t="shared" si="22"/>
        <v>-5625000</v>
      </c>
      <c r="J54" s="124">
        <f t="shared" si="23"/>
        <v>-1</v>
      </c>
      <c r="K54" s="733">
        <f t="shared" si="25"/>
        <v>6750000</v>
      </c>
    </row>
    <row r="55" spans="1:11" ht="12.75" customHeight="1" x14ac:dyDescent="0.25">
      <c r="A55" s="785" t="s">
        <v>1474</v>
      </c>
      <c r="B55" s="169"/>
      <c r="C55" s="786"/>
      <c r="D55" s="733"/>
      <c r="E55" s="788">
        <v>22465010</v>
      </c>
      <c r="F55" s="733"/>
      <c r="G55" s="733"/>
      <c r="H55" s="788">
        <f t="shared" si="24"/>
        <v>18720841.666666668</v>
      </c>
      <c r="I55" s="44">
        <f t="shared" si="22"/>
        <v>-18720841.666666668</v>
      </c>
      <c r="J55" s="124">
        <f t="shared" si="23"/>
        <v>-1</v>
      </c>
      <c r="K55" s="733">
        <f t="shared" si="25"/>
        <v>22465010</v>
      </c>
    </row>
    <row r="56" spans="1:11" ht="12.75" customHeight="1" x14ac:dyDescent="0.25">
      <c r="A56" s="782" t="s">
        <v>1446</v>
      </c>
      <c r="B56" s="169"/>
      <c r="C56" s="748"/>
      <c r="D56" s="745">
        <v>10212000</v>
      </c>
      <c r="E56" s="733">
        <v>8285102</v>
      </c>
      <c r="F56" s="733"/>
      <c r="G56" s="733">
        <v>30000</v>
      </c>
      <c r="H56" s="733">
        <f t="shared" si="24"/>
        <v>6904251.666666666</v>
      </c>
      <c r="I56" s="44">
        <f t="shared" si="22"/>
        <v>-6874251.666666666</v>
      </c>
      <c r="J56" s="124">
        <f t="shared" ref="J56:J61" si="26">IF(I56=0,"",I56/H56)</f>
        <v>-0.99565485132228904</v>
      </c>
      <c r="K56" s="733">
        <f t="shared" si="25"/>
        <v>8285102</v>
      </c>
    </row>
    <row r="57" spans="1:11" ht="12.75" customHeight="1" x14ac:dyDescent="0.25">
      <c r="A57" s="106" t="str">
        <f>A29</f>
        <v>District Municipality:</v>
      </c>
      <c r="B57" s="169"/>
      <c r="C57" s="516">
        <f t="shared" ref="C57:H57" si="27">SUM(C58:C58)</f>
        <v>0</v>
      </c>
      <c r="D57" s="475">
        <f t="shared" si="27"/>
        <v>0</v>
      </c>
      <c r="E57" s="430">
        <f t="shared" si="27"/>
        <v>0</v>
      </c>
      <c r="F57" s="430">
        <f t="shared" si="27"/>
        <v>0</v>
      </c>
      <c r="G57" s="430">
        <f t="shared" si="27"/>
        <v>0</v>
      </c>
      <c r="H57" s="430">
        <f t="shared" si="27"/>
        <v>0</v>
      </c>
      <c r="I57" s="514">
        <f t="shared" si="22"/>
        <v>0</v>
      </c>
      <c r="J57" s="552" t="str">
        <f t="shared" si="26"/>
        <v/>
      </c>
      <c r="K57" s="513">
        <f>SUM(K58:K58)</f>
        <v>0</v>
      </c>
    </row>
    <row r="58" spans="1:11" ht="12.75" customHeight="1" x14ac:dyDescent="0.25">
      <c r="A58" s="781" t="s">
        <v>567</v>
      </c>
      <c r="B58" s="169"/>
      <c r="C58" s="783"/>
      <c r="D58" s="784"/>
      <c r="E58" s="737"/>
      <c r="F58" s="737"/>
      <c r="G58" s="737"/>
      <c r="H58" s="737"/>
      <c r="I58" s="514">
        <f t="shared" si="22"/>
        <v>0</v>
      </c>
      <c r="J58" s="552" t="str">
        <f t="shared" si="26"/>
        <v/>
      </c>
      <c r="K58" s="738"/>
    </row>
    <row r="59" spans="1:11" ht="12.75" customHeight="1" x14ac:dyDescent="0.25">
      <c r="A59" s="106" t="str">
        <f>A31</f>
        <v>Other grant providers:</v>
      </c>
      <c r="B59" s="169"/>
      <c r="C59" s="516">
        <f t="shared" ref="C59:H59" si="28">SUM(C60:C60)</f>
        <v>0</v>
      </c>
      <c r="D59" s="475">
        <f t="shared" si="28"/>
        <v>0</v>
      </c>
      <c r="E59" s="430">
        <f t="shared" si="28"/>
        <v>0</v>
      </c>
      <c r="F59" s="430">
        <f t="shared" si="28"/>
        <v>0</v>
      </c>
      <c r="G59" s="430">
        <f t="shared" si="28"/>
        <v>0</v>
      </c>
      <c r="H59" s="430">
        <f t="shared" si="28"/>
        <v>0</v>
      </c>
      <c r="I59" s="514">
        <f t="shared" si="22"/>
        <v>0</v>
      </c>
      <c r="J59" s="552" t="str">
        <f t="shared" si="26"/>
        <v/>
      </c>
      <c r="K59" s="513">
        <f>SUM(K60:K60)</f>
        <v>0</v>
      </c>
    </row>
    <row r="60" spans="1:11" ht="12.75" customHeight="1" x14ac:dyDescent="0.25">
      <c r="A60" s="781" t="s">
        <v>567</v>
      </c>
      <c r="B60" s="169"/>
      <c r="C60" s="783"/>
      <c r="D60" s="784"/>
      <c r="E60" s="737"/>
      <c r="F60" s="737"/>
      <c r="G60" s="737"/>
      <c r="H60" s="737"/>
      <c r="I60" s="514">
        <f t="shared" si="22"/>
        <v>0</v>
      </c>
      <c r="J60" s="552" t="str">
        <f t="shared" si="26"/>
        <v/>
      </c>
      <c r="K60" s="738"/>
    </row>
    <row r="61" spans="1:11" ht="12.75" customHeight="1" x14ac:dyDescent="0.25">
      <c r="A61" s="557" t="s">
        <v>64</v>
      </c>
      <c r="B61" s="309">
        <v>5</v>
      </c>
      <c r="C61" s="516">
        <f t="shared" ref="C61:I61" si="29">C36+C45+C57+C59</f>
        <v>0</v>
      </c>
      <c r="D61" s="475">
        <f t="shared" si="29"/>
        <v>525891580.99999988</v>
      </c>
      <c r="E61" s="430">
        <f t="shared" si="29"/>
        <v>654681080</v>
      </c>
      <c r="F61" s="430">
        <f t="shared" si="29"/>
        <v>12074753.529999999</v>
      </c>
      <c r="G61" s="430">
        <f t="shared" si="29"/>
        <v>522474303.8900001</v>
      </c>
      <c r="H61" s="430">
        <f t="shared" si="29"/>
        <v>471602296.66666669</v>
      </c>
      <c r="I61" s="430">
        <f t="shared" si="29"/>
        <v>50872007.223333359</v>
      </c>
      <c r="J61" s="553">
        <f t="shared" si="26"/>
        <v>0.10787056717683928</v>
      </c>
      <c r="K61" s="513">
        <f>K36+K45+K57+K59</f>
        <v>654681080</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30">C33+C61</f>
        <v>0</v>
      </c>
      <c r="D63" s="305">
        <f t="shared" si="30"/>
        <v>1201374821</v>
      </c>
      <c r="E63" s="306">
        <f t="shared" si="30"/>
        <v>1393592562</v>
      </c>
      <c r="F63" s="306">
        <f t="shared" si="30"/>
        <v>13606017.529999999</v>
      </c>
      <c r="G63" s="306">
        <f t="shared" si="30"/>
        <v>1250526347.0800002</v>
      </c>
      <c r="H63" s="306">
        <f t="shared" si="30"/>
        <v>1087361865</v>
      </c>
      <c r="I63" s="306">
        <f t="shared" si="30"/>
        <v>163164482.08000004</v>
      </c>
      <c r="J63" s="307">
        <f>IF(I63=0,"",I63/H63)</f>
        <v>0.15005536549693146</v>
      </c>
      <c r="K63" s="308">
        <f>K33+K61</f>
        <v>1393592562</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activeCell="M34" sqref="M34"/>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"&amp;S71M&amp; " - "&amp;Head57</f>
        <v>KZN225 Msunduzi - Supporting Table SC7(1) Monthly Budget Statement - transfers and grant expenditure  - M10 April</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1035405.7899999999</v>
      </c>
      <c r="G8" s="50">
        <f t="shared" si="0"/>
        <v>701393289.77999997</v>
      </c>
      <c r="H8" s="50">
        <f t="shared" si="0"/>
        <v>581338812.49999988</v>
      </c>
      <c r="I8" s="50">
        <f t="shared" si="0"/>
        <v>120054477.28000005</v>
      </c>
      <c r="J8" s="343">
        <f t="shared" ref="J8:J33" si="1">IF(I8=0,"",I8/H8)</f>
        <v>0.20651378283812777</v>
      </c>
      <c r="K8" s="194">
        <f>SUM(K9:K16)</f>
        <v>697606575</v>
      </c>
    </row>
    <row r="9" spans="1:11" x14ac:dyDescent="0.25">
      <c r="A9" s="396" t="s">
        <v>986</v>
      </c>
      <c r="B9" s="169"/>
      <c r="C9" s="779"/>
      <c r="D9" s="780">
        <v>593405000</v>
      </c>
      <c r="E9" s="734">
        <v>682403000</v>
      </c>
      <c r="F9" s="734"/>
      <c r="G9" s="734">
        <v>682403000</v>
      </c>
      <c r="H9" s="733">
        <f>E9/12*10</f>
        <v>568669166.66666663</v>
      </c>
      <c r="I9" s="514">
        <f>G9-H9</f>
        <v>113733833.33333337</v>
      </c>
      <c r="J9" s="552">
        <f t="shared" si="1"/>
        <v>0.20000000000000009</v>
      </c>
      <c r="K9" s="736">
        <f>E9</f>
        <v>682403000</v>
      </c>
    </row>
    <row r="10" spans="1:11" x14ac:dyDescent="0.25">
      <c r="A10" s="396" t="s">
        <v>988</v>
      </c>
      <c r="B10" s="169"/>
      <c r="C10" s="748"/>
      <c r="D10" s="745">
        <v>1700000</v>
      </c>
      <c r="E10" s="733">
        <v>1700000</v>
      </c>
      <c r="F10" s="733">
        <v>82188.72</v>
      </c>
      <c r="G10" s="733">
        <v>823504.03999999992</v>
      </c>
      <c r="H10" s="733">
        <f>E10/12*10</f>
        <v>1416666.6666666665</v>
      </c>
      <c r="I10" s="514">
        <f t="shared" ref="I10:I16" si="2">G10-H10</f>
        <v>-593162.62666666659</v>
      </c>
      <c r="J10" s="552">
        <f t="shared" ref="J10:J16" si="3">IF(I10=0,"",I10/H10)</f>
        <v>-0.41870303058823527</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467345.1</v>
      </c>
      <c r="G12" s="733">
        <v>3163083.0300000003</v>
      </c>
      <c r="H12" s="733">
        <f>E12/12*10</f>
        <v>3656666.666666667</v>
      </c>
      <c r="I12" s="514">
        <f t="shared" si="2"/>
        <v>-493583.63666666672</v>
      </c>
      <c r="J12" s="552">
        <f t="shared" si="3"/>
        <v>-0.13498185141294439</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101945.47</v>
      </c>
      <c r="G14" s="733">
        <v>5228862.8400000008</v>
      </c>
      <c r="H14" s="733"/>
      <c r="I14" s="514">
        <f t="shared" si="2"/>
        <v>5228862.8400000008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383926.5</v>
      </c>
      <c r="G16" s="733">
        <v>9774839.8699999992</v>
      </c>
      <c r="H16" s="733">
        <f>E16/12*10</f>
        <v>7596312.5</v>
      </c>
      <c r="I16" s="514">
        <f t="shared" si="2"/>
        <v>2178527.3699999992</v>
      </c>
      <c r="J16" s="552">
        <f t="shared" si="3"/>
        <v>0.28678748669173354</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4542713.6500000004</v>
      </c>
      <c r="G17" s="430">
        <f t="shared" si="4"/>
        <v>38449215.870000005</v>
      </c>
      <c r="H17" s="430">
        <f t="shared" si="4"/>
        <v>55728887.499999993</v>
      </c>
      <c r="I17" s="430">
        <f t="shared" si="4"/>
        <v>-17279671.630000003</v>
      </c>
      <c r="J17" s="553">
        <f t="shared" si="1"/>
        <v>-0.31006668902191892</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E21/12*10</f>
        <v>3002500</v>
      </c>
      <c r="I21" s="44">
        <f t="shared" si="5"/>
        <v>-3002500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3553333.333333333</v>
      </c>
      <c r="I22" s="44">
        <f t="shared" si="5"/>
        <v>-3553333.333333333</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20066035</v>
      </c>
      <c r="I23" s="44">
        <f t="shared" si="5"/>
        <v>-20066035</v>
      </c>
      <c r="J23" s="124">
        <f t="shared" si="1"/>
        <v>-1</v>
      </c>
      <c r="K23" s="735">
        <f t="shared" si="7"/>
        <v>24079242</v>
      </c>
    </row>
    <row r="24" spans="1:11" ht="12.75" customHeight="1" x14ac:dyDescent="0.25">
      <c r="A24" s="396" t="s">
        <v>1437</v>
      </c>
      <c r="B24" s="169"/>
      <c r="C24" s="748"/>
      <c r="D24" s="745">
        <v>22740423</v>
      </c>
      <c r="E24" s="733">
        <v>22740423</v>
      </c>
      <c r="F24" s="733">
        <v>2358482.69</v>
      </c>
      <c r="G24" s="733">
        <v>27320715.91</v>
      </c>
      <c r="H24" s="733">
        <f t="shared" si="6"/>
        <v>18950352.5</v>
      </c>
      <c r="I24" s="44">
        <f t="shared" si="5"/>
        <v>8370363.4100000001</v>
      </c>
      <c r="J24" s="124">
        <f t="shared" si="1"/>
        <v>0.441699615350163</v>
      </c>
      <c r="K24" s="735">
        <f t="shared" si="7"/>
        <v>22740423</v>
      </c>
    </row>
    <row r="25" spans="1:11" ht="12.75" customHeight="1" x14ac:dyDescent="0.25">
      <c r="A25" s="396" t="s">
        <v>1451</v>
      </c>
      <c r="B25" s="169"/>
      <c r="C25" s="748"/>
      <c r="D25" s="745"/>
      <c r="E25" s="733"/>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778847.75</v>
      </c>
      <c r="G26" s="733">
        <v>8663078.3699999992</v>
      </c>
      <c r="H26" s="733">
        <f t="shared" ref="H26:H28" si="8">E26/12*10</f>
        <v>8500000</v>
      </c>
      <c r="I26" s="44">
        <f t="shared" si="5"/>
        <v>163078.36999999918</v>
      </c>
      <c r="J26" s="124">
        <f t="shared" si="1"/>
        <v>1.9185690588235198E-2</v>
      </c>
      <c r="K26" s="735">
        <f t="shared" ref="K26:K28" si="9">E26</f>
        <v>10200000</v>
      </c>
    </row>
    <row r="27" spans="1:11" ht="12.75" customHeight="1" x14ac:dyDescent="0.25">
      <c r="A27" s="396" t="s">
        <v>1439</v>
      </c>
      <c r="B27" s="169"/>
      <c r="C27" s="748"/>
      <c r="D27" s="745">
        <v>488000</v>
      </c>
      <c r="E27" s="733">
        <v>488000</v>
      </c>
      <c r="F27" s="733"/>
      <c r="G27" s="733"/>
      <c r="H27" s="733">
        <f t="shared" si="8"/>
        <v>406666.66666666663</v>
      </c>
      <c r="I27" s="44">
        <f t="shared" si="5"/>
        <v>-406666.66666666663</v>
      </c>
      <c r="J27" s="124">
        <f t="shared" si="1"/>
        <v>-1</v>
      </c>
      <c r="K27" s="735">
        <f t="shared" si="9"/>
        <v>488000</v>
      </c>
    </row>
    <row r="28" spans="1:11" ht="12.75" customHeight="1" x14ac:dyDescent="0.25">
      <c r="A28" s="396" t="s">
        <v>1440</v>
      </c>
      <c r="B28" s="169"/>
      <c r="C28" s="748"/>
      <c r="D28" s="745">
        <v>1500000</v>
      </c>
      <c r="E28" s="733">
        <v>1500000</v>
      </c>
      <c r="F28" s="733">
        <v>1405383.21</v>
      </c>
      <c r="G28" s="733">
        <v>2465421.59</v>
      </c>
      <c r="H28" s="733">
        <f t="shared" si="8"/>
        <v>1250000</v>
      </c>
      <c r="I28" s="44">
        <f t="shared" si="5"/>
        <v>1215421.5899999999</v>
      </c>
      <c r="J28" s="124">
        <f t="shared" si="1"/>
        <v>0.97233727199999986</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0</v>
      </c>
      <c r="D33" s="74">
        <f t="shared" si="12"/>
        <v>675483240</v>
      </c>
      <c r="E33" s="73">
        <f t="shared" si="12"/>
        <v>764481240</v>
      </c>
      <c r="F33" s="73">
        <f t="shared" si="12"/>
        <v>5578119.4400000004</v>
      </c>
      <c r="G33" s="73">
        <f t="shared" si="12"/>
        <v>739842505.64999998</v>
      </c>
      <c r="H33" s="73">
        <f t="shared" si="12"/>
        <v>637067699.99999988</v>
      </c>
      <c r="I33" s="73">
        <f t="shared" si="12"/>
        <v>102774805.65000004</v>
      </c>
      <c r="J33" s="304">
        <f t="shared" si="1"/>
        <v>0.16132477859103522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0</v>
      </c>
      <c r="D36" s="46">
        <f t="shared" si="13"/>
        <v>255267424.99999985</v>
      </c>
      <c r="E36" s="44">
        <f t="shared" si="13"/>
        <v>255267424.99999985</v>
      </c>
      <c r="F36" s="44">
        <f t="shared" si="13"/>
        <v>64875076.060000002</v>
      </c>
      <c r="G36" s="44">
        <f t="shared" si="13"/>
        <v>330975881.95000005</v>
      </c>
      <c r="H36" s="44">
        <f t="shared" si="13"/>
        <v>212722854.16666654</v>
      </c>
      <c r="I36" s="44">
        <f t="shared" si="13"/>
        <v>118253027.7833335</v>
      </c>
      <c r="J36" s="343">
        <f>IF(I36=0,"",I36/H36)</f>
        <v>0.55590184818920896</v>
      </c>
      <c r="K36" s="144">
        <f t="shared" si="13"/>
        <v>255267424.99999985</v>
      </c>
    </row>
    <row r="37" spans="1:11" ht="12.75" customHeight="1" x14ac:dyDescent="0.25">
      <c r="A37" s="396" t="s">
        <v>1441</v>
      </c>
      <c r="B37" s="169"/>
      <c r="C37" s="779"/>
      <c r="D37" s="780">
        <v>187012424.99999985</v>
      </c>
      <c r="E37" s="734">
        <v>187012424.99999985</v>
      </c>
      <c r="F37" s="734">
        <v>17968559.490000002</v>
      </c>
      <c r="G37" s="734">
        <v>170272959.28000003</v>
      </c>
      <c r="H37" s="734">
        <f>E37/12*10</f>
        <v>155843687.49999988</v>
      </c>
      <c r="I37" s="514">
        <f>G37-H37</f>
        <v>14429271.78000015</v>
      </c>
      <c r="J37" s="552">
        <f>IF(I37=0,"",I37/H37)</f>
        <v>9.2588105501547252E-2</v>
      </c>
      <c r="K37" s="736">
        <f>E37</f>
        <v>187012424.99999985</v>
      </c>
    </row>
    <row r="38" spans="1:11" ht="12" customHeight="1" x14ac:dyDescent="0.25">
      <c r="A38" s="396" t="s">
        <v>1453</v>
      </c>
      <c r="B38" s="169"/>
      <c r="C38" s="748"/>
      <c r="D38" s="745"/>
      <c r="E38" s="733"/>
      <c r="F38" s="733">
        <v>43666235.969999999</v>
      </c>
      <c r="G38" s="733">
        <v>132636822.92999999</v>
      </c>
      <c r="H38" s="733"/>
      <c r="I38" s="44">
        <f t="shared" ref="I38:I44" si="14">G38-H38</f>
        <v>132636822.92999999</v>
      </c>
      <c r="J38" s="124" t="e">
        <f t="shared" ref="J38:J44" si="15">IF(I38=0,"",I38/H38)</f>
        <v>#DIV/0!</v>
      </c>
      <c r="K38" s="736"/>
    </row>
    <row r="39" spans="1:11" ht="12" customHeight="1" x14ac:dyDescent="0.25">
      <c r="A39" s="396" t="s">
        <v>1001</v>
      </c>
      <c r="B39" s="169"/>
      <c r="C39" s="748"/>
      <c r="D39" s="745">
        <v>35000000</v>
      </c>
      <c r="E39" s="733">
        <v>35000000</v>
      </c>
      <c r="F39" s="733">
        <v>2546968.5699999998</v>
      </c>
      <c r="G39" s="733">
        <v>3403986.8499999996</v>
      </c>
      <c r="H39" s="733">
        <f>E39/12*10</f>
        <v>29166666.666666664</v>
      </c>
      <c r="I39" s="44">
        <f t="shared" si="14"/>
        <v>-25762679.816666663</v>
      </c>
      <c r="J39" s="124">
        <f t="shared" si="15"/>
        <v>-0.88329187942857135</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c r="D43" s="745">
        <v>33255000</v>
      </c>
      <c r="E43" s="733">
        <v>33255000</v>
      </c>
      <c r="F43" s="733">
        <v>693312.03</v>
      </c>
      <c r="G43" s="733">
        <v>24662112.889999997</v>
      </c>
      <c r="H43" s="733">
        <f>E43/12*10</f>
        <v>27712500</v>
      </c>
      <c r="I43" s="44">
        <f t="shared" si="14"/>
        <v>-3050387.1100000031</v>
      </c>
      <c r="J43" s="124">
        <f t="shared" si="15"/>
        <v>-0.11007260658547598</v>
      </c>
      <c r="K43" s="736">
        <f>E43</f>
        <v>33255000</v>
      </c>
    </row>
    <row r="44" spans="1:11" ht="12.75" customHeight="1" x14ac:dyDescent="0.25">
      <c r="A44" s="396" t="s">
        <v>1456</v>
      </c>
      <c r="B44" s="169"/>
      <c r="C44" s="748"/>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270624156</v>
      </c>
      <c r="F45" s="430">
        <f t="shared" si="16"/>
        <v>4166393.15</v>
      </c>
      <c r="G45" s="430">
        <f t="shared" si="16"/>
        <v>45602460.290000007</v>
      </c>
      <c r="H45" s="430">
        <f t="shared" si="16"/>
        <v>225520129.99999997</v>
      </c>
      <c r="I45" s="514">
        <f>G45-H45</f>
        <v>-179917669.70999998</v>
      </c>
      <c r="J45" s="552">
        <f>IF(I45=0,"",I45/H45)</f>
        <v>-0.79778984567807765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557843.63</v>
      </c>
      <c r="G47" s="788">
        <v>2038113.77</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7">E50/12*10</f>
        <v>5103463.333333333</v>
      </c>
      <c r="I50" s="44"/>
      <c r="J50" s="124"/>
      <c r="K50" s="733">
        <f t="shared" ref="K50:K52" si="18">E50</f>
        <v>6124156</v>
      </c>
    </row>
    <row r="51" spans="1:11" ht="12.75" customHeight="1" x14ac:dyDescent="0.25">
      <c r="A51" s="397" t="s">
        <v>1459</v>
      </c>
      <c r="B51" s="169"/>
      <c r="C51" s="786"/>
      <c r="D51" s="733">
        <v>2500000</v>
      </c>
      <c r="E51" s="733">
        <v>2500000</v>
      </c>
      <c r="F51" s="788"/>
      <c r="G51" s="788"/>
      <c r="H51" s="733">
        <f t="shared" si="17"/>
        <v>2083333.3333333335</v>
      </c>
      <c r="I51" s="44"/>
      <c r="J51" s="124"/>
      <c r="K51" s="733">
        <f t="shared" si="18"/>
        <v>2500000</v>
      </c>
    </row>
    <row r="52" spans="1:11" ht="12.75" customHeight="1" x14ac:dyDescent="0.25">
      <c r="A52" s="397" t="s">
        <v>1439</v>
      </c>
      <c r="B52" s="169"/>
      <c r="C52" s="786"/>
      <c r="D52" s="733">
        <v>774000</v>
      </c>
      <c r="E52" s="733">
        <v>774000</v>
      </c>
      <c r="F52" s="788"/>
      <c r="G52" s="788"/>
      <c r="H52" s="733">
        <f t="shared" si="17"/>
        <v>645000</v>
      </c>
      <c r="I52" s="44"/>
      <c r="J52" s="124"/>
      <c r="K52" s="733">
        <f t="shared" si="18"/>
        <v>774000</v>
      </c>
    </row>
    <row r="53" spans="1:11" ht="12.75" customHeight="1" x14ac:dyDescent="0.25">
      <c r="A53" s="397" t="s">
        <v>1440</v>
      </c>
      <c r="B53" s="169"/>
      <c r="C53" s="786"/>
      <c r="D53" s="733"/>
      <c r="E53" s="733"/>
      <c r="F53" s="788">
        <v>2935720.37</v>
      </c>
      <c r="G53" s="788">
        <v>7266980.1799999997</v>
      </c>
      <c r="H53" s="733"/>
      <c r="I53" s="44"/>
      <c r="J53" s="124"/>
      <c r="K53" s="733"/>
    </row>
    <row r="54" spans="1:11" ht="12.75" customHeight="1" x14ac:dyDescent="0.25">
      <c r="A54" s="397" t="s">
        <v>1443</v>
      </c>
      <c r="B54" s="169"/>
      <c r="C54" s="786"/>
      <c r="D54" s="733">
        <v>244264000</v>
      </c>
      <c r="E54" s="733">
        <v>244264000</v>
      </c>
      <c r="F54" s="788">
        <v>672829.15</v>
      </c>
      <c r="G54" s="788">
        <v>36297366.340000004</v>
      </c>
      <c r="H54" s="733">
        <f t="shared" ref="H54:H55" si="19">E54/12*10</f>
        <v>203553333.33333331</v>
      </c>
      <c r="I54" s="44"/>
      <c r="J54" s="124"/>
      <c r="K54" s="733">
        <f t="shared" ref="K54:K55" si="20">E54</f>
        <v>244264000</v>
      </c>
    </row>
    <row r="55" spans="1:11" ht="12.75" customHeight="1" x14ac:dyDescent="0.25">
      <c r="A55" s="397" t="s">
        <v>1445</v>
      </c>
      <c r="B55" s="169"/>
      <c r="C55" s="786"/>
      <c r="D55" s="733">
        <v>6750000</v>
      </c>
      <c r="E55" s="733">
        <v>6750000</v>
      </c>
      <c r="F55" s="733"/>
      <c r="G55" s="733"/>
      <c r="H55" s="733">
        <f t="shared" si="19"/>
        <v>5625000</v>
      </c>
      <c r="I55" s="44"/>
      <c r="J55" s="124"/>
      <c r="K55" s="733">
        <f t="shared" si="20"/>
        <v>6750000</v>
      </c>
    </row>
    <row r="56" spans="1:11" ht="12.75" customHeight="1" x14ac:dyDescent="0.25">
      <c r="A56" s="397" t="s">
        <v>623</v>
      </c>
      <c r="B56" s="169"/>
      <c r="C56" s="786"/>
      <c r="D56" s="733"/>
      <c r="E56" s="788"/>
      <c r="F56" s="788"/>
      <c r="G56" s="788"/>
      <c r="H56" s="788"/>
      <c r="I56" s="44"/>
      <c r="J56" s="124"/>
      <c r="K56" s="789"/>
    </row>
    <row r="57" spans="1:11" ht="12.75" customHeight="1" x14ac:dyDescent="0.25">
      <c r="A57" s="396" t="s">
        <v>1446</v>
      </c>
      <c r="B57" s="169"/>
      <c r="C57" s="748"/>
      <c r="D57" s="733">
        <v>10212000</v>
      </c>
      <c r="E57" s="733">
        <v>10212000</v>
      </c>
      <c r="F57" s="733"/>
      <c r="G57" s="733"/>
      <c r="H57" s="733">
        <f>E57/12*10</f>
        <v>8510000</v>
      </c>
      <c r="I57" s="44">
        <f>G57-H57</f>
        <v>-8510000</v>
      </c>
      <c r="J57" s="124">
        <f t="shared" ref="J57:J62" si="21">IF(I57=0,"",I57/H57)</f>
        <v>-1</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0</v>
      </c>
      <c r="D62" s="74">
        <f t="shared" si="24"/>
        <v>525891580.99999988</v>
      </c>
      <c r="E62" s="73">
        <f t="shared" si="24"/>
        <v>525891580.99999988</v>
      </c>
      <c r="F62" s="73">
        <f t="shared" si="24"/>
        <v>69041469.210000008</v>
      </c>
      <c r="G62" s="73">
        <f t="shared" si="24"/>
        <v>376578342.24000007</v>
      </c>
      <c r="H62" s="73">
        <f t="shared" si="24"/>
        <v>438242984.16666651</v>
      </c>
      <c r="I62" s="73">
        <f t="shared" si="24"/>
        <v>-61664641.926666483</v>
      </c>
      <c r="J62" s="304">
        <f t="shared" si="21"/>
        <v>-0.14070879433226713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0</v>
      </c>
      <c r="D64" s="56">
        <f t="shared" si="25"/>
        <v>1201374821</v>
      </c>
      <c r="E64" s="55">
        <f t="shared" si="25"/>
        <v>1290372821</v>
      </c>
      <c r="F64" s="55">
        <f t="shared" si="25"/>
        <v>74619588.650000006</v>
      </c>
      <c r="G64" s="55">
        <f t="shared" si="25"/>
        <v>1116420847.8900001</v>
      </c>
      <c r="H64" s="55">
        <f t="shared" si="25"/>
        <v>1075310684.1666665</v>
      </c>
      <c r="I64" s="55">
        <f t="shared" si="25"/>
        <v>41110163.723333552</v>
      </c>
      <c r="J64" s="290">
        <f>IF(I64=0,"",I64/H64)</f>
        <v>3.8230963691384408E-2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6" t="str">
        <f>muni&amp; " - "&amp;S71T&amp; " - "&amp;Head57</f>
        <v>KZN225 Msunduzi - Supporting Table SC7(2) Monthly Budget Statement - Expenditure against approved rollovers - M10 April</v>
      </c>
      <c r="B1" s="1056"/>
      <c r="C1" s="1056"/>
      <c r="D1" s="1056"/>
      <c r="E1" s="1056"/>
      <c r="F1" s="1056"/>
      <c r="G1" s="1056"/>
    </row>
    <row r="2" spans="1:7" ht="21.75" customHeight="1" x14ac:dyDescent="0.25">
      <c r="A2" s="1045" t="str">
        <f>desc</f>
        <v>Description</v>
      </c>
      <c r="B2" s="1038" t="str">
        <f>head27</f>
        <v>Ref</v>
      </c>
      <c r="C2" s="1040" t="str">
        <f>Head2</f>
        <v>Budget Year 2020/21</v>
      </c>
      <c r="D2" s="1041"/>
      <c r="E2" s="1041"/>
      <c r="F2" s="1041"/>
      <c r="G2" s="1042"/>
    </row>
    <row r="3" spans="1:7" ht="39.75" customHeight="1" x14ac:dyDescent="0.25">
      <c r="A3" s="1046"/>
      <c r="B3" s="1049"/>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65" activePane="bottomRight" state="frozen"/>
      <selection pane="topRight"/>
      <selection pane="bottomLeft"/>
      <selection pane="bottomRight" activeCell="G106" sqref="G10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"&amp;S71N&amp; " - "&amp;Head57</f>
        <v>KZN225 Msunduzi - Supporting Table SC8 Monthly Budget Statement - councillor and staff benefits  - M10 April</v>
      </c>
      <c r="B1" s="1056"/>
      <c r="C1" s="1056"/>
      <c r="D1" s="1056"/>
      <c r="E1" s="1056"/>
      <c r="F1" s="1056"/>
      <c r="G1" s="1056"/>
      <c r="H1" s="1056"/>
      <c r="I1" s="1056"/>
      <c r="J1" s="1056"/>
      <c r="K1" s="1056"/>
    </row>
    <row r="2" spans="1:11" x14ac:dyDescent="0.25">
      <c r="A2" s="1045" t="s">
        <v>650</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2776250.1099999994</v>
      </c>
      <c r="G7" s="733">
        <v>29278304.059999999</v>
      </c>
      <c r="H7" s="733">
        <f>E7/12*10</f>
        <v>13160240.745833328</v>
      </c>
      <c r="I7" s="44">
        <f t="shared" ref="I7:I14" si="0">G7-H7</f>
        <v>16118063.314166671</v>
      </c>
      <c r="J7" s="330">
        <f t="shared" ref="J7:J14" si="1">IF(I7=0,"",I7/H7)</f>
        <v>1.2247544422217216</v>
      </c>
      <c r="K7" s="735">
        <f>E7</f>
        <v>15792288.894999994</v>
      </c>
    </row>
    <row r="8" spans="1:11" ht="12.75" customHeight="1" x14ac:dyDescent="0.25">
      <c r="A8" s="518" t="s">
        <v>1048</v>
      </c>
      <c r="B8" s="169"/>
      <c r="C8" s="748"/>
      <c r="D8" s="745">
        <v>6273530.0123999976</v>
      </c>
      <c r="E8" s="733">
        <v>6273530.0123999976</v>
      </c>
      <c r="F8" s="733">
        <v>351099.01999999996</v>
      </c>
      <c r="G8" s="733">
        <v>3819189.65</v>
      </c>
      <c r="H8" s="733">
        <f t="shared" ref="H8:H12" si="2">E8/12*10</f>
        <v>5227941.6769999983</v>
      </c>
      <c r="I8" s="44">
        <f t="shared" si="0"/>
        <v>-1408752.0269999984</v>
      </c>
      <c r="J8" s="330">
        <f t="shared" si="1"/>
        <v>-0.26946590341619814</v>
      </c>
      <c r="K8" s="735">
        <f t="shared" ref="K8:K12" si="3">E8</f>
        <v>6273530.0123999976</v>
      </c>
    </row>
    <row r="9" spans="1:11" ht="12.75" customHeight="1" x14ac:dyDescent="0.25">
      <c r="A9" s="518" t="s">
        <v>427</v>
      </c>
      <c r="B9" s="169"/>
      <c r="C9" s="748"/>
      <c r="D9" s="745">
        <v>10528192.964839995</v>
      </c>
      <c r="E9" s="733">
        <v>10528192.964839995</v>
      </c>
      <c r="F9" s="733">
        <v>165896.07</v>
      </c>
      <c r="G9" s="733">
        <v>1609460.6</v>
      </c>
      <c r="H9" s="733">
        <f t="shared" si="2"/>
        <v>8773494.1373666618</v>
      </c>
      <c r="I9" s="44">
        <f t="shared" si="0"/>
        <v>-7164033.5373666622</v>
      </c>
      <c r="J9" s="330">
        <f t="shared" si="1"/>
        <v>-0.81655420579296423</v>
      </c>
      <c r="K9" s="735">
        <f t="shared" si="3"/>
        <v>10528192.964839995</v>
      </c>
    </row>
    <row r="10" spans="1:11" ht="12.75" customHeight="1" x14ac:dyDescent="0.25">
      <c r="A10" s="518" t="s">
        <v>1049</v>
      </c>
      <c r="B10" s="169"/>
      <c r="C10" s="748"/>
      <c r="D10" s="745">
        <v>10528194.069359997</v>
      </c>
      <c r="E10" s="733">
        <v>10528194.069359997</v>
      </c>
      <c r="F10" s="733">
        <v>491023.59</v>
      </c>
      <c r="G10" s="733">
        <v>5340988.7700000005</v>
      </c>
      <c r="H10" s="733">
        <f t="shared" si="2"/>
        <v>8773495.0577999987</v>
      </c>
      <c r="I10" s="44">
        <f>G10-H10</f>
        <v>-3432506.2877999982</v>
      </c>
      <c r="J10" s="330">
        <f>IF(I10=0,"",I10/H10)</f>
        <v>-0.39123590600855912</v>
      </c>
      <c r="K10" s="735">
        <f t="shared" si="3"/>
        <v>10528194.069359997</v>
      </c>
    </row>
    <row r="11" spans="1:11" ht="12.75" customHeight="1" x14ac:dyDescent="0.25">
      <c r="A11" s="39" t="s">
        <v>1050</v>
      </c>
      <c r="B11" s="169"/>
      <c r="C11" s="748"/>
      <c r="D11" s="745">
        <v>5264098.1391999982</v>
      </c>
      <c r="E11" s="733">
        <v>5264098.1391999982</v>
      </c>
      <c r="F11" s="733">
        <v>227900</v>
      </c>
      <c r="G11" s="733">
        <v>2915724.09</v>
      </c>
      <c r="H11" s="733">
        <f t="shared" si="2"/>
        <v>4386748.4493333315</v>
      </c>
      <c r="I11" s="44">
        <f>G11-H11</f>
        <v>-1471024.3593333317</v>
      </c>
      <c r="J11" s="330">
        <f>IF(I11=0,"",I11/H11)</f>
        <v>-0.33533364776293201</v>
      </c>
      <c r="K11" s="735">
        <f t="shared" si="3"/>
        <v>5264098.1391999982</v>
      </c>
    </row>
    <row r="12" spans="1:11" ht="12.75" customHeight="1" x14ac:dyDescent="0.25">
      <c r="A12" s="39" t="s">
        <v>1051</v>
      </c>
      <c r="B12" s="169"/>
      <c r="C12" s="748"/>
      <c r="D12" s="745">
        <v>5264097.0346799986</v>
      </c>
      <c r="E12" s="733">
        <v>5264097.0346799986</v>
      </c>
      <c r="F12" s="733">
        <v>11074.34</v>
      </c>
      <c r="G12" s="733">
        <v>110743.39999999998</v>
      </c>
      <c r="H12" s="733">
        <f t="shared" si="2"/>
        <v>4386747.5288999993</v>
      </c>
      <c r="I12" s="44">
        <f>G12-H12</f>
        <v>-4276004.128899999</v>
      </c>
      <c r="J12" s="330">
        <f>IF(I12=0,"",I12/H12)</f>
        <v>-0.97475500943001159</v>
      </c>
      <c r="K12" s="735">
        <f t="shared" si="3"/>
        <v>5264097.0346799986</v>
      </c>
    </row>
    <row r="13" spans="1:11" ht="12.75" customHeight="1" x14ac:dyDescent="0.25">
      <c r="A13" s="39" t="s">
        <v>1052</v>
      </c>
      <c r="B13" s="169"/>
      <c r="C13" s="748"/>
      <c r="D13" s="745"/>
      <c r="E13" s="733"/>
      <c r="F13" s="733">
        <v>7646.39</v>
      </c>
      <c r="G13" s="733">
        <v>506856.98000000004</v>
      </c>
      <c r="H13" s="733"/>
      <c r="I13" s="44">
        <f t="shared" si="0"/>
        <v>506856.98000000004</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4030889.5199999991</v>
      </c>
      <c r="G14" s="430">
        <f t="shared" si="4"/>
        <v>43581267.549999997</v>
      </c>
      <c r="H14" s="430">
        <f t="shared" si="4"/>
        <v>44708667.596233316</v>
      </c>
      <c r="I14" s="430">
        <f t="shared" si="0"/>
        <v>-1127400.0462333187</v>
      </c>
      <c r="J14" s="431">
        <f t="shared" si="1"/>
        <v>-2.5216587897786105E-2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728454.04999999993</v>
      </c>
      <c r="G18" s="733">
        <v>6860143.2800000003</v>
      </c>
      <c r="H18" s="733">
        <f t="shared" ref="H18:H20" si="5">E18/12*10</f>
        <v>8866991.4840000011</v>
      </c>
      <c r="I18" s="44">
        <f t="shared" ref="I18:I30" si="6">G18-H18</f>
        <v>-2006848.2040000008</v>
      </c>
      <c r="J18" s="330">
        <f t="shared" ref="J18:J29" si="7">IF(I18=0,"",I18/H18)</f>
        <v>-0.22632797241558741</v>
      </c>
      <c r="K18" s="735">
        <f t="shared" ref="K18:K25" si="8">E18</f>
        <v>10640389.780800002</v>
      </c>
    </row>
    <row r="19" spans="1:11" ht="12.75" customHeight="1" x14ac:dyDescent="0.25">
      <c r="A19" s="39" t="s">
        <v>1048</v>
      </c>
      <c r="B19" s="169"/>
      <c r="C19" s="748"/>
      <c r="D19" s="745">
        <v>1458021.1247999999</v>
      </c>
      <c r="E19" s="733">
        <v>1458021.1247999999</v>
      </c>
      <c r="F19" s="733">
        <v>573937.58000000007</v>
      </c>
      <c r="G19" s="733">
        <v>5772611.5200000014</v>
      </c>
      <c r="H19" s="733">
        <f t="shared" si="5"/>
        <v>1215017.6039999998</v>
      </c>
      <c r="I19" s="44">
        <f t="shared" si="6"/>
        <v>4557593.9160000011</v>
      </c>
      <c r="J19" s="330">
        <f t="shared" si="7"/>
        <v>3.7510517551316087</v>
      </c>
      <c r="K19" s="735">
        <f t="shared" si="8"/>
        <v>1458021.1247999999</v>
      </c>
    </row>
    <row r="20" spans="1:11" ht="12.75" customHeight="1" x14ac:dyDescent="0.25">
      <c r="A20" s="39" t="s">
        <v>427</v>
      </c>
      <c r="B20" s="169"/>
      <c r="C20" s="748"/>
      <c r="D20" s="745">
        <v>160334.42939999999</v>
      </c>
      <c r="E20" s="733">
        <v>160334.42939999999</v>
      </c>
      <c r="F20" s="733">
        <v>191707.44</v>
      </c>
      <c r="G20" s="733">
        <v>1845645.6599999997</v>
      </c>
      <c r="H20" s="733">
        <f t="shared" si="5"/>
        <v>133612.0245</v>
      </c>
      <c r="I20" s="44">
        <f t="shared" si="6"/>
        <v>1712033.6354999996</v>
      </c>
      <c r="J20" s="330">
        <f t="shared" si="7"/>
        <v>12.813469759976577</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v>43657.829999999994</v>
      </c>
      <c r="G22" s="733">
        <v>574867.57000000007</v>
      </c>
      <c r="H22" s="733">
        <f t="shared" ref="H22:H25" si="9">E22/12*10</f>
        <v>554774.04899999988</v>
      </c>
      <c r="I22" s="44">
        <f>G22-H22</f>
        <v>20093.521000000183</v>
      </c>
      <c r="J22" s="330">
        <f>IF(I22=0,"",I22/H22)</f>
        <v>3.6219287899676406E-2</v>
      </c>
      <c r="K22" s="735">
        <f t="shared" si="8"/>
        <v>665728.85879999993</v>
      </c>
    </row>
    <row r="23" spans="1:11" ht="12.75" customHeight="1" x14ac:dyDescent="0.25">
      <c r="A23" s="39" t="s">
        <v>1049</v>
      </c>
      <c r="B23" s="169"/>
      <c r="C23" s="748"/>
      <c r="D23" s="745">
        <v>1278372.5370000002</v>
      </c>
      <c r="E23" s="733">
        <v>1278372.5370000002</v>
      </c>
      <c r="F23" s="733">
        <v>67286.3</v>
      </c>
      <c r="G23" s="733">
        <v>717497.14999999991</v>
      </c>
      <c r="H23" s="733">
        <f t="shared" si="9"/>
        <v>1065310.4475000002</v>
      </c>
      <c r="I23" s="44">
        <f>G23-H23</f>
        <v>-347813.29750000034</v>
      </c>
      <c r="J23" s="330">
        <f>IF(I23=0,"",I23/H23)</f>
        <v>-0.32649008400905621</v>
      </c>
      <c r="K23" s="735">
        <f t="shared" si="8"/>
        <v>1278372.5370000002</v>
      </c>
    </row>
    <row r="24" spans="1:11" ht="12.75" customHeight="1" x14ac:dyDescent="0.25">
      <c r="A24" s="39" t="s">
        <v>1050</v>
      </c>
      <c r="B24" s="169"/>
      <c r="C24" s="748"/>
      <c r="D24" s="745">
        <v>111150.72719999999</v>
      </c>
      <c r="E24" s="733">
        <v>111150.72719999999</v>
      </c>
      <c r="F24" s="733">
        <v>57294.879999999997</v>
      </c>
      <c r="G24" s="733">
        <v>814646.6</v>
      </c>
      <c r="H24" s="733">
        <f t="shared" si="9"/>
        <v>92625.605999999985</v>
      </c>
      <c r="I24" s="44">
        <f>G24-H24</f>
        <v>722020.99399999995</v>
      </c>
      <c r="J24" s="330">
        <f>IF(I24=0,"",I24/H24)</f>
        <v>7.7950474515653916</v>
      </c>
      <c r="K24" s="735">
        <f t="shared" si="8"/>
        <v>111150.72719999999</v>
      </c>
    </row>
    <row r="25" spans="1:11" ht="12.75" customHeight="1" x14ac:dyDescent="0.25">
      <c r="A25" s="39" t="s">
        <v>1051</v>
      </c>
      <c r="B25" s="169"/>
      <c r="C25" s="748"/>
      <c r="D25" s="745">
        <v>756254.19959999993</v>
      </c>
      <c r="E25" s="733">
        <v>756254.19959999993</v>
      </c>
      <c r="F25" s="733">
        <v>15964.51</v>
      </c>
      <c r="G25" s="733">
        <v>159645.1</v>
      </c>
      <c r="H25" s="733">
        <f t="shared" si="9"/>
        <v>630211.83299999998</v>
      </c>
      <c r="I25" s="44">
        <f>G25-H25</f>
        <v>-470566.73300000001</v>
      </c>
      <c r="J25" s="330">
        <f>IF(I25=0,"",I25/H25)</f>
        <v>-0.74668025631946522</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1678302.5899999999</v>
      </c>
      <c r="G30" s="430">
        <f>SUM(G18:G29)</f>
        <v>16745056.880000001</v>
      </c>
      <c r="H30" s="430">
        <f>SUM(H18:H29)</f>
        <v>12558543.048000002</v>
      </c>
      <c r="I30" s="430">
        <f t="shared" si="6"/>
        <v>4186513.8319999985</v>
      </c>
      <c r="J30" s="431">
        <f>IF(I30=0,"",I30/H30)</f>
        <v>0.33335983449662321</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63904657.890000008</v>
      </c>
      <c r="G34" s="733">
        <v>634255272.94000053</v>
      </c>
      <c r="H34" s="733">
        <f t="shared" ref="H34:H42" si="11">E34/12*10</f>
        <v>753696913.19983816</v>
      </c>
      <c r="I34" s="44">
        <f t="shared" ref="I34:I46" si="12">G34-H34</f>
        <v>-119441640.25983763</v>
      </c>
      <c r="J34" s="330">
        <f t="shared" ref="J34:J45" si="13">IF(I34=0,"",I34/H34)</f>
        <v>-0.15847436571385878</v>
      </c>
      <c r="K34" s="735">
        <f t="shared" ref="K34:K42" si="14">E34</f>
        <v>904436295.83980572</v>
      </c>
    </row>
    <row r="35" spans="1:11" ht="12.75" customHeight="1" x14ac:dyDescent="0.25">
      <c r="A35" s="518" t="s">
        <v>1048</v>
      </c>
      <c r="B35" s="169"/>
      <c r="C35" s="748"/>
      <c r="D35" s="745">
        <v>188647083.87682125</v>
      </c>
      <c r="E35" s="733">
        <v>188647083.87682125</v>
      </c>
      <c r="F35" s="733">
        <v>12209091.300000004</v>
      </c>
      <c r="G35" s="733">
        <v>127412497.87999992</v>
      </c>
      <c r="H35" s="733">
        <f t="shared" si="11"/>
        <v>157205903.23068437</v>
      </c>
      <c r="I35" s="44">
        <f t="shared" si="12"/>
        <v>-29793405.350684449</v>
      </c>
      <c r="J35" s="330">
        <f t="shared" si="13"/>
        <v>-0.18951836246865059</v>
      </c>
      <c r="K35" s="735">
        <f t="shared" si="14"/>
        <v>188647083.87682125</v>
      </c>
    </row>
    <row r="36" spans="1:11" ht="12.75" customHeight="1" x14ac:dyDescent="0.25">
      <c r="A36" s="518" t="s">
        <v>427</v>
      </c>
      <c r="B36" s="169"/>
      <c r="C36" s="748"/>
      <c r="D36" s="745">
        <v>70300830.27188544</v>
      </c>
      <c r="E36" s="733">
        <v>70300830.27188544</v>
      </c>
      <c r="F36" s="733">
        <v>5140231.9399999995</v>
      </c>
      <c r="G36" s="733">
        <v>49651747.330000006</v>
      </c>
      <c r="H36" s="733">
        <f t="shared" si="11"/>
        <v>58584025.226571195</v>
      </c>
      <c r="I36" s="44">
        <f t="shared" si="12"/>
        <v>-8932277.8965711892</v>
      </c>
      <c r="J36" s="330">
        <f t="shared" si="13"/>
        <v>-0.15246951471883316</v>
      </c>
      <c r="K36" s="735">
        <f t="shared" si="14"/>
        <v>70300830.27188544</v>
      </c>
    </row>
    <row r="37" spans="1:11" ht="12.75" customHeight="1" x14ac:dyDescent="0.25">
      <c r="A37" s="518" t="s">
        <v>539</v>
      </c>
      <c r="B37" s="169"/>
      <c r="C37" s="748"/>
      <c r="D37" s="745">
        <v>73644368.523901194</v>
      </c>
      <c r="E37" s="733">
        <v>73644368.523901194</v>
      </c>
      <c r="F37" s="733">
        <v>11951642.119999999</v>
      </c>
      <c r="G37" s="733">
        <v>120892715.23999998</v>
      </c>
      <c r="H37" s="733">
        <f t="shared" si="11"/>
        <v>61370307.103250995</v>
      </c>
      <c r="I37" s="44">
        <f t="shared" si="12"/>
        <v>59522408.136748984</v>
      </c>
      <c r="J37" s="330">
        <f t="shared" si="13"/>
        <v>0.96988936419377769</v>
      </c>
      <c r="K37" s="735">
        <f t="shared" si="14"/>
        <v>73644368.523901194</v>
      </c>
    </row>
    <row r="38" spans="1:11" ht="12.75" customHeight="1" x14ac:dyDescent="0.25">
      <c r="A38" s="518" t="s">
        <v>429</v>
      </c>
      <c r="B38" s="169"/>
      <c r="C38" s="748"/>
      <c r="D38" s="745">
        <v>70366153.174669325</v>
      </c>
      <c r="E38" s="733">
        <v>70366153.174669325</v>
      </c>
      <c r="F38" s="733">
        <v>63820.65</v>
      </c>
      <c r="G38" s="733">
        <v>63361543.589999966</v>
      </c>
      <c r="H38" s="733">
        <f t="shared" si="11"/>
        <v>58638460.978891104</v>
      </c>
      <c r="I38" s="44">
        <f t="shared" si="12"/>
        <v>4723082.6111088619</v>
      </c>
      <c r="J38" s="330">
        <f t="shared" si="13"/>
        <v>8.0545814679704758E-2</v>
      </c>
      <c r="K38" s="735">
        <f t="shared" si="14"/>
        <v>70366153.174669325</v>
      </c>
    </row>
    <row r="39" spans="1:11" ht="12.75" customHeight="1" x14ac:dyDescent="0.25">
      <c r="A39" s="518" t="s">
        <v>1049</v>
      </c>
      <c r="B39" s="169"/>
      <c r="C39" s="748"/>
      <c r="D39" s="745">
        <v>24659111.788440011</v>
      </c>
      <c r="E39" s="733">
        <v>24659111.788440011</v>
      </c>
      <c r="F39" s="733">
        <v>2393201.4099999997</v>
      </c>
      <c r="G39" s="733">
        <v>23246422.759999994</v>
      </c>
      <c r="H39" s="733">
        <f t="shared" si="11"/>
        <v>20549259.823700011</v>
      </c>
      <c r="I39" s="44">
        <f>G39-H39</f>
        <v>2697162.9362999834</v>
      </c>
      <c r="J39" s="330">
        <f>IF(I39=0,"",I39/H39)</f>
        <v>0.13125353221673092</v>
      </c>
      <c r="K39" s="735">
        <f t="shared" si="14"/>
        <v>24659111.788440011</v>
      </c>
    </row>
    <row r="40" spans="1:11" ht="12.75" customHeight="1" x14ac:dyDescent="0.25">
      <c r="A40" s="518" t="s">
        <v>1050</v>
      </c>
      <c r="B40" s="169"/>
      <c r="C40" s="748"/>
      <c r="D40" s="745">
        <v>4232876.804076002</v>
      </c>
      <c r="E40" s="733">
        <v>4232876.804076002</v>
      </c>
      <c r="F40" s="733">
        <v>355320.09</v>
      </c>
      <c r="G40" s="733">
        <v>3383956.4400000004</v>
      </c>
      <c r="H40" s="733">
        <f t="shared" si="11"/>
        <v>3527397.336730002</v>
      </c>
      <c r="I40" s="44">
        <f>G40-H40</f>
        <v>-143440.89673000155</v>
      </c>
      <c r="J40" s="330">
        <f>IF(I40=0,"",I40/H40)</f>
        <v>-4.0664797026516826E-2</v>
      </c>
      <c r="K40" s="735">
        <f t="shared" si="14"/>
        <v>4232876.804076002</v>
      </c>
    </row>
    <row r="41" spans="1:11" ht="12.75" customHeight="1" x14ac:dyDescent="0.25">
      <c r="A41" s="518" t="s">
        <v>1051</v>
      </c>
      <c r="B41" s="169"/>
      <c r="C41" s="748"/>
      <c r="D41" s="745">
        <v>7812877.275000005</v>
      </c>
      <c r="E41" s="733">
        <v>7812877.275000005</v>
      </c>
      <c r="F41" s="733">
        <v>307678.69000000006</v>
      </c>
      <c r="G41" s="733">
        <v>3144302.6000000015</v>
      </c>
      <c r="H41" s="733">
        <f t="shared" si="11"/>
        <v>6510731.0625000037</v>
      </c>
      <c r="I41" s="44">
        <f>G41-H41</f>
        <v>-3366428.4625000022</v>
      </c>
      <c r="J41" s="330">
        <f>IF(I41=0,"",I41/H41)</f>
        <v>-0.51705844246734312</v>
      </c>
      <c r="K41" s="735">
        <f t="shared" si="14"/>
        <v>7812877.275000005</v>
      </c>
    </row>
    <row r="42" spans="1:11" ht="12.75" customHeight="1" x14ac:dyDescent="0.25">
      <c r="A42" s="518" t="s">
        <v>1052</v>
      </c>
      <c r="B42" s="169"/>
      <c r="C42" s="748"/>
      <c r="D42" s="745">
        <v>46854856.603799991</v>
      </c>
      <c r="E42" s="733">
        <v>46854856.603799991</v>
      </c>
      <c r="F42" s="733">
        <v>5977980.8100000015</v>
      </c>
      <c r="G42" s="733">
        <v>59946286.680000007</v>
      </c>
      <c r="H42" s="733">
        <f t="shared" si="11"/>
        <v>39045713.836499989</v>
      </c>
      <c r="I42" s="44">
        <f t="shared" si="12"/>
        <v>20900572.843500018</v>
      </c>
      <c r="J42" s="330">
        <f t="shared" si="13"/>
        <v>0.53528469042771432</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1538748.0000000009</v>
      </c>
      <c r="G44" s="733">
        <v>18626744.650000002</v>
      </c>
      <c r="H44" s="733">
        <f>E44/12*10</f>
        <v>20143973.163153406</v>
      </c>
      <c r="I44" s="44">
        <f t="shared" si="12"/>
        <v>-1517228.513153404</v>
      </c>
      <c r="J44" s="330">
        <f t="shared" si="13"/>
        <v>-7.5319228280578784E-2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103842372.90000002</v>
      </c>
      <c r="G46" s="430">
        <f>SUM(G34:G45)</f>
        <v>1103921490.1100006</v>
      </c>
      <c r="H46" s="430">
        <f>SUM(H34:H45)</f>
        <v>1179272684.9618192</v>
      </c>
      <c r="I46" s="430">
        <f t="shared" si="12"/>
        <v>-75351194.851818562</v>
      </c>
      <c r="J46" s="431">
        <f>IF(I46=0,"",I46/H46)</f>
        <v>-6.3896328485093482E-2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109551565.01000002</v>
      </c>
      <c r="G49" s="73">
        <f t="shared" si="16"/>
        <v>1164247814.5400007</v>
      </c>
      <c r="H49" s="73">
        <f t="shared" si="16"/>
        <v>1236539895.6060524</v>
      </c>
      <c r="I49" s="73">
        <f>G49-H49</f>
        <v>-72292081.066051722</v>
      </c>
      <c r="J49" s="331">
        <f>IF(I49=0,"",I49/H49)</f>
        <v>-5.8463201489038864E-2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v>0</v>
      </c>
      <c r="G54" s="733">
        <v>157878.28</v>
      </c>
      <c r="H54" s="733"/>
      <c r="I54" s="44">
        <f t="shared" ref="I54:I67" si="17">G54-H54</f>
        <v>157878.28</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157878.28</v>
      </c>
      <c r="H67" s="430">
        <f>SUM(H54:H66)</f>
        <v>0</v>
      </c>
      <c r="I67" s="430">
        <f t="shared" si="17"/>
        <v>157878.28</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56988.05</v>
      </c>
      <c r="G71" s="733">
        <v>579560.37</v>
      </c>
      <c r="H71" s="733">
        <f>E71/12*10</f>
        <v>485534.31206249987</v>
      </c>
      <c r="I71" s="44">
        <f t="shared" ref="I71:I83" si="20">G71-H71</f>
        <v>94026.057937500125</v>
      </c>
      <c r="J71" s="330">
        <f t="shared" ref="J71:J82" si="21">IF(I71=0,"",I71/H71)</f>
        <v>0.19365481615107097</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22540</v>
      </c>
      <c r="H73" s="733">
        <f>E73/12*10</f>
        <v>22503.024000000001</v>
      </c>
      <c r="I73" s="44">
        <f t="shared" si="20"/>
        <v>36.975999999998749</v>
      </c>
      <c r="J73" s="330">
        <f t="shared" si="21"/>
        <v>1.643156937485324E-3</v>
      </c>
      <c r="K73" s="735">
        <f>E73</f>
        <v>27003.628799999999</v>
      </c>
    </row>
    <row r="74" spans="1:11" ht="12.75" customHeight="1" x14ac:dyDescent="0.25">
      <c r="A74" s="518" t="s">
        <v>539</v>
      </c>
      <c r="B74" s="169"/>
      <c r="C74" s="748"/>
      <c r="D74" s="745"/>
      <c r="E74" s="733"/>
      <c r="F74" s="733">
        <v>2500</v>
      </c>
      <c r="G74" s="733">
        <v>25000</v>
      </c>
      <c r="H74" s="733"/>
      <c r="I74" s="44">
        <f t="shared" si="20"/>
        <v>25000</v>
      </c>
      <c r="J74" s="330" t="e">
        <f t="shared" si="21"/>
        <v>#DIV/0!</v>
      </c>
      <c r="K74" s="735"/>
    </row>
    <row r="75" spans="1:11" ht="12.75" customHeight="1" x14ac:dyDescent="0.25">
      <c r="A75" s="518" t="s">
        <v>429</v>
      </c>
      <c r="B75" s="169"/>
      <c r="C75" s="748"/>
      <c r="D75" s="745">
        <v>62095.416074999994</v>
      </c>
      <c r="E75" s="733">
        <v>62095.416074999994</v>
      </c>
      <c r="F75" s="733">
        <v>800</v>
      </c>
      <c r="G75" s="733">
        <v>6400</v>
      </c>
      <c r="H75" s="733">
        <f t="shared" ref="H75:H77" si="22">E75/12*10</f>
        <v>51746.180062499996</v>
      </c>
      <c r="I75" s="44">
        <f>G75-H75</f>
        <v>-45346.180062499996</v>
      </c>
      <c r="J75" s="330">
        <f>IF(I75=0,"",I75/H75)</f>
        <v>-0.87631937290308271</v>
      </c>
      <c r="K75" s="735">
        <f t="shared" ref="K75:K77" si="23">E75</f>
        <v>62095.416074999994</v>
      </c>
    </row>
    <row r="76" spans="1:11" ht="12.75" customHeight="1" x14ac:dyDescent="0.25">
      <c r="A76" s="518" t="s">
        <v>1049</v>
      </c>
      <c r="B76" s="169"/>
      <c r="C76" s="748"/>
      <c r="D76" s="745">
        <v>24952.949999999997</v>
      </c>
      <c r="E76" s="733">
        <v>24952.949999999997</v>
      </c>
      <c r="F76" s="733"/>
      <c r="G76" s="733"/>
      <c r="H76" s="733">
        <f t="shared" si="22"/>
        <v>20794.125</v>
      </c>
      <c r="I76" s="44">
        <f>G76-H76</f>
        <v>-20794.125</v>
      </c>
      <c r="J76" s="330">
        <f>IF(I76=0,"",I76/H76)</f>
        <v>-1</v>
      </c>
      <c r="K76" s="735">
        <f t="shared" si="23"/>
        <v>24952.949999999997</v>
      </c>
    </row>
    <row r="77" spans="1:11" ht="12.75" customHeight="1" x14ac:dyDescent="0.25">
      <c r="A77" s="518" t="s">
        <v>1050</v>
      </c>
      <c r="B77" s="169"/>
      <c r="C77" s="748"/>
      <c r="D77" s="745">
        <v>8166.4199999999992</v>
      </c>
      <c r="E77" s="733">
        <v>8166.4199999999992</v>
      </c>
      <c r="F77" s="733"/>
      <c r="G77" s="733"/>
      <c r="H77" s="733">
        <f t="shared" si="22"/>
        <v>6805.3499999999995</v>
      </c>
      <c r="I77" s="44">
        <f>G77-H77</f>
        <v>-6805.3499999999995</v>
      </c>
      <c r="J77" s="330">
        <f>IF(I77=0,"",I77/H77)</f>
        <v>-1</v>
      </c>
      <c r="K77" s="735">
        <f t="shared" si="23"/>
        <v>8166.4199999999992</v>
      </c>
    </row>
    <row r="78" spans="1:11" ht="12.75" customHeight="1" x14ac:dyDescent="0.25">
      <c r="A78" s="518" t="s">
        <v>1051</v>
      </c>
      <c r="B78" s="169"/>
      <c r="C78" s="748"/>
      <c r="D78" s="745"/>
      <c r="E78" s="733"/>
      <c r="F78" s="733">
        <v>0</v>
      </c>
      <c r="G78" s="733">
        <v>0</v>
      </c>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62542.05</v>
      </c>
      <c r="G83" s="430">
        <f>SUM(G71:G82)</f>
        <v>633500.37</v>
      </c>
      <c r="H83" s="430">
        <f>SUM(H71:H82)</f>
        <v>587382.99112499983</v>
      </c>
      <c r="I83" s="430">
        <f t="shared" si="20"/>
        <v>46117.37887500017</v>
      </c>
      <c r="J83" s="431">
        <f>IF(I83=0,"",I83/H83)</f>
        <v>7.8513303197072004E-2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589102.63</v>
      </c>
      <c r="G87" s="733">
        <v>5307612.0999999996</v>
      </c>
      <c r="H87" s="733">
        <f t="shared" ref="H87:H93" si="25">E87/12*10</f>
        <v>5641322.9581791013</v>
      </c>
      <c r="I87" s="44">
        <f t="shared" ref="I87:I99" si="26">G87-H87</f>
        <v>-333710.85817910172</v>
      </c>
      <c r="J87" s="330">
        <f t="shared" ref="J87:J98" si="27">IF(I87=0,"",I87/H87)</f>
        <v>-5.9154716128292088E-2</v>
      </c>
      <c r="K87" s="735">
        <f t="shared" ref="K87:K95" si="28">E87</f>
        <v>6769587.5498149209</v>
      </c>
    </row>
    <row r="88" spans="1:11" ht="12.75" customHeight="1" x14ac:dyDescent="0.25">
      <c r="A88" s="518" t="s">
        <v>1048</v>
      </c>
      <c r="B88" s="169"/>
      <c r="C88" s="748"/>
      <c r="D88" s="745">
        <v>570880.67137872009</v>
      </c>
      <c r="E88" s="733">
        <v>570880.67137872009</v>
      </c>
      <c r="F88" s="733">
        <v>45438.400000000001</v>
      </c>
      <c r="G88" s="733">
        <v>364835.76</v>
      </c>
      <c r="H88" s="733">
        <f t="shared" si="25"/>
        <v>475733.89281560003</v>
      </c>
      <c r="I88" s="44">
        <f t="shared" si="26"/>
        <v>-110898.13281560002</v>
      </c>
      <c r="J88" s="330">
        <f t="shared" si="27"/>
        <v>-0.23310959023595451</v>
      </c>
      <c r="K88" s="735">
        <f t="shared" si="28"/>
        <v>570880.67137872009</v>
      </c>
    </row>
    <row r="89" spans="1:11" ht="12.75" customHeight="1" x14ac:dyDescent="0.25">
      <c r="A89" s="518" t="s">
        <v>427</v>
      </c>
      <c r="B89" s="169"/>
      <c r="C89" s="748"/>
      <c r="D89" s="745">
        <v>890013.09891456028</v>
      </c>
      <c r="E89" s="733">
        <v>890013.09891456028</v>
      </c>
      <c r="F89" s="733">
        <v>77518.960000000006</v>
      </c>
      <c r="G89" s="733">
        <v>661998.12</v>
      </c>
      <c r="H89" s="733">
        <f t="shared" si="25"/>
        <v>741677.58242880017</v>
      </c>
      <c r="I89" s="44">
        <f>G89-H89</f>
        <v>-79679.46242880018</v>
      </c>
      <c r="J89" s="330">
        <f>IF(I89=0,"",I89/H89)</f>
        <v>-0.10743140188742226</v>
      </c>
      <c r="K89" s="735">
        <f t="shared" si="28"/>
        <v>890013.09891456028</v>
      </c>
    </row>
    <row r="90" spans="1:11" ht="12.75" customHeight="1" x14ac:dyDescent="0.25">
      <c r="A90" s="518" t="s">
        <v>539</v>
      </c>
      <c r="B90" s="169"/>
      <c r="C90" s="748"/>
      <c r="D90" s="745">
        <v>1067347.5086988001</v>
      </c>
      <c r="E90" s="733">
        <v>1067347.5086988001</v>
      </c>
      <c r="F90" s="733">
        <v>8500</v>
      </c>
      <c r="G90" s="733">
        <v>82000</v>
      </c>
      <c r="H90" s="733">
        <f t="shared" si="25"/>
        <v>889456.25724900002</v>
      </c>
      <c r="I90" s="44">
        <f>G90-H90</f>
        <v>-807456.25724900002</v>
      </c>
      <c r="J90" s="330">
        <f>IF(I90=0,"",I90/H90)</f>
        <v>-0.90780884463771394</v>
      </c>
      <c r="K90" s="735">
        <f t="shared" si="28"/>
        <v>1067347.5086988001</v>
      </c>
    </row>
    <row r="91" spans="1:11" ht="12.75" customHeight="1" x14ac:dyDescent="0.25">
      <c r="A91" s="518" t="s">
        <v>429</v>
      </c>
      <c r="B91" s="169"/>
      <c r="C91" s="748"/>
      <c r="D91" s="745">
        <v>690873.07393068005</v>
      </c>
      <c r="E91" s="733">
        <v>690873.07393068005</v>
      </c>
      <c r="F91" s="733">
        <v>6100</v>
      </c>
      <c r="G91" s="733">
        <v>48600</v>
      </c>
      <c r="H91" s="733">
        <f t="shared" si="25"/>
        <v>575727.56160890008</v>
      </c>
      <c r="I91" s="44">
        <f>G91-H91</f>
        <v>-527127.56160890008</v>
      </c>
      <c r="J91" s="330">
        <f>IF(I91=0,"",I91/H91)</f>
        <v>-0.91558507314781867</v>
      </c>
      <c r="K91" s="735">
        <f t="shared" si="28"/>
        <v>690873.07393068005</v>
      </c>
    </row>
    <row r="92" spans="1:11" ht="12.75" customHeight="1" x14ac:dyDescent="0.25">
      <c r="A92" s="518" t="s">
        <v>1049</v>
      </c>
      <c r="B92" s="169"/>
      <c r="C92" s="748"/>
      <c r="D92" s="745">
        <v>195338.53416000001</v>
      </c>
      <c r="E92" s="733">
        <v>195338.53416000001</v>
      </c>
      <c r="F92" s="733"/>
      <c r="G92" s="733"/>
      <c r="H92" s="733">
        <f t="shared" si="25"/>
        <v>162782.11180000001</v>
      </c>
      <c r="I92" s="44">
        <f>G92-H92</f>
        <v>-162782.11180000001</v>
      </c>
      <c r="J92" s="330">
        <f>IF(I92=0,"",I92/H92)</f>
        <v>-1</v>
      </c>
      <c r="K92" s="735">
        <f t="shared" si="28"/>
        <v>195338.53416000001</v>
      </c>
    </row>
    <row r="93" spans="1:11" ht="12.75" customHeight="1" x14ac:dyDescent="0.25">
      <c r="A93" s="518" t="s">
        <v>1050</v>
      </c>
      <c r="B93" s="169"/>
      <c r="C93" s="748"/>
      <c r="D93" s="745">
        <v>92722.382124000011</v>
      </c>
      <c r="E93" s="733">
        <v>92722.382124000011</v>
      </c>
      <c r="F93" s="733">
        <v>42636.84</v>
      </c>
      <c r="G93" s="733">
        <v>703556.28</v>
      </c>
      <c r="H93" s="733">
        <f t="shared" si="25"/>
        <v>77268.651770000011</v>
      </c>
      <c r="I93" s="44">
        <f t="shared" si="26"/>
        <v>626287.62823000003</v>
      </c>
      <c r="J93" s="330">
        <f t="shared" si="27"/>
        <v>8.1053262077643726</v>
      </c>
      <c r="K93" s="735">
        <f t="shared" si="28"/>
        <v>92722.382124000011</v>
      </c>
    </row>
    <row r="94" spans="1:11" ht="12.75" customHeight="1" x14ac:dyDescent="0.25">
      <c r="A94" s="518" t="s">
        <v>1051</v>
      </c>
      <c r="B94" s="169"/>
      <c r="C94" s="748"/>
      <c r="D94" s="745"/>
      <c r="E94" s="733"/>
      <c r="F94" s="733">
        <v>0</v>
      </c>
      <c r="G94" s="733">
        <v>0</v>
      </c>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E95/12*10</f>
        <v>70818.674846600014</v>
      </c>
      <c r="I95" s="44">
        <f t="shared" si="26"/>
        <v>-70818.674846600014</v>
      </c>
      <c r="J95" s="330">
        <f t="shared" si="27"/>
        <v>-1</v>
      </c>
      <c r="K95" s="735">
        <f t="shared" si="28"/>
        <v>84982.409815920022</v>
      </c>
    </row>
    <row r="96" spans="1:11" ht="12.75" customHeight="1" x14ac:dyDescent="0.25">
      <c r="A96" s="518" t="s">
        <v>1053</v>
      </c>
      <c r="B96" s="169"/>
      <c r="C96" s="748"/>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769296.83</v>
      </c>
      <c r="G99" s="430">
        <f t="shared" si="29"/>
        <v>7168602.2599999998</v>
      </c>
      <c r="H99" s="430">
        <f t="shared" si="29"/>
        <v>8634787.6906980015</v>
      </c>
      <c r="I99" s="430">
        <f t="shared" si="26"/>
        <v>-1466185.4306980018</v>
      </c>
      <c r="J99" s="431">
        <f>IF(I99=0,"",I99/H99)</f>
        <v>-0.16979982406255101</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831838.88</v>
      </c>
      <c r="G102" s="430">
        <f t="shared" si="30"/>
        <v>7959980.9100000001</v>
      </c>
      <c r="H102" s="430">
        <f t="shared" si="30"/>
        <v>9222170.6818230022</v>
      </c>
      <c r="I102" s="430">
        <f>G102-H102</f>
        <v>-1262189.771823002</v>
      </c>
      <c r="J102" s="431">
        <f>IF(I102=0,"",I102/H102)</f>
        <v>-0.13686471605983086</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110383403.89000002</v>
      </c>
      <c r="G104" s="55">
        <f t="shared" si="31"/>
        <v>1172207795.4500008</v>
      </c>
      <c r="H104" s="55">
        <f t="shared" si="31"/>
        <v>1245762066.2878754</v>
      </c>
      <c r="I104" s="55">
        <f>G104-H104</f>
        <v>-73554270.837874651</v>
      </c>
      <c r="J104" s="332">
        <f>IF(I104=0,"",I104/H104)</f>
        <v>-5.9043594943496577E-2</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106352514.37000002</v>
      </c>
      <c r="G106" s="55">
        <f t="shared" si="32"/>
        <v>1128468649.6200006</v>
      </c>
      <c r="H106" s="55">
        <f t="shared" si="32"/>
        <v>1201053398.6916423</v>
      </c>
      <c r="I106" s="55">
        <f t="shared" si="32"/>
        <v>-72584749.071641564</v>
      </c>
      <c r="J106" s="888">
        <f>IF(I106=0,"",I106/H106)</f>
        <v>-6.0434239768782275E-2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17" activePane="bottomRight" state="frozen"/>
      <selection pane="topRight"/>
      <selection pane="bottomLeft"/>
      <selection pane="bottomRight" activeCell="O63" sqref="O63"/>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M10 April</v>
      </c>
      <c r="B1" s="68"/>
    </row>
    <row r="2" spans="1:17" ht="25.5" customHeight="1" x14ac:dyDescent="0.25">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5">
      <c r="A3" s="1046"/>
      <c r="B3" s="1049"/>
      <c r="C3" s="143" t="s">
        <v>782</v>
      </c>
      <c r="D3" s="27" t="s">
        <v>905</v>
      </c>
      <c r="E3" s="27" t="s">
        <v>3</v>
      </c>
      <c r="F3" s="27" t="s">
        <v>906</v>
      </c>
      <c r="G3" s="27" t="s">
        <v>4</v>
      </c>
      <c r="H3" s="27" t="s">
        <v>5</v>
      </c>
      <c r="I3" s="27" t="s">
        <v>909</v>
      </c>
      <c r="J3" s="27" t="s">
        <v>6</v>
      </c>
      <c r="K3" s="27" t="s">
        <v>911</v>
      </c>
      <c r="L3" s="27" t="s">
        <v>912</v>
      </c>
      <c r="M3" s="27" t="s">
        <v>913</v>
      </c>
      <c r="N3" s="163" t="s">
        <v>914</v>
      </c>
      <c r="O3" s="1090" t="str">
        <f>Head9</f>
        <v>Budget Year 2020/21</v>
      </c>
      <c r="P3" s="1086" t="str">
        <f>Head10</f>
        <v>Budget Year +1 2021/22</v>
      </c>
      <c r="Q3" s="1088"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1"/>
      <c r="P4" s="1087"/>
      <c r="Q4" s="1089"/>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M39" sqref="M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"&amp;S71P&amp; " - "&amp;Head57</f>
        <v>KZN225 Msunduzi - Supporting Table SC10 Monthly Budget Statement  - Parent Municipality Financial Performance (revenue and expenditure)  - M10 April</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101128343.08</v>
      </c>
      <c r="G6" s="733">
        <v>1014170013.34</v>
      </c>
      <c r="H6" s="733">
        <f>E6/12*10</f>
        <v>1058162161.6848332</v>
      </c>
      <c r="I6" s="44">
        <f t="shared" ref="I6:I21" si="0">G6-H6</f>
        <v>-43992148.344833136</v>
      </c>
      <c r="J6" s="330">
        <f>IF(I6=0,"",I6/H6)</f>
        <v>-4.1574108334007806E-2</v>
      </c>
      <c r="K6" s="735">
        <f>E6</f>
        <v>1269794594.0217998</v>
      </c>
    </row>
    <row r="7" spans="1:11" ht="12.75" customHeight="1" x14ac:dyDescent="0.25">
      <c r="A7" s="39" t="str">
        <f>'C4-FinPerf RE'!A7</f>
        <v>Service charges - electricity revenue</v>
      </c>
      <c r="B7" s="169"/>
      <c r="C7" s="748"/>
      <c r="D7" s="745">
        <v>2584775677.1378117</v>
      </c>
      <c r="E7" s="733">
        <v>2584775677.1378117</v>
      </c>
      <c r="F7" s="733">
        <v>205203938.06999999</v>
      </c>
      <c r="G7" s="733">
        <v>1925465449.3900001</v>
      </c>
      <c r="H7" s="733">
        <f t="shared" ref="H7:H9" si="1">E7/12*10</f>
        <v>2153979730.9481764</v>
      </c>
      <c r="I7" s="44">
        <f t="shared" si="0"/>
        <v>-228514281.55817628</v>
      </c>
      <c r="J7" s="330">
        <f t="shared" ref="J7:J22" si="2">IF(I7=0,"",I7/H7)</f>
        <v>-0.10608933699556443</v>
      </c>
      <c r="K7" s="735">
        <f>E7</f>
        <v>2584775677.1378117</v>
      </c>
    </row>
    <row r="8" spans="1:11" ht="12.75" customHeight="1" x14ac:dyDescent="0.25">
      <c r="A8" s="86" t="str">
        <f>'C4-FinPerf RE'!A8</f>
        <v>Service charges - water revenue</v>
      </c>
      <c r="B8" s="171"/>
      <c r="C8" s="748"/>
      <c r="D8" s="745">
        <v>722633094.82360029</v>
      </c>
      <c r="E8" s="733">
        <v>722633094.82360029</v>
      </c>
      <c r="F8" s="733">
        <v>65621751.009999998</v>
      </c>
      <c r="G8" s="733">
        <v>643605349.88999999</v>
      </c>
      <c r="H8" s="733">
        <f t="shared" si="1"/>
        <v>602194245.68633354</v>
      </c>
      <c r="I8" s="44">
        <f t="shared" si="0"/>
        <v>41411104.203666449</v>
      </c>
      <c r="J8" s="330">
        <f t="shared" si="2"/>
        <v>6.8767020774948354E-2</v>
      </c>
      <c r="K8" s="735">
        <f>E8</f>
        <v>722633094.82360029</v>
      </c>
    </row>
    <row r="9" spans="1:11" ht="12.75" customHeight="1" x14ac:dyDescent="0.25">
      <c r="A9" s="86" t="str">
        <f>'C4-FinPerf RE'!A9</f>
        <v>Service charges - sanitation revenue</v>
      </c>
      <c r="B9" s="171"/>
      <c r="C9" s="748"/>
      <c r="D9" s="745">
        <v>152021749.3608</v>
      </c>
      <c r="E9" s="733">
        <v>152021749.3608</v>
      </c>
      <c r="F9" s="733">
        <v>12081509.279999999</v>
      </c>
      <c r="G9" s="733">
        <v>130252024.75</v>
      </c>
      <c r="H9" s="733">
        <f t="shared" si="1"/>
        <v>126684791.13399999</v>
      </c>
      <c r="I9" s="44">
        <f t="shared" si="0"/>
        <v>3567233.6160000116</v>
      </c>
      <c r="J9" s="330">
        <f t="shared" si="2"/>
        <v>2.8158341534673993E-2</v>
      </c>
      <c r="K9" s="735">
        <f>E9</f>
        <v>152021749.3608</v>
      </c>
    </row>
    <row r="10" spans="1:11" ht="12.75" customHeight="1" x14ac:dyDescent="0.25">
      <c r="A10" s="86" t="str">
        <f>'C4-FinPerf RE'!A10</f>
        <v>Service charges - refuse revenue</v>
      </c>
      <c r="B10" s="171"/>
      <c r="C10" s="748"/>
      <c r="D10" s="745">
        <v>116333080.9707</v>
      </c>
      <c r="E10" s="733">
        <v>116333080.9707</v>
      </c>
      <c r="F10" s="733">
        <v>8542125.1199999992</v>
      </c>
      <c r="G10" s="733">
        <v>88745885.060000002</v>
      </c>
      <c r="H10" s="733">
        <f>E10/12*10</f>
        <v>96944234.142249987</v>
      </c>
      <c r="I10" s="44">
        <f t="shared" si="0"/>
        <v>-8198349.0822499841</v>
      </c>
      <c r="J10" s="330">
        <f t="shared" si="2"/>
        <v>-8.4567681149765261E-2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1505415.18</v>
      </c>
      <c r="G12" s="733">
        <v>10475291.890000001</v>
      </c>
      <c r="H12" s="733">
        <f t="shared" ref="H12:H14" si="3">E12/12*10</f>
        <v>24232331.355833329</v>
      </c>
      <c r="I12" s="44">
        <f t="shared" si="0"/>
        <v>-13757039.465833329</v>
      </c>
      <c r="J12" s="330">
        <f t="shared" si="2"/>
        <v>-0.56771423532559384</v>
      </c>
      <c r="K12" s="735">
        <f>E12</f>
        <v>29078797.626999993</v>
      </c>
    </row>
    <row r="13" spans="1:11" ht="12.75" customHeight="1" x14ac:dyDescent="0.25">
      <c r="A13" s="86" t="str">
        <f>'C4-FinPerf RE'!A13</f>
        <v>Interest earned - external investments</v>
      </c>
      <c r="B13" s="171"/>
      <c r="C13" s="748"/>
      <c r="D13" s="745">
        <v>15260422.42725</v>
      </c>
      <c r="E13" s="733">
        <v>15260422.42725</v>
      </c>
      <c r="F13" s="733">
        <v>613655.92000000004</v>
      </c>
      <c r="G13" s="733">
        <v>6047302.9300000006</v>
      </c>
      <c r="H13" s="733">
        <f t="shared" si="3"/>
        <v>12717018.689375</v>
      </c>
      <c r="I13" s="44">
        <f t="shared" si="0"/>
        <v>-6669715.7593749994</v>
      </c>
      <c r="J13" s="330">
        <f t="shared" si="2"/>
        <v>-0.52447164876367691</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16411097.960000001</v>
      </c>
      <c r="G14" s="733">
        <v>158092619.59999999</v>
      </c>
      <c r="H14" s="733">
        <f t="shared" si="3"/>
        <v>168714828.23799998</v>
      </c>
      <c r="I14" s="44">
        <f t="shared" si="0"/>
        <v>-10622208.637999982</v>
      </c>
      <c r="J14" s="330">
        <f t="shared" si="2"/>
        <v>-6.2959543917595742E-2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33740.44</v>
      </c>
      <c r="G16" s="733">
        <v>513339.11</v>
      </c>
      <c r="H16" s="733">
        <f t="shared" ref="H16:H20" si="4">E16/12*10</f>
        <v>1498792.8697500001</v>
      </c>
      <c r="I16" s="44">
        <f t="shared" si="0"/>
        <v>-985453.75975000008</v>
      </c>
      <c r="J16" s="330">
        <f t="shared" si="2"/>
        <v>-0.65749829722260067</v>
      </c>
      <c r="K16" s="735">
        <f t="shared" ref="K16:K20" si="5">E16</f>
        <v>1798551.4436999999</v>
      </c>
    </row>
    <row r="17" spans="1:11" ht="12.75" customHeight="1" x14ac:dyDescent="0.25">
      <c r="A17" s="86" t="str">
        <f>'C4-FinPerf RE'!A17</f>
        <v>Licences and permits</v>
      </c>
      <c r="B17" s="171"/>
      <c r="C17" s="748"/>
      <c r="D17" s="745">
        <v>1119569.0055</v>
      </c>
      <c r="E17" s="733">
        <v>1119569.0055</v>
      </c>
      <c r="F17" s="733">
        <v>24877.18</v>
      </c>
      <c r="G17" s="733">
        <v>481510.98</v>
      </c>
      <c r="H17" s="733">
        <f t="shared" si="4"/>
        <v>932974.1712499999</v>
      </c>
      <c r="I17" s="44">
        <f t="shared" si="0"/>
        <v>-451463.19124999992</v>
      </c>
      <c r="J17" s="330">
        <f t="shared" si="2"/>
        <v>-0.48389677352496158</v>
      </c>
      <c r="K17" s="735">
        <f t="shared" si="5"/>
        <v>1119569.0055</v>
      </c>
    </row>
    <row r="18" spans="1:11" ht="12.75" customHeight="1" x14ac:dyDescent="0.25">
      <c r="A18" s="86" t="str">
        <f>'C4-FinPerf RE'!A18</f>
        <v>Agency services</v>
      </c>
      <c r="B18" s="171"/>
      <c r="C18" s="748"/>
      <c r="D18" s="745">
        <v>601902.02599999995</v>
      </c>
      <c r="E18" s="733">
        <v>601902.02599999995</v>
      </c>
      <c r="F18" s="733"/>
      <c r="G18" s="733">
        <v>1397800</v>
      </c>
      <c r="H18" s="733">
        <f t="shared" si="4"/>
        <v>501585.02166666667</v>
      </c>
      <c r="I18" s="44">
        <f t="shared" si="0"/>
        <v>896214.97833333327</v>
      </c>
      <c r="J18" s="330">
        <f t="shared" si="2"/>
        <v>1.7867658315541206</v>
      </c>
      <c r="K18" s="735">
        <f t="shared" si="5"/>
        <v>601902.02599999995</v>
      </c>
    </row>
    <row r="19" spans="1:11" ht="12.75" customHeight="1" x14ac:dyDescent="0.25">
      <c r="A19" s="86" t="str">
        <f>'C4-FinPerf RE'!A19</f>
        <v>Transfers and subsidies</v>
      </c>
      <c r="B19" s="171"/>
      <c r="C19" s="748"/>
      <c r="D19" s="745">
        <v>675483240</v>
      </c>
      <c r="E19" s="733">
        <v>764481240</v>
      </c>
      <c r="F19" s="733">
        <v>5578119.4400000004</v>
      </c>
      <c r="G19" s="733">
        <v>739842505.64999998</v>
      </c>
      <c r="H19" s="733">
        <f t="shared" si="4"/>
        <v>637067700</v>
      </c>
      <c r="I19" s="44">
        <f t="shared" si="0"/>
        <v>102774805.64999998</v>
      </c>
      <c r="J19" s="330">
        <f t="shared" si="2"/>
        <v>0.16132477859103511</v>
      </c>
      <c r="K19" s="735">
        <f t="shared" si="5"/>
        <v>764481240</v>
      </c>
    </row>
    <row r="20" spans="1:11" ht="12.75" customHeight="1" x14ac:dyDescent="0.25">
      <c r="A20" s="86" t="str">
        <f>'C4-FinPerf RE'!A20</f>
        <v>Other revenue</v>
      </c>
      <c r="B20" s="171"/>
      <c r="C20" s="748"/>
      <c r="D20" s="745">
        <v>146451785.14229998</v>
      </c>
      <c r="E20" s="733">
        <v>146451785.14229998</v>
      </c>
      <c r="F20" s="733">
        <v>3425226.07</v>
      </c>
      <c r="G20" s="733">
        <v>63268722.229999997</v>
      </c>
      <c r="H20" s="733">
        <f t="shared" si="4"/>
        <v>122043154.28524999</v>
      </c>
      <c r="I20" s="44">
        <f t="shared" si="0"/>
        <v>-58774432.055249996</v>
      </c>
      <c r="J20" s="330">
        <f t="shared" si="2"/>
        <v>-0.48158729098296843</v>
      </c>
      <c r="K20" s="735">
        <f t="shared" si="5"/>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6">SUM(C6:C10)+SUM(C12:C21)</f>
        <v>0</v>
      </c>
      <c r="D22" s="74">
        <f t="shared" si="6"/>
        <v>5917810257.8720617</v>
      </c>
      <c r="E22" s="73">
        <f t="shared" si="6"/>
        <v>6006808257.8720617</v>
      </c>
      <c r="F22" s="73">
        <f t="shared" si="6"/>
        <v>420169798.74999994</v>
      </c>
      <c r="G22" s="73">
        <f t="shared" si="6"/>
        <v>4782357814.8199997</v>
      </c>
      <c r="H22" s="73">
        <f t="shared" si="6"/>
        <v>5005673548.2267179</v>
      </c>
      <c r="I22" s="73">
        <f>G22-H22</f>
        <v>-223315733.40671825</v>
      </c>
      <c r="J22" s="331">
        <f t="shared" si="2"/>
        <v>-4.4612524419581627E-2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106352514.37000006</v>
      </c>
      <c r="G25" s="733">
        <v>1128626527.9000022</v>
      </c>
      <c r="H25" s="733">
        <f t="shared" ref="H25:H34" si="7">E25/12*10</f>
        <v>1231936920.2079237</v>
      </c>
      <c r="I25" s="44">
        <f t="shared" ref="I25:I44" si="8">G25-H25</f>
        <v>-103310392.30792141</v>
      </c>
      <c r="J25" s="330">
        <f t="shared" ref="J25:J44" si="9">IF(I25=0,"",I25/H25)</f>
        <v>-8.3860131645770386E-2</v>
      </c>
      <c r="K25" s="735">
        <f t="shared" ref="K25:K34" si="10">E25</f>
        <v>1478324304.2495084</v>
      </c>
    </row>
    <row r="26" spans="1:11" ht="12.75" customHeight="1" x14ac:dyDescent="0.25">
      <c r="A26" s="39" t="str">
        <f>'C4-FinPerf RE'!A26</f>
        <v>Remuneration of councillors</v>
      </c>
      <c r="B26" s="169"/>
      <c r="C26" s="748"/>
      <c r="D26" s="745">
        <v>53650401.115479976</v>
      </c>
      <c r="E26" s="733">
        <v>53650401.439999998</v>
      </c>
      <c r="F26" s="733">
        <v>4030889.5199999996</v>
      </c>
      <c r="G26" s="733">
        <v>43581267.550000004</v>
      </c>
      <c r="H26" s="733">
        <f t="shared" si="7"/>
        <v>44708667.86666666</v>
      </c>
      <c r="I26" s="44">
        <f t="shared" si="8"/>
        <v>-1127400.3166666552</v>
      </c>
      <c r="J26" s="330">
        <f t="shared" si="9"/>
        <v>-2.5216593794046109E-2</v>
      </c>
      <c r="K26" s="735">
        <f t="shared" si="10"/>
        <v>53650401.439999998</v>
      </c>
    </row>
    <row r="27" spans="1:11" ht="12.75" customHeight="1" x14ac:dyDescent="0.25">
      <c r="A27" s="39" t="str">
        <f>'C4-FinPerf RE'!A27</f>
        <v>Debt impairment</v>
      </c>
      <c r="B27" s="171"/>
      <c r="C27" s="748"/>
      <c r="D27" s="745">
        <v>123904143.27200001</v>
      </c>
      <c r="E27" s="733">
        <v>123904143.27200001</v>
      </c>
      <c r="F27" s="733">
        <v>7286332.6600000001</v>
      </c>
      <c r="G27" s="733">
        <v>89340840.659999996</v>
      </c>
      <c r="H27" s="733">
        <f t="shared" si="7"/>
        <v>103253452.72666669</v>
      </c>
      <c r="I27" s="44">
        <f t="shared" si="8"/>
        <v>-13912612.066666692</v>
      </c>
      <c r="J27" s="330">
        <f t="shared" si="9"/>
        <v>-0.13474234225848372</v>
      </c>
      <c r="K27" s="735">
        <f t="shared" si="10"/>
        <v>123904143.27200001</v>
      </c>
    </row>
    <row r="28" spans="1:11" ht="12.75" customHeight="1" x14ac:dyDescent="0.25">
      <c r="A28" s="39" t="str">
        <f>'C4-FinPerf RE'!A28</f>
        <v>Depreciation &amp; asset impairment</v>
      </c>
      <c r="B28" s="171"/>
      <c r="C28" s="748"/>
      <c r="D28" s="745">
        <v>488991448.27473986</v>
      </c>
      <c r="E28" s="733">
        <v>482441448.55050021</v>
      </c>
      <c r="F28" s="733">
        <v>34862679.900000036</v>
      </c>
      <c r="G28" s="733">
        <v>352139978.80000025</v>
      </c>
      <c r="H28" s="733">
        <f t="shared" si="7"/>
        <v>402034540.45875019</v>
      </c>
      <c r="I28" s="44">
        <f t="shared" si="8"/>
        <v>-49894561.658749938</v>
      </c>
      <c r="J28" s="330">
        <f t="shared" si="9"/>
        <v>-0.12410516171525131</v>
      </c>
      <c r="K28" s="735">
        <f t="shared" si="10"/>
        <v>482441448.55050021</v>
      </c>
    </row>
    <row r="29" spans="1:11" ht="12.75" customHeight="1" x14ac:dyDescent="0.25">
      <c r="A29" s="39" t="str">
        <f>'C4-FinPerf RE'!A29</f>
        <v>Finance charges</v>
      </c>
      <c r="B29" s="171"/>
      <c r="C29" s="748"/>
      <c r="D29" s="745">
        <v>31793212.220000003</v>
      </c>
      <c r="E29" s="733">
        <v>36505334.219999969</v>
      </c>
      <c r="F29" s="733">
        <v>5032924.79</v>
      </c>
      <c r="G29" s="733">
        <v>32882197.800000001</v>
      </c>
      <c r="H29" s="733">
        <f t="shared" si="7"/>
        <v>30421111.849999972</v>
      </c>
      <c r="I29" s="44">
        <f t="shared" si="8"/>
        <v>2461085.9500000291</v>
      </c>
      <c r="J29" s="330">
        <f t="shared" si="9"/>
        <v>8.0900591738234953E-2</v>
      </c>
      <c r="K29" s="735">
        <f t="shared" si="10"/>
        <v>36505334.219999969</v>
      </c>
    </row>
    <row r="30" spans="1:11" ht="12.75" customHeight="1" x14ac:dyDescent="0.25">
      <c r="A30" s="39" t="str">
        <f>'C4-FinPerf RE'!A30</f>
        <v>Bulk purchases</v>
      </c>
      <c r="B30" s="171"/>
      <c r="C30" s="748"/>
      <c r="D30" s="745">
        <v>2608224084.5041752</v>
      </c>
      <c r="E30" s="733">
        <v>2608224084.5041752</v>
      </c>
      <c r="F30" s="733">
        <v>207259493.37</v>
      </c>
      <c r="G30" s="733">
        <v>2168886036.3000002</v>
      </c>
      <c r="H30" s="733">
        <f t="shared" si="7"/>
        <v>2173520070.420146</v>
      </c>
      <c r="I30" s="44">
        <f t="shared" si="8"/>
        <v>-4634034.1201457977</v>
      </c>
      <c r="J30" s="330">
        <f t="shared" si="9"/>
        <v>-2.1320410992340315E-3</v>
      </c>
      <c r="K30" s="735">
        <f t="shared" si="10"/>
        <v>2608224084.5041752</v>
      </c>
    </row>
    <row r="31" spans="1:11" ht="12.75" customHeight="1" x14ac:dyDescent="0.25">
      <c r="A31" s="39" t="str">
        <f>'C4-FinPerf RE'!A31</f>
        <v>Other materials</v>
      </c>
      <c r="B31" s="171"/>
      <c r="C31" s="748"/>
      <c r="D31" s="745">
        <v>46574816.042614385</v>
      </c>
      <c r="E31" s="733">
        <v>63710306.143800952</v>
      </c>
      <c r="F31" s="733">
        <v>14002363.130000001</v>
      </c>
      <c r="G31" s="733">
        <v>42709846.310000002</v>
      </c>
      <c r="H31" s="733">
        <f t="shared" si="7"/>
        <v>53091921.786500797</v>
      </c>
      <c r="I31" s="44">
        <f t="shared" si="8"/>
        <v>-10382075.476500794</v>
      </c>
      <c r="J31" s="330">
        <f t="shared" si="9"/>
        <v>-0.19554906146080683</v>
      </c>
      <c r="K31" s="735">
        <f t="shared" si="10"/>
        <v>63710306.143800952</v>
      </c>
    </row>
    <row r="32" spans="1:11" ht="12.75" customHeight="1" x14ac:dyDescent="0.25">
      <c r="A32" s="39" t="str">
        <f>'C4-FinPerf RE'!A32</f>
        <v>Contracted services</v>
      </c>
      <c r="B32" s="171"/>
      <c r="C32" s="748"/>
      <c r="D32" s="745">
        <v>463787100.72254992</v>
      </c>
      <c r="E32" s="733">
        <v>491460211.0508498</v>
      </c>
      <c r="F32" s="733">
        <v>43894081.080000028</v>
      </c>
      <c r="G32" s="733">
        <v>403098850.11999977</v>
      </c>
      <c r="H32" s="733">
        <f t="shared" si="7"/>
        <v>409550175.87570816</v>
      </c>
      <c r="I32" s="44">
        <f t="shared" si="8"/>
        <v>-6451325.7557083964</v>
      </c>
      <c r="J32" s="330">
        <f t="shared" si="9"/>
        <v>-1.5752223135819796E-2</v>
      </c>
      <c r="K32" s="735">
        <f t="shared" si="10"/>
        <v>491460211.0508498</v>
      </c>
    </row>
    <row r="33" spans="1:11" ht="12.75" customHeight="1" x14ac:dyDescent="0.25">
      <c r="A33" s="39" t="str">
        <f>'C4-FinPerf RE'!A33</f>
        <v>Transfers and subsidies</v>
      </c>
      <c r="B33" s="171"/>
      <c r="C33" s="748"/>
      <c r="D33" s="745">
        <v>25080461.44304001</v>
      </c>
      <c r="E33" s="733">
        <v>58680462</v>
      </c>
      <c r="F33" s="733">
        <v>5601167.7299999995</v>
      </c>
      <c r="G33" s="733">
        <v>39713085</v>
      </c>
      <c r="H33" s="733">
        <f t="shared" si="7"/>
        <v>48900385</v>
      </c>
      <c r="I33" s="44">
        <f t="shared" si="8"/>
        <v>-9187300</v>
      </c>
      <c r="J33" s="330">
        <f t="shared" si="9"/>
        <v>-0.18787786640125634</v>
      </c>
      <c r="K33" s="735">
        <f t="shared" si="10"/>
        <v>58680462</v>
      </c>
    </row>
    <row r="34" spans="1:11" ht="12.75" customHeight="1" x14ac:dyDescent="0.25">
      <c r="A34" s="39" t="str">
        <f>'C4-FinPerf RE'!A34</f>
        <v>Other expenditure</v>
      </c>
      <c r="B34" s="171"/>
      <c r="C34" s="748"/>
      <c r="D34" s="745">
        <v>192585810.36394995</v>
      </c>
      <c r="E34" s="733">
        <v>166189163.49623623</v>
      </c>
      <c r="F34" s="733">
        <v>24283875.730000053</v>
      </c>
      <c r="G34" s="733">
        <v>135592298.44999999</v>
      </c>
      <c r="H34" s="733">
        <f t="shared" si="7"/>
        <v>138490969.58019686</v>
      </c>
      <c r="I34" s="44">
        <f t="shared" si="8"/>
        <v>-2898671.1301968694</v>
      </c>
      <c r="J34" s="330">
        <f t="shared" si="9"/>
        <v>-2.0930398126199248E-2</v>
      </c>
      <c r="K34" s="735">
        <f t="shared" si="10"/>
        <v>166189163.49623623</v>
      </c>
    </row>
    <row r="35" spans="1:11" ht="12.75" customHeight="1" x14ac:dyDescent="0.25">
      <c r="A35" s="39" t="str">
        <f>'C4-FinPerf RE'!A35</f>
        <v>Losses</v>
      </c>
      <c r="B35" s="169"/>
      <c r="C35" s="748"/>
      <c r="D35" s="745">
        <v>0</v>
      </c>
      <c r="E35" s="733"/>
      <c r="F35" s="733"/>
      <c r="G35" s="733"/>
      <c r="H35" s="733"/>
      <c r="I35" s="44">
        <f t="shared" si="8"/>
        <v>0</v>
      </c>
      <c r="J35" s="330" t="str">
        <f t="shared" si="9"/>
        <v/>
      </c>
      <c r="K35" s="735"/>
    </row>
    <row r="36" spans="1:11" ht="12.75" customHeight="1" x14ac:dyDescent="0.25">
      <c r="A36" s="350" t="s">
        <v>488</v>
      </c>
      <c r="B36" s="569"/>
      <c r="C36" s="243">
        <f t="shared" ref="C36:H36" si="11">SUM(C25:C35)</f>
        <v>0</v>
      </c>
      <c r="D36" s="74">
        <f t="shared" si="11"/>
        <v>5501964562.0327282</v>
      </c>
      <c r="E36" s="73">
        <f t="shared" si="11"/>
        <v>5563089858.9270697</v>
      </c>
      <c r="F36" s="73">
        <f t="shared" si="11"/>
        <v>452606322.28000027</v>
      </c>
      <c r="G36" s="73">
        <f t="shared" si="11"/>
        <v>4436570928.8900023</v>
      </c>
      <c r="H36" s="73">
        <f t="shared" si="11"/>
        <v>4635908215.7725601</v>
      </c>
      <c r="I36" s="73">
        <f t="shared" si="8"/>
        <v>-199337286.88255787</v>
      </c>
      <c r="J36" s="331">
        <f t="shared" si="9"/>
        <v>-4.2998540437957943E-2</v>
      </c>
      <c r="K36" s="145">
        <f>SUM(K25:K35)</f>
        <v>5563089858.9270697</v>
      </c>
    </row>
    <row r="37" spans="1:11" ht="5.0999999999999996" customHeight="1" x14ac:dyDescent="0.25">
      <c r="A37" s="42"/>
      <c r="B37" s="169"/>
      <c r="C37" s="134"/>
      <c r="D37" s="46"/>
      <c r="E37" s="44"/>
      <c r="F37" s="44"/>
      <c r="G37" s="44"/>
      <c r="H37" s="44"/>
      <c r="I37" s="44">
        <f t="shared" si="8"/>
        <v>0</v>
      </c>
      <c r="J37" s="330"/>
      <c r="K37" s="144"/>
    </row>
    <row r="38" spans="1:11" ht="12.75" customHeight="1" x14ac:dyDescent="0.25">
      <c r="A38" s="87" t="str">
        <f>'C4-FinPerf RE'!A38</f>
        <v>Surplus/(Deficit)</v>
      </c>
      <c r="B38" s="169"/>
      <c r="C38" s="134">
        <f t="shared" ref="C38:H38" si="12">C22-C36</f>
        <v>0</v>
      </c>
      <c r="D38" s="46">
        <f t="shared" si="12"/>
        <v>415845695.83933353</v>
      </c>
      <c r="E38" s="44">
        <f t="shared" si="12"/>
        <v>443718398.94499207</v>
      </c>
      <c r="F38" s="44">
        <f t="shared" si="12"/>
        <v>-32436523.530000329</v>
      </c>
      <c r="G38" s="44">
        <f t="shared" si="12"/>
        <v>345786885.92999744</v>
      </c>
      <c r="H38" s="44">
        <f t="shared" si="12"/>
        <v>369765332.45415783</v>
      </c>
      <c r="I38" s="44">
        <f t="shared" si="8"/>
        <v>-23978446.524160385</v>
      </c>
      <c r="J38" s="330">
        <f t="shared" si="9"/>
        <v>-6.4847741038928111E-2</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69041469.200000003</v>
      </c>
      <c r="G39" s="733">
        <v>376578342.24000001</v>
      </c>
      <c r="H39" s="733">
        <f>E39/12*10</f>
        <v>438242984.16666651</v>
      </c>
      <c r="I39" s="44">
        <f t="shared" si="8"/>
        <v>-61664641.926666498</v>
      </c>
      <c r="J39" s="330">
        <f t="shared" si="9"/>
        <v>-0.14070879433226718</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8"/>
        <v>0</v>
      </c>
      <c r="J40" s="330" t="str">
        <f t="shared" si="9"/>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8"/>
        <v>0</v>
      </c>
      <c r="J41" s="330" t="str">
        <f t="shared" si="9"/>
        <v/>
      </c>
      <c r="K41" s="735"/>
    </row>
    <row r="42" spans="1:11" ht="25.5" x14ac:dyDescent="0.25">
      <c r="A42" s="570" t="str">
        <f>'C4-FinPerf RE'!A42</f>
        <v>Surplus/(Deficit) after capital transfers &amp; contributions</v>
      </c>
      <c r="B42" s="309"/>
      <c r="C42" s="571">
        <f>C38+SUM(C39:C41)</f>
        <v>0</v>
      </c>
      <c r="D42" s="572">
        <f t="shared" ref="D42:K42" si="13">D38+SUM(D39:D41)</f>
        <v>941737276.8393333</v>
      </c>
      <c r="E42" s="514">
        <f t="shared" si="13"/>
        <v>969609979.94499183</v>
      </c>
      <c r="F42" s="514">
        <f t="shared" si="13"/>
        <v>36604945.669999674</v>
      </c>
      <c r="G42" s="514">
        <f t="shared" si="13"/>
        <v>722365228.16999745</v>
      </c>
      <c r="H42" s="514">
        <f t="shared" si="13"/>
        <v>808008316.62082434</v>
      </c>
      <c r="I42" s="514">
        <f t="shared" si="8"/>
        <v>-85643088.450826883</v>
      </c>
      <c r="J42" s="515">
        <f t="shared" si="9"/>
        <v>-0.10599283038198824</v>
      </c>
      <c r="K42" s="573">
        <f t="shared" si="13"/>
        <v>969609979.94499183</v>
      </c>
    </row>
    <row r="43" spans="1:11" ht="12.75" customHeight="1" x14ac:dyDescent="0.25">
      <c r="A43" s="111" t="str">
        <f>'C4-FinPerf RE'!A43</f>
        <v>Taxation</v>
      </c>
      <c r="B43" s="169"/>
      <c r="C43" s="748"/>
      <c r="D43" s="745"/>
      <c r="E43" s="733"/>
      <c r="F43" s="733"/>
      <c r="G43" s="733"/>
      <c r="H43" s="733"/>
      <c r="I43" s="44">
        <f t="shared" si="8"/>
        <v>0</v>
      </c>
      <c r="J43" s="330" t="str">
        <f t="shared" si="9"/>
        <v/>
      </c>
      <c r="K43" s="735"/>
    </row>
    <row r="44" spans="1:11" ht="12.75" customHeight="1" x14ac:dyDescent="0.25">
      <c r="A44" s="53" t="str">
        <f>'C4-FinPerf RE'!A44</f>
        <v>Surplus/(Deficit) after taxation</v>
      </c>
      <c r="B44" s="236"/>
      <c r="C44" s="112">
        <f t="shared" ref="C44:H44" si="14">C42-C43</f>
        <v>0</v>
      </c>
      <c r="D44" s="56">
        <f t="shared" si="14"/>
        <v>941737276.8393333</v>
      </c>
      <c r="E44" s="55">
        <f t="shared" si="14"/>
        <v>969609979.94499183</v>
      </c>
      <c r="F44" s="55">
        <f t="shared" si="14"/>
        <v>36604945.669999674</v>
      </c>
      <c r="G44" s="55">
        <f t="shared" si="14"/>
        <v>722365228.16999745</v>
      </c>
      <c r="H44" s="55">
        <f t="shared" si="14"/>
        <v>808008316.62082434</v>
      </c>
      <c r="I44" s="55">
        <f t="shared" si="8"/>
        <v>-85643088.450826883</v>
      </c>
      <c r="J44" s="332">
        <f t="shared" si="9"/>
        <v>-0.10599283038198824</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"&amp;S71Q&amp; " - "&amp;Head57</f>
        <v>KZN225 Msunduzi - Supporting Table SC11 Monthly Budget Statement - summary of municipal entities - M10 April</v>
      </c>
      <c r="B1" s="1056"/>
      <c r="C1" s="1056"/>
      <c r="D1" s="1056"/>
      <c r="E1" s="1056"/>
      <c r="F1" s="1056"/>
      <c r="G1" s="1056"/>
      <c r="H1" s="1056"/>
      <c r="I1" s="1056"/>
      <c r="J1" s="1056"/>
      <c r="K1" s="1056"/>
    </row>
    <row r="2" spans="1:11" x14ac:dyDescent="0.25">
      <c r="A2" s="1045" t="str">
        <f>desc</f>
        <v>Description</v>
      </c>
      <c r="B2" s="1038" t="str">
        <f>head27</f>
        <v>Ref</v>
      </c>
      <c r="C2" s="158" t="str">
        <f>Head1</f>
        <v>2019/20</v>
      </c>
      <c r="D2" s="1040" t="str">
        <f>Head2</f>
        <v>Budget Year 2020/21</v>
      </c>
      <c r="E2" s="1041"/>
      <c r="F2" s="1041"/>
      <c r="G2" s="1041"/>
      <c r="H2" s="1041"/>
      <c r="I2" s="1041"/>
      <c r="J2" s="1041"/>
      <c r="K2" s="1042"/>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6" sqref="E6:E15"/>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6" t="str">
        <f>muni&amp; " - "&amp;S71R&amp; " - "&amp;Head57</f>
        <v>KZN225 Msunduzi - Supporting Table SC12 Consolidated Monthly Budget Statement - capital expenditure trend  - M10 April</v>
      </c>
      <c r="B1" s="1056"/>
      <c r="C1" s="1056"/>
      <c r="D1" s="1056"/>
      <c r="E1" s="1056"/>
      <c r="F1" s="1056"/>
      <c r="G1" s="1056"/>
      <c r="H1" s="1056"/>
      <c r="I1" s="1056"/>
      <c r="J1" s="1056"/>
    </row>
    <row r="2" spans="1:10" x14ac:dyDescent="0.25">
      <c r="A2" s="1045" t="s">
        <v>887</v>
      </c>
      <c r="B2" s="139" t="str">
        <f>Head1</f>
        <v>2019/20</v>
      </c>
      <c r="C2" s="1040" t="str">
        <f>Head2</f>
        <v>Budget Year 2020/21</v>
      </c>
      <c r="D2" s="1041"/>
      <c r="E2" s="1041"/>
      <c r="F2" s="1041"/>
      <c r="G2" s="1041"/>
      <c r="H2" s="1041"/>
      <c r="I2" s="1041"/>
      <c r="J2" s="1042"/>
    </row>
    <row r="3" spans="1:10" ht="38.25" x14ac:dyDescent="0.25">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30125543.949999999</v>
      </c>
      <c r="F14" s="408">
        <f t="shared" si="3"/>
        <v>315959671.13999999</v>
      </c>
      <c r="G14" s="408">
        <f t="shared" si="4"/>
        <v>435668685.75</v>
      </c>
      <c r="H14" s="44">
        <f t="shared" si="0"/>
        <v>119709014.61000001</v>
      </c>
      <c r="I14" s="124">
        <f t="shared" si="1"/>
        <v>0.27477075705801979</v>
      </c>
      <c r="J14" s="674">
        <f t="shared" si="2"/>
        <v>0.54392193220648521</v>
      </c>
    </row>
    <row r="15" spans="1:10" ht="12.75" customHeight="1" x14ac:dyDescent="0.25">
      <c r="A15" s="39" t="s">
        <v>912</v>
      </c>
      <c r="B15" s="748">
        <v>66093583.333333336</v>
      </c>
      <c r="C15" s="753">
        <v>48407631.75</v>
      </c>
      <c r="D15" s="733"/>
      <c r="E15" s="733">
        <v>69137296.340000004</v>
      </c>
      <c r="F15" s="408">
        <f t="shared" si="3"/>
        <v>385096967.48000002</v>
      </c>
      <c r="G15" s="408">
        <f t="shared" si="4"/>
        <v>484076317.5</v>
      </c>
      <c r="H15" s="44">
        <f t="shared" si="0"/>
        <v>98979350.019999981</v>
      </c>
      <c r="I15" s="124">
        <f t="shared" si="1"/>
        <v>0.20447054822094241</v>
      </c>
      <c r="J15" s="675">
        <f t="shared" si="2"/>
        <v>0.66294120981588134</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385096967.48000002</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6" t="s">
        <v>642</v>
      </c>
      <c r="B1" s="1007"/>
      <c r="C1" s="1007"/>
      <c r="D1" s="1008"/>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M10 April</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1" t="s">
        <v>751</v>
      </c>
      <c r="B72" s="1012"/>
      <c r="C72" s="1012"/>
      <c r="D72" s="1013"/>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9" t="s">
        <v>794</v>
      </c>
      <c r="B76" s="1010"/>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50" activePane="bottomRight" state="frozen"/>
      <selection pane="topRight"/>
      <selection pane="bottomLeft"/>
      <selection pane="bottomRight" sqref="A1:XFD104857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"&amp;S71Sa&amp; " - "&amp;Head57</f>
        <v>KZN225 Msunduzi - Supporting Table SC13a Consolidated Monthly Budget Statement - capital expenditure on new assets by asset class - M10 April</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3537110.0900000003</v>
      </c>
      <c r="G7" s="102">
        <f t="shared" si="0"/>
        <v>47731229.400000006</v>
      </c>
      <c r="H7" s="102">
        <f t="shared" si="0"/>
        <v>0</v>
      </c>
      <c r="I7" s="101">
        <f t="shared" ref="I7:I37" si="1">H7-G7</f>
        <v>-47731229.400000006</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0</v>
      </c>
      <c r="G8" s="608">
        <f t="shared" si="3"/>
        <v>0</v>
      </c>
      <c r="H8" s="608">
        <f t="shared" si="3"/>
        <v>0</v>
      </c>
      <c r="I8" s="258">
        <f t="shared" si="1"/>
        <v>0</v>
      </c>
      <c r="J8" s="575" t="str">
        <f t="shared" si="2"/>
        <v/>
      </c>
      <c r="K8" s="610">
        <f>SUM(K9:K12)</f>
        <v>0</v>
      </c>
    </row>
    <row r="9" spans="1:11" ht="12.75" customHeight="1" x14ac:dyDescent="0.25">
      <c r="A9" s="574" t="s">
        <v>168</v>
      </c>
      <c r="B9" s="169"/>
      <c r="C9" s="748"/>
      <c r="D9" s="745">
        <v>10845780.900911285</v>
      </c>
      <c r="E9" s="733"/>
      <c r="F9" s="733"/>
      <c r="G9" s="733"/>
      <c r="H9" s="733"/>
      <c r="I9" s="258">
        <f t="shared" si="1"/>
        <v>0</v>
      </c>
      <c r="J9" s="575" t="str">
        <f t="shared" si="2"/>
        <v/>
      </c>
      <c r="K9" s="735">
        <f>E9</f>
        <v>0</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3537110.0900000003</v>
      </c>
      <c r="G27" s="408">
        <f t="shared" si="6"/>
        <v>47731229.400000006</v>
      </c>
      <c r="H27" s="408">
        <f t="shared" si="6"/>
        <v>0</v>
      </c>
      <c r="I27" s="258">
        <f t="shared" si="1"/>
        <v>-47731229.400000006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3537110.0900000003</v>
      </c>
      <c r="G34" s="733">
        <v>47731229.400000006</v>
      </c>
      <c r="H34" s="733"/>
      <c r="I34" s="258">
        <f t="shared" si="1"/>
        <v>-47731229.400000006</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0</v>
      </c>
      <c r="H38" s="408">
        <f t="shared" si="7"/>
        <v>0</v>
      </c>
      <c r="I38" s="258">
        <f t="shared" ref="I38:I44" si="8">H38-G38</f>
        <v>0</v>
      </c>
      <c r="J38" s="575" t="str">
        <f t="shared" ref="J38:J44" si="9">IF(I38=0,"",I38/H38)</f>
        <v/>
      </c>
      <c r="K38" s="642">
        <f>SUM(K39:K44)</f>
        <v>0</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t="s">
        <v>1475</v>
      </c>
      <c r="F40" s="733"/>
      <c r="G40" s="733"/>
      <c r="H40" s="733"/>
      <c r="I40" s="258">
        <f>H40-G40</f>
        <v>0</v>
      </c>
      <c r="J40" s="575" t="str">
        <f>IF(I40=0,"",I40/H40)</f>
        <v/>
      </c>
      <c r="K40" s="735" t="str">
        <f>E40</f>
        <v xml:space="preserve"> </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589205.8400000002</v>
      </c>
      <c r="G75" s="578">
        <f t="shared" si="17"/>
        <v>10774608.120000001</v>
      </c>
      <c r="H75" s="578">
        <f t="shared" si="17"/>
        <v>2083333.3333333335</v>
      </c>
      <c r="I75" s="578">
        <f>H75-G75</f>
        <v>-8691274.7866666671</v>
      </c>
      <c r="J75" s="579">
        <f t="shared" si="16"/>
        <v>-4.1718118975999996</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589205.8400000002</v>
      </c>
      <c r="G76" s="408">
        <f>SUM(G77:G98)</f>
        <v>10774608.120000001</v>
      </c>
      <c r="H76" s="408">
        <f t="shared" si="18"/>
        <v>2083333.3333333335</v>
      </c>
      <c r="I76" s="258">
        <f t="shared" ref="I76:I87" si="19">H76-G76</f>
        <v>-8691274.7866666671</v>
      </c>
      <c r="J76" s="575">
        <f t="shared" ref="J76:J87" si="20">IF(I76=0,"",I76/H76)</f>
        <v>-4.1718118975999996</v>
      </c>
      <c r="K76" s="642">
        <f>SUM(K77:K98)</f>
        <v>2500000</v>
      </c>
    </row>
    <row r="77" spans="1:11" ht="12.75" customHeight="1" x14ac:dyDescent="0.25">
      <c r="A77" s="574" t="s">
        <v>1269</v>
      </c>
      <c r="B77" s="169"/>
      <c r="C77" s="748"/>
      <c r="D77" s="753">
        <v>37464350.795641594</v>
      </c>
      <c r="E77" s="748"/>
      <c r="F77" s="733">
        <v>384003.88</v>
      </c>
      <c r="G77" s="733">
        <v>3142952.8899999997</v>
      </c>
      <c r="H77" s="733"/>
      <c r="I77" s="44" t="e">
        <f>H77-#REF!</f>
        <v>#REF!</v>
      </c>
      <c r="J77" s="124" t="e">
        <f t="shared" si="20"/>
        <v>#REF!</v>
      </c>
      <c r="K77" s="735">
        <f>E77</f>
        <v>0</v>
      </c>
    </row>
    <row r="78" spans="1:11" ht="12.75" customHeight="1" x14ac:dyDescent="0.25">
      <c r="A78" s="574" t="s">
        <v>1270</v>
      </c>
      <c r="B78" s="169"/>
      <c r="C78" s="748"/>
      <c r="D78" s="753"/>
      <c r="E78" s="733"/>
      <c r="F78" s="733">
        <v>0.01</v>
      </c>
      <c r="G78" s="733">
        <v>5.8207660913467407E-11</v>
      </c>
      <c r="H78" s="733"/>
      <c r="I78" s="44">
        <f t="shared" si="19"/>
        <v>-5.8207660913467407E-11</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v>1303169.95</v>
      </c>
      <c r="H87" s="733"/>
      <c r="I87" s="44">
        <f t="shared" si="19"/>
        <v>-1303169.95</v>
      </c>
      <c r="J87" s="124" t="e">
        <f t="shared" si="20"/>
        <v>#DIV/0!</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v>205201.95000000019</v>
      </c>
      <c r="G93" s="733">
        <v>6328485.2800000003</v>
      </c>
      <c r="H93" s="733"/>
      <c r="I93" s="44">
        <f t="shared" si="21"/>
        <v>-6328485.2800000003</v>
      </c>
      <c r="J93" s="124" t="e">
        <f t="shared" si="22"/>
        <v>#DIV/0!</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f>E96/12*10</f>
        <v>2083333.3333333335</v>
      </c>
      <c r="I96" s="44">
        <f t="shared" si="21"/>
        <v>2083333.3333333335</v>
      </c>
      <c r="J96" s="124">
        <f t="shared" si="22"/>
        <v>1</v>
      </c>
      <c r="K96" s="735">
        <f>E96</f>
        <v>2500000</v>
      </c>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6862484.3600000003</v>
      </c>
      <c r="G117" s="578">
        <f t="shared" si="28"/>
        <v>61270951.830000006</v>
      </c>
      <c r="H117" s="578">
        <f t="shared" si="28"/>
        <v>0</v>
      </c>
      <c r="I117" s="578">
        <f t="shared" si="21"/>
        <v>-61270951.830000006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557843.63</v>
      </c>
      <c r="G118" s="408">
        <f t="shared" si="29"/>
        <v>2038113.77</v>
      </c>
      <c r="H118" s="408">
        <f t="shared" si="29"/>
        <v>0</v>
      </c>
      <c r="I118" s="258">
        <f t="shared" si="21"/>
        <v>-2038113.77</v>
      </c>
      <c r="J118" s="575" t="e">
        <f t="shared" si="22"/>
        <v>#DIV/0!</v>
      </c>
      <c r="K118" s="642">
        <f>SUM(K119:K129)</f>
        <v>0</v>
      </c>
    </row>
    <row r="119" spans="1:11" ht="12.75" customHeight="1" x14ac:dyDescent="0.25">
      <c r="A119" s="574" t="s">
        <v>1299</v>
      </c>
      <c r="B119" s="169"/>
      <c r="C119" s="748"/>
      <c r="D119" s="753">
        <v>3800000</v>
      </c>
      <c r="E119" s="733"/>
      <c r="F119" s="733"/>
      <c r="G119" s="733"/>
      <c r="H119" s="733">
        <f>E119/12*9</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v>557843.63</v>
      </c>
      <c r="G123" s="733">
        <v>2038113.77</v>
      </c>
      <c r="H123" s="733"/>
      <c r="I123" s="44">
        <f t="shared" si="21"/>
        <v>-2038113.77</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6304640.7300000004</v>
      </c>
      <c r="G130" s="408">
        <f t="shared" si="31"/>
        <v>59232838.060000002</v>
      </c>
      <c r="H130" s="408">
        <f t="shared" si="31"/>
        <v>0</v>
      </c>
      <c r="I130" s="258">
        <f t="shared" si="21"/>
        <v>-59232838.060000002</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5461640.7300000004</v>
      </c>
      <c r="G132" s="733">
        <v>58389838.060000002</v>
      </c>
      <c r="H132" s="733"/>
      <c r="I132" s="44">
        <f t="shared" si="21"/>
        <v>-58389838.060000002</v>
      </c>
      <c r="J132" s="124" t="e">
        <f t="shared" si="30"/>
        <v>#DIV/0!</v>
      </c>
      <c r="K132" s="735"/>
    </row>
    <row r="133" spans="1:11" ht="12.75" customHeight="1" x14ac:dyDescent="0.25">
      <c r="A133" s="574" t="s">
        <v>1219</v>
      </c>
      <c r="B133" s="169"/>
      <c r="C133" s="748"/>
      <c r="D133" s="753"/>
      <c r="E133" s="733"/>
      <c r="F133" s="733">
        <v>843000</v>
      </c>
      <c r="G133" s="733">
        <v>843000</v>
      </c>
      <c r="H133" s="733"/>
      <c r="I133" s="44">
        <f t="shared" si="21"/>
        <v>-843000</v>
      </c>
      <c r="J133" s="124" t="e">
        <f t="shared" si="30"/>
        <v>#DIV/0!</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-18156666.66666666</v>
      </c>
      <c r="I138" s="942">
        <f t="shared" ref="I138:I146" si="34">H138-G138</f>
        <v>-18156666.66666666</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-18156666.66666666</v>
      </c>
      <c r="I140" s="258">
        <f t="shared" si="34"/>
        <v>-18156666.66666666</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E144/12*10</f>
        <v>-18156666.66666666</v>
      </c>
      <c r="I144" s="44">
        <f t="shared" si="34"/>
        <v>-18156666.66666666</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479717.11</v>
      </c>
      <c r="G148" s="578">
        <f t="shared" si="36"/>
        <v>5591374.1800000006</v>
      </c>
      <c r="H148" s="578">
        <f t="shared" si="36"/>
        <v>4258089.166666667</v>
      </c>
      <c r="I148" s="578">
        <f>H148-G148</f>
        <v>-1333285.0133333337</v>
      </c>
      <c r="J148" s="324">
        <f>IF(I148=0,"",I148/H148)</f>
        <v>-0.31311815256726078</v>
      </c>
      <c r="K148" s="580">
        <f>SUM(K149)</f>
        <v>5109707</v>
      </c>
    </row>
    <row r="149" spans="1:12" ht="12.75" customHeight="1" x14ac:dyDescent="0.25">
      <c r="A149" s="518" t="s">
        <v>1321</v>
      </c>
      <c r="B149" s="169"/>
      <c r="C149" s="748"/>
      <c r="D149" s="753">
        <v>30489488.019469682</v>
      </c>
      <c r="E149" s="733">
        <v>5109707</v>
      </c>
      <c r="F149" s="733">
        <v>479717.11</v>
      </c>
      <c r="G149" s="733">
        <v>5591374.1800000006</v>
      </c>
      <c r="H149" s="733">
        <f>E149/12*10</f>
        <v>4258089.166666667</v>
      </c>
      <c r="I149" s="44">
        <f>H149-G149</f>
        <v>-1333285.0133333337</v>
      </c>
      <c r="J149" s="124">
        <f>IF(I149=0,"",I149/H149)</f>
        <v>-0.31311815256726078</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0</v>
      </c>
      <c r="G151" s="578">
        <f t="shared" si="37"/>
        <v>170000</v>
      </c>
      <c r="H151" s="578">
        <f t="shared" si="37"/>
        <v>6607846.666666666</v>
      </c>
      <c r="I151" s="578">
        <f>H151-G151</f>
        <v>6437846.666666666</v>
      </c>
      <c r="J151" s="324">
        <f>IF(I151=0,"",I151/H151)</f>
        <v>0.97427301077405948</v>
      </c>
      <c r="K151" s="580">
        <f>SUM(K152)</f>
        <v>7929416</v>
      </c>
    </row>
    <row r="152" spans="1:12" ht="12.75" customHeight="1" x14ac:dyDescent="0.25">
      <c r="A152" s="518" t="s">
        <v>1322</v>
      </c>
      <c r="B152" s="169"/>
      <c r="C152" s="748"/>
      <c r="D152" s="753">
        <v>26221102.404387362</v>
      </c>
      <c r="E152" s="733">
        <v>7929416</v>
      </c>
      <c r="F152" s="733"/>
      <c r="G152" s="733">
        <v>170000</v>
      </c>
      <c r="H152" s="733">
        <f>E152/12*10</f>
        <v>6607846.666666666</v>
      </c>
      <c r="I152" s="44">
        <f>H152-G152</f>
        <v>6437846.666666666</v>
      </c>
      <c r="J152" s="124">
        <f>IF(I152=0,"",I152/H152)</f>
        <v>0.97427301077405948</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 t="shared" si="38"/>
        <v>3856327.5</v>
      </c>
      <c r="G154" s="578">
        <f t="shared" si="38"/>
        <v>9040007.7300000004</v>
      </c>
      <c r="H154" s="578">
        <f t="shared" si="38"/>
        <v>6185028.333333334</v>
      </c>
      <c r="I154" s="578">
        <f>H154-G154</f>
        <v>-2854979.3966666665</v>
      </c>
      <c r="J154" s="324">
        <f>IF(I154=0,"",I154/H154)</f>
        <v>-0.46159520099207296</v>
      </c>
      <c r="K154" s="580">
        <f>SUM(K155)</f>
        <v>7422034</v>
      </c>
    </row>
    <row r="155" spans="1:12" ht="12.75" customHeight="1" x14ac:dyDescent="0.25">
      <c r="A155" s="518" t="s">
        <v>1323</v>
      </c>
      <c r="B155" s="169"/>
      <c r="C155" s="748"/>
      <c r="D155" s="753">
        <v>34478166.653423235</v>
      </c>
      <c r="E155" s="733">
        <v>7422034</v>
      </c>
      <c r="F155" s="733">
        <v>3856327.5</v>
      </c>
      <c r="G155" s="733">
        <v>9040007.7300000004</v>
      </c>
      <c r="H155" s="733">
        <f>E155/12*10</f>
        <v>6185028.333333334</v>
      </c>
      <c r="I155" s="44">
        <f>H155-G155</f>
        <v>-2854979.3966666665</v>
      </c>
      <c r="J155" s="124">
        <f>IF(I155=0,"",I155/H155)</f>
        <v>-0.46159520099207296</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562522</v>
      </c>
      <c r="G157" s="578">
        <f t="shared" si="39"/>
        <v>1299355.28</v>
      </c>
      <c r="H157" s="578">
        <f t="shared" si="39"/>
        <v>18530694.166666668</v>
      </c>
      <c r="I157" s="578">
        <f>H157-G157</f>
        <v>17231338.886666667</v>
      </c>
      <c r="J157" s="324">
        <f>IF(I157=0,"",I157/H157)</f>
        <v>0.92988091712520382</v>
      </c>
      <c r="K157" s="580">
        <f>SUM(K158)</f>
        <v>22236833</v>
      </c>
    </row>
    <row r="158" spans="1:12" ht="12.75" customHeight="1" x14ac:dyDescent="0.25">
      <c r="A158" s="518" t="s">
        <v>1324</v>
      </c>
      <c r="B158" s="169"/>
      <c r="C158" s="748"/>
      <c r="D158" s="753"/>
      <c r="E158" s="733">
        <v>22236833</v>
      </c>
      <c r="F158" s="733">
        <v>562522</v>
      </c>
      <c r="G158" s="733">
        <v>1299355.28</v>
      </c>
      <c r="H158" s="733">
        <f>E158/12*10</f>
        <v>18530694.166666668</v>
      </c>
      <c r="I158" s="44">
        <f>H158-G158</f>
        <v>17231338.886666667</v>
      </c>
      <c r="J158" s="124">
        <f>IF(I158=0,"",I158/H158)</f>
        <v>0.92988091712520382</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E161/12*10</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15887366.9</v>
      </c>
      <c r="G166" s="55">
        <f t="shared" si="42"/>
        <v>135877526.54000002</v>
      </c>
      <c r="H166" s="55">
        <f t="shared" si="42"/>
        <v>19508325.000000007</v>
      </c>
      <c r="I166" s="55">
        <f>H166-G166</f>
        <v>-116369201.54000002</v>
      </c>
      <c r="J166" s="290">
        <f>IF(I166=0,"",I166/H166)</f>
        <v>-5.965104720164339</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"&amp;S71Sb&amp; " - "&amp;Head57</f>
        <v>KZN225 Msunduzi - Supporting Table SC13b Consolidated Monthly Budget Statement - capital expenditure on renewal of existing assets by asset class - M10 April</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3439099.4299999997</v>
      </c>
      <c r="G7" s="102">
        <f t="shared" si="0"/>
        <v>42098093.149999999</v>
      </c>
      <c r="H7" s="102">
        <f t="shared" si="0"/>
        <v>163553309.16666666</v>
      </c>
      <c r="I7" s="101">
        <f t="shared" ref="I7:I133" si="1">H7-G7</f>
        <v>121455216.01666665</v>
      </c>
      <c r="J7" s="579">
        <f t="shared" ref="J7:J136" si="2">IF(I7=0,"",I7/H7)</f>
        <v>0.74260323215410728</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2398122.1999999997</v>
      </c>
      <c r="G8" s="608">
        <f t="shared" si="3"/>
        <v>20619738.359999999</v>
      </c>
      <c r="H8" s="608">
        <f t="shared" si="3"/>
        <v>32874415</v>
      </c>
      <c r="I8" s="258">
        <f t="shared" si="1"/>
        <v>12254676.640000001</v>
      </c>
      <c r="J8" s="575">
        <f t="shared" si="2"/>
        <v>0.37277246271910847</v>
      </c>
      <c r="K8" s="610">
        <f>SUM(K9:K12)</f>
        <v>39449298</v>
      </c>
    </row>
    <row r="9" spans="1:11" ht="12.75" customHeight="1" x14ac:dyDescent="0.25">
      <c r="A9" s="574" t="s">
        <v>168</v>
      </c>
      <c r="B9" s="169"/>
      <c r="C9" s="748"/>
      <c r="D9" s="745">
        <v>5914548.2937818393</v>
      </c>
      <c r="E9" s="733">
        <v>39449298</v>
      </c>
      <c r="F9" s="733">
        <v>2398122.1999999997</v>
      </c>
      <c r="G9" s="733">
        <v>20619738.359999999</v>
      </c>
      <c r="H9" s="733">
        <f>E9/12*10</f>
        <v>32874415</v>
      </c>
      <c r="I9" s="258">
        <f t="shared" si="1"/>
        <v>12254676.640000001</v>
      </c>
      <c r="J9" s="575">
        <f t="shared" si="2"/>
        <v>0.37277246271910847</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8611941.666666666</v>
      </c>
      <c r="I17" s="258">
        <f t="shared" si="1"/>
        <v>8611941.666666666</v>
      </c>
      <c r="J17" s="575">
        <f t="shared" si="2"/>
        <v>1</v>
      </c>
      <c r="K17" s="642">
        <f>SUM(K18:K26)</f>
        <v>10334330</v>
      </c>
    </row>
    <row r="18" spans="1:11" ht="12.75" customHeight="1" x14ac:dyDescent="0.25">
      <c r="A18" s="574" t="s">
        <v>1225</v>
      </c>
      <c r="B18" s="169"/>
      <c r="C18" s="748"/>
      <c r="D18" s="745"/>
      <c r="E18" s="733">
        <v>10334330</v>
      </c>
      <c r="F18" s="733"/>
      <c r="G18" s="733"/>
      <c r="H18" s="733">
        <f>E18/12*10</f>
        <v>8611941.666666666</v>
      </c>
      <c r="I18" s="258">
        <f t="shared" si="1"/>
        <v>8611941.666666666</v>
      </c>
      <c r="J18" s="575">
        <f t="shared" si="2"/>
        <v>1</v>
      </c>
      <c r="K18" s="735">
        <f>E18</f>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0</v>
      </c>
      <c r="G27" s="408">
        <f t="shared" si="6"/>
        <v>0</v>
      </c>
      <c r="H27" s="408">
        <f t="shared" si="6"/>
        <v>57216997.5</v>
      </c>
      <c r="I27" s="258">
        <f t="shared" si="1"/>
        <v>57216997.5</v>
      </c>
      <c r="J27" s="575">
        <f t="shared" si="2"/>
        <v>1</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E30/12*10</f>
        <v>57216997.5</v>
      </c>
      <c r="I30" s="258">
        <f t="shared" si="1"/>
        <v>57216997.5</v>
      </c>
      <c r="J30" s="575">
        <f t="shared" si="2"/>
        <v>1</v>
      </c>
      <c r="K30" s="735">
        <f>E30</f>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1040977.23</v>
      </c>
      <c r="G38" s="408">
        <f t="shared" si="7"/>
        <v>21478354.789999999</v>
      </c>
      <c r="H38" s="408">
        <f t="shared" si="7"/>
        <v>27266666.666666668</v>
      </c>
      <c r="I38" s="258">
        <f t="shared" si="1"/>
        <v>5788311.8766666688</v>
      </c>
      <c r="J38" s="575">
        <f t="shared" si="2"/>
        <v>0.21228527665036681</v>
      </c>
      <c r="K38" s="642">
        <f>SUM(K39:K44)</f>
        <v>32720000</v>
      </c>
    </row>
    <row r="39" spans="1:11" ht="12.75" customHeight="1" x14ac:dyDescent="0.25">
      <c r="A39" s="574" t="s">
        <v>1244</v>
      </c>
      <c r="B39" s="169"/>
      <c r="C39" s="748"/>
      <c r="D39" s="745"/>
      <c r="E39" s="733"/>
      <c r="F39" s="733">
        <v>280978.52</v>
      </c>
      <c r="G39" s="733">
        <v>12125179.869999999</v>
      </c>
      <c r="H39" s="733"/>
      <c r="I39" s="258">
        <f t="shared" si="1"/>
        <v>-12125179.869999999</v>
      </c>
      <c r="J39" s="575" t="e">
        <f t="shared" si="2"/>
        <v>#DIV/0!</v>
      </c>
      <c r="K39" s="735"/>
    </row>
    <row r="40" spans="1:11" ht="12.75" customHeight="1" x14ac:dyDescent="0.25">
      <c r="A40" s="574" t="s">
        <v>135</v>
      </c>
      <c r="B40" s="169"/>
      <c r="C40" s="748"/>
      <c r="D40" s="745"/>
      <c r="E40" s="733">
        <v>30000000</v>
      </c>
      <c r="F40" s="733">
        <v>759998.71</v>
      </c>
      <c r="G40" s="733">
        <v>9353174.9199999981</v>
      </c>
      <c r="H40" s="733">
        <f t="shared" ref="H40:H41" si="8">E40/12*10</f>
        <v>25000000</v>
      </c>
      <c r="I40" s="258">
        <f t="shared" si="1"/>
        <v>15646825.080000002</v>
      </c>
      <c r="J40" s="575">
        <f t="shared" si="2"/>
        <v>0.62587300320000006</v>
      </c>
      <c r="K40" s="735">
        <f t="shared" ref="K40:K41" si="9">E40</f>
        <v>30000000</v>
      </c>
    </row>
    <row r="41" spans="1:11" ht="12.75" customHeight="1" x14ac:dyDescent="0.25">
      <c r="A41" s="574" t="s">
        <v>1245</v>
      </c>
      <c r="B41" s="169"/>
      <c r="C41" s="748"/>
      <c r="D41" s="745"/>
      <c r="E41" s="733">
        <v>2720000</v>
      </c>
      <c r="F41" s="733"/>
      <c r="G41" s="733"/>
      <c r="H41" s="733">
        <f t="shared" si="8"/>
        <v>2266666.6666666665</v>
      </c>
      <c r="I41" s="258">
        <f t="shared" si="1"/>
        <v>2266666.6666666665</v>
      </c>
      <c r="J41" s="575">
        <f t="shared" si="2"/>
        <v>1</v>
      </c>
      <c r="K41" s="735">
        <f t="shared" si="9"/>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1556460.0773110106</v>
      </c>
      <c r="E45" s="408">
        <f t="shared" si="10"/>
        <v>45099946</v>
      </c>
      <c r="F45" s="408">
        <f t="shared" si="10"/>
        <v>0</v>
      </c>
      <c r="G45" s="408">
        <f t="shared" si="10"/>
        <v>0</v>
      </c>
      <c r="H45" s="408">
        <f t="shared" si="10"/>
        <v>37583288.333333336</v>
      </c>
      <c r="I45" s="258">
        <f t="shared" si="1"/>
        <v>37583288.333333336</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E46/12*10</f>
        <v>37583288.333333336</v>
      </c>
      <c r="I46" s="258">
        <f t="shared" si="1"/>
        <v>37583288.333333336</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0</v>
      </c>
      <c r="G53" s="408">
        <f t="shared" si="11"/>
        <v>0</v>
      </c>
      <c r="H53" s="408">
        <f t="shared" si="11"/>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0</v>
      </c>
      <c r="E75" s="578">
        <f t="shared" si="14"/>
        <v>12300000</v>
      </c>
      <c r="F75" s="578">
        <f t="shared" si="14"/>
        <v>0</v>
      </c>
      <c r="G75" s="578">
        <f t="shared" si="14"/>
        <v>0</v>
      </c>
      <c r="H75" s="578">
        <f t="shared" si="14"/>
        <v>10250000</v>
      </c>
      <c r="I75" s="578">
        <f t="shared" si="1"/>
        <v>10250000</v>
      </c>
      <c r="J75" s="579">
        <f t="shared" si="2"/>
        <v>1</v>
      </c>
      <c r="K75" s="580">
        <f>+K76+K99</f>
        <v>12300000</v>
      </c>
    </row>
    <row r="76" spans="1:11" ht="12.75" customHeight="1" x14ac:dyDescent="0.25">
      <c r="A76" s="518" t="s">
        <v>1268</v>
      </c>
      <c r="B76" s="169"/>
      <c r="C76" s="648">
        <f t="shared" ref="C76:H76" si="15">SUM(C77:C98)</f>
        <v>0</v>
      </c>
      <c r="D76" s="649">
        <f t="shared" si="15"/>
        <v>0</v>
      </c>
      <c r="E76" s="408">
        <f t="shared" si="15"/>
        <v>12300000</v>
      </c>
      <c r="F76" s="408">
        <f t="shared" si="15"/>
        <v>0</v>
      </c>
      <c r="G76" s="408">
        <f t="shared" si="15"/>
        <v>0</v>
      </c>
      <c r="H76" s="408">
        <f t="shared" si="15"/>
        <v>10250000</v>
      </c>
      <c r="I76" s="258">
        <f t="shared" si="1"/>
        <v>10250000</v>
      </c>
      <c r="J76" s="575">
        <f t="shared" si="2"/>
        <v>1</v>
      </c>
      <c r="K76" s="642">
        <f>SUM(K77:K98)</f>
        <v>12300000</v>
      </c>
    </row>
    <row r="77" spans="1:11" ht="12.75" customHeight="1" x14ac:dyDescent="0.25">
      <c r="A77" s="574" t="s">
        <v>1269</v>
      </c>
      <c r="B77" s="169"/>
      <c r="C77" s="748"/>
      <c r="D77" s="753"/>
      <c r="E77" s="733">
        <v>12300000</v>
      </c>
      <c r="F77" s="733"/>
      <c r="G77" s="733"/>
      <c r="H77" s="733">
        <f>E77/12*10</f>
        <v>10250000</v>
      </c>
      <c r="I77" s="44">
        <f t="shared" si="1"/>
        <v>10250000</v>
      </c>
      <c r="J77" s="124">
        <f t="shared" si="2"/>
        <v>1</v>
      </c>
      <c r="K77" s="735">
        <f>E77</f>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0</v>
      </c>
      <c r="E99" s="408">
        <f t="shared" si="16"/>
        <v>0</v>
      </c>
      <c r="F99" s="408">
        <f t="shared" si="16"/>
        <v>0</v>
      </c>
      <c r="G99" s="408">
        <f t="shared" si="16"/>
        <v>0</v>
      </c>
      <c r="H99" s="408">
        <f t="shared" si="16"/>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7">SUM(C104:C108)</f>
        <v>0</v>
      </c>
      <c r="D103" s="264">
        <f t="shared" si="17"/>
        <v>0</v>
      </c>
      <c r="E103" s="99">
        <f t="shared" si="17"/>
        <v>4450000</v>
      </c>
      <c r="F103" s="99">
        <f t="shared" si="17"/>
        <v>0</v>
      </c>
      <c r="G103" s="99">
        <f t="shared" si="17"/>
        <v>0</v>
      </c>
      <c r="H103" s="99">
        <f t="shared" si="17"/>
        <v>3708333.333333333</v>
      </c>
      <c r="I103" s="99">
        <f t="shared" si="1"/>
        <v>3708333.333333333</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f>E108/12*10</f>
        <v>3708333.333333333</v>
      </c>
      <c r="I108" s="44">
        <f t="shared" si="1"/>
        <v>3708333.333333333</v>
      </c>
      <c r="J108" s="124">
        <f t="shared" si="2"/>
        <v>1</v>
      </c>
      <c r="K108" s="735">
        <f>E108</f>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1">+C118+C130</f>
        <v>0</v>
      </c>
      <c r="D117" s="577">
        <f t="shared" si="21"/>
        <v>0</v>
      </c>
      <c r="E117" s="578">
        <f t="shared" si="21"/>
        <v>28589166.780000001</v>
      </c>
      <c r="F117" s="578">
        <f t="shared" si="21"/>
        <v>0</v>
      </c>
      <c r="G117" s="578">
        <f t="shared" si="21"/>
        <v>0</v>
      </c>
      <c r="H117" s="578">
        <f t="shared" si="21"/>
        <v>23824305.649999999</v>
      </c>
      <c r="I117" s="578">
        <f t="shared" si="1"/>
        <v>23824305.649999999</v>
      </c>
      <c r="J117" s="579">
        <f t="shared" si="2"/>
        <v>1</v>
      </c>
      <c r="K117" s="580">
        <f>+K118+K130</f>
        <v>28589166.780000001</v>
      </c>
    </row>
    <row r="118" spans="1:11" ht="12.75" customHeight="1" x14ac:dyDescent="0.25">
      <c r="A118" s="518" t="s">
        <v>1298</v>
      </c>
      <c r="B118" s="169"/>
      <c r="C118" s="648">
        <f t="shared" ref="C118:H118" si="22">SUM(C119:C129)</f>
        <v>0</v>
      </c>
      <c r="D118" s="649">
        <f t="shared" si="22"/>
        <v>0</v>
      </c>
      <c r="E118" s="408">
        <f t="shared" si="22"/>
        <v>0</v>
      </c>
      <c r="F118" s="408">
        <f t="shared" si="22"/>
        <v>0</v>
      </c>
      <c r="G118" s="408">
        <f t="shared" si="22"/>
        <v>0</v>
      </c>
      <c r="H118" s="408">
        <f t="shared" si="22"/>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3">SUM(C131:C133)</f>
        <v>0</v>
      </c>
      <c r="D130" s="649">
        <f t="shared" si="23"/>
        <v>0</v>
      </c>
      <c r="E130" s="408">
        <f t="shared" si="23"/>
        <v>28589166.780000001</v>
      </c>
      <c r="F130" s="408">
        <f t="shared" si="23"/>
        <v>0</v>
      </c>
      <c r="G130" s="408">
        <f t="shared" si="23"/>
        <v>0</v>
      </c>
      <c r="H130" s="408">
        <f t="shared" si="23"/>
        <v>23824305.649999999</v>
      </c>
      <c r="I130" s="258">
        <f t="shared" si="1"/>
        <v>23824305.649999999</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E132/12*10</f>
        <v>23824305.649999999</v>
      </c>
      <c r="I132" s="44">
        <f t="shared" si="1"/>
        <v>23824305.649999999</v>
      </c>
      <c r="J132" s="124">
        <f t="shared" si="2"/>
        <v>1</v>
      </c>
      <c r="K132" s="735">
        <f>E132</f>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5">IF(I137=0,"",I137/H137)</f>
        <v/>
      </c>
      <c r="K137" s="144"/>
    </row>
    <row r="138" spans="1:11" s="100" customFormat="1" ht="12.75" customHeight="1" x14ac:dyDescent="0.25">
      <c r="A138" s="549" t="s">
        <v>1312</v>
      </c>
      <c r="B138" s="171"/>
      <c r="C138" s="940">
        <f t="shared" ref="C138:H138" si="26">SUM(C139:C140)</f>
        <v>0</v>
      </c>
      <c r="D138" s="941">
        <f t="shared" si="26"/>
        <v>0</v>
      </c>
      <c r="E138" s="942">
        <f t="shared" si="26"/>
        <v>3250000</v>
      </c>
      <c r="F138" s="942">
        <f t="shared" si="26"/>
        <v>0</v>
      </c>
      <c r="G138" s="942">
        <f t="shared" si="26"/>
        <v>0</v>
      </c>
      <c r="H138" s="942">
        <f t="shared" si="26"/>
        <v>2708333.333333333</v>
      </c>
      <c r="I138" s="942">
        <f t="shared" ref="I138:I146" si="27">H138-G138</f>
        <v>2708333.333333333</v>
      </c>
      <c r="J138" s="324">
        <f t="shared" si="25"/>
        <v>1</v>
      </c>
      <c r="K138" s="943">
        <f>SUM(K139:K140)</f>
        <v>3250000</v>
      </c>
    </row>
    <row r="139" spans="1:11" ht="12.75" customHeight="1" x14ac:dyDescent="0.25">
      <c r="A139" s="517" t="s">
        <v>1313</v>
      </c>
      <c r="B139" s="169"/>
      <c r="C139" s="748"/>
      <c r="D139" s="753"/>
      <c r="E139" s="733"/>
      <c r="F139" s="733"/>
      <c r="G139" s="733"/>
      <c r="H139" s="733"/>
      <c r="I139" s="44">
        <f t="shared" si="27"/>
        <v>0</v>
      </c>
      <c r="J139" s="124" t="str">
        <f t="shared" si="25"/>
        <v/>
      </c>
      <c r="K139" s="735"/>
    </row>
    <row r="140" spans="1:11" ht="12.75" customHeight="1" x14ac:dyDescent="0.25">
      <c r="A140" s="517" t="s">
        <v>1314</v>
      </c>
      <c r="B140" s="169"/>
      <c r="C140" s="648">
        <f t="shared" ref="C140:H140" si="28">SUM(C141:C146)</f>
        <v>0</v>
      </c>
      <c r="D140" s="649">
        <f t="shared" si="28"/>
        <v>0</v>
      </c>
      <c r="E140" s="408">
        <f t="shared" si="28"/>
        <v>3250000</v>
      </c>
      <c r="F140" s="408">
        <f t="shared" si="28"/>
        <v>0</v>
      </c>
      <c r="G140" s="408">
        <f t="shared" si="28"/>
        <v>0</v>
      </c>
      <c r="H140" s="408">
        <f t="shared" si="28"/>
        <v>2708333.333333333</v>
      </c>
      <c r="I140" s="258">
        <f t="shared" si="27"/>
        <v>2708333.333333333</v>
      </c>
      <c r="J140" s="575">
        <f t="shared" si="25"/>
        <v>1</v>
      </c>
      <c r="K140" s="642">
        <f>SUM(K141:K146)</f>
        <v>3250000</v>
      </c>
    </row>
    <row r="141" spans="1:11" ht="12.75" customHeight="1" x14ac:dyDescent="0.25">
      <c r="A141" s="574" t="s">
        <v>1315</v>
      </c>
      <c r="B141" s="169"/>
      <c r="C141" s="748"/>
      <c r="D141" s="753"/>
      <c r="E141" s="733"/>
      <c r="F141" s="733"/>
      <c r="G141" s="733"/>
      <c r="H141" s="733"/>
      <c r="I141" s="44">
        <f t="shared" si="27"/>
        <v>0</v>
      </c>
      <c r="J141" s="124" t="str">
        <f t="shared" si="25"/>
        <v/>
      </c>
      <c r="K141" s="735"/>
    </row>
    <row r="142" spans="1:11" ht="12.75" customHeight="1" x14ac:dyDescent="0.25">
      <c r="A142" s="574" t="s">
        <v>1316</v>
      </c>
      <c r="B142" s="169"/>
      <c r="C142" s="748"/>
      <c r="D142" s="753"/>
      <c r="E142" s="733"/>
      <c r="F142" s="733"/>
      <c r="G142" s="733"/>
      <c r="H142" s="733"/>
      <c r="I142" s="44">
        <f t="shared" si="27"/>
        <v>0</v>
      </c>
      <c r="J142" s="124" t="str">
        <f t="shared" si="25"/>
        <v/>
      </c>
      <c r="K142" s="735"/>
    </row>
    <row r="143" spans="1:11" ht="12.75" customHeight="1" x14ac:dyDescent="0.25">
      <c r="A143" s="574" t="s">
        <v>1317</v>
      </c>
      <c r="B143" s="169"/>
      <c r="C143" s="748"/>
      <c r="D143" s="753"/>
      <c r="E143" s="733"/>
      <c r="F143" s="733"/>
      <c r="G143" s="733"/>
      <c r="H143" s="733"/>
      <c r="I143" s="44">
        <f t="shared" si="27"/>
        <v>0</v>
      </c>
      <c r="J143" s="124" t="str">
        <f t="shared" si="25"/>
        <v/>
      </c>
      <c r="K143" s="735"/>
    </row>
    <row r="144" spans="1:11" ht="12.75" customHeight="1" x14ac:dyDescent="0.25">
      <c r="A144" s="574" t="s">
        <v>1318</v>
      </c>
      <c r="B144" s="169"/>
      <c r="C144" s="748"/>
      <c r="D144" s="753"/>
      <c r="E144" s="733">
        <v>3250000</v>
      </c>
      <c r="F144" s="733"/>
      <c r="G144" s="733"/>
      <c r="H144" s="733">
        <f>E144/12*10</f>
        <v>2708333.333333333</v>
      </c>
      <c r="I144" s="44">
        <f t="shared" si="27"/>
        <v>2708333.333333333</v>
      </c>
      <c r="J144" s="124">
        <f t="shared" si="25"/>
        <v>1</v>
      </c>
      <c r="K144" s="735">
        <f>E144</f>
        <v>3250000</v>
      </c>
    </row>
    <row r="145" spans="1:12" ht="12.75" customHeight="1" x14ac:dyDescent="0.25">
      <c r="A145" s="574" t="s">
        <v>1319</v>
      </c>
      <c r="B145" s="169"/>
      <c r="C145" s="748"/>
      <c r="D145" s="753"/>
      <c r="E145" s="733"/>
      <c r="F145" s="733"/>
      <c r="G145" s="733"/>
      <c r="H145" s="733"/>
      <c r="I145" s="44">
        <f t="shared" si="27"/>
        <v>0</v>
      </c>
      <c r="J145" s="124" t="str">
        <f t="shared" si="25"/>
        <v/>
      </c>
      <c r="K145" s="735"/>
    </row>
    <row r="146" spans="1:12" ht="12.75" customHeight="1" x14ac:dyDescent="0.25">
      <c r="A146" s="574" t="s">
        <v>1320</v>
      </c>
      <c r="B146" s="169"/>
      <c r="C146" s="748"/>
      <c r="D146" s="753"/>
      <c r="E146" s="733"/>
      <c r="F146" s="733"/>
      <c r="G146" s="733"/>
      <c r="H146" s="733"/>
      <c r="I146" s="44">
        <f t="shared" si="27"/>
        <v>0</v>
      </c>
      <c r="J146" s="124" t="str">
        <f t="shared" si="25"/>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9">SUM(C149:C149)</f>
        <v>0</v>
      </c>
      <c r="D148" s="577">
        <f t="shared" si="29"/>
        <v>0</v>
      </c>
      <c r="E148" s="578">
        <f t="shared" si="29"/>
        <v>0</v>
      </c>
      <c r="F148" s="578">
        <f t="shared" si="29"/>
        <v>0</v>
      </c>
      <c r="G148" s="578">
        <f t="shared" si="29"/>
        <v>0</v>
      </c>
      <c r="H148" s="578">
        <f t="shared" si="29"/>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0">SUM(C152:C152)</f>
        <v>0</v>
      </c>
      <c r="D151" s="577">
        <f t="shared" si="30"/>
        <v>389115.01932775264</v>
      </c>
      <c r="E151" s="578">
        <f t="shared" si="30"/>
        <v>389115.01932775264</v>
      </c>
      <c r="F151" s="578">
        <f t="shared" si="30"/>
        <v>0</v>
      </c>
      <c r="G151" s="578">
        <f t="shared" si="30"/>
        <v>0</v>
      </c>
      <c r="H151" s="578">
        <f t="shared" si="30"/>
        <v>324262.51610646053</v>
      </c>
      <c r="I151" s="578">
        <f>H151-G151</f>
        <v>324262.51610646053</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E152/12*10</f>
        <v>324262.51610646053</v>
      </c>
      <c r="I152" s="44">
        <f>H152-G152</f>
        <v>324262.51610646053</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1">SUM(C155:C155)</f>
        <v>0</v>
      </c>
      <c r="D154" s="577">
        <f t="shared" si="31"/>
        <v>7339876.6095793974</v>
      </c>
      <c r="E154" s="578">
        <f t="shared" si="31"/>
        <v>4365000</v>
      </c>
      <c r="F154" s="578">
        <f t="shared" si="31"/>
        <v>0</v>
      </c>
      <c r="G154" s="578">
        <f t="shared" si="31"/>
        <v>0</v>
      </c>
      <c r="H154" s="578">
        <f t="shared" si="31"/>
        <v>3637500</v>
      </c>
      <c r="I154" s="578">
        <f>H154-G154</f>
        <v>3637500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E155/12*10</f>
        <v>3637500</v>
      </c>
      <c r="I155" s="44">
        <f>H155-G155</f>
        <v>3637500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2">SUM(C158:C158)</f>
        <v>0</v>
      </c>
      <c r="D157" s="577">
        <f t="shared" si="32"/>
        <v>0</v>
      </c>
      <c r="E157" s="578">
        <f t="shared" si="32"/>
        <v>10180000</v>
      </c>
      <c r="F157" s="578">
        <f t="shared" si="32"/>
        <v>0</v>
      </c>
      <c r="G157" s="578">
        <f t="shared" si="32"/>
        <v>0</v>
      </c>
      <c r="H157" s="578">
        <f t="shared" si="32"/>
        <v>8483333.333333334</v>
      </c>
      <c r="I157" s="578">
        <f>H157-G157</f>
        <v>8483333.333333334</v>
      </c>
      <c r="J157" s="324">
        <f>IF(I157=0,"",I157/H157)</f>
        <v>1</v>
      </c>
      <c r="K157" s="580">
        <f>SUM(K158)</f>
        <v>10180000</v>
      </c>
    </row>
    <row r="158" spans="1:12" ht="12.75" customHeight="1" x14ac:dyDescent="0.25">
      <c r="A158" s="518" t="s">
        <v>1324</v>
      </c>
      <c r="B158" s="169"/>
      <c r="C158" s="748"/>
      <c r="D158" s="753"/>
      <c r="E158" s="733">
        <v>10180000</v>
      </c>
      <c r="F158" s="733"/>
      <c r="G158" s="733"/>
      <c r="H158" s="733">
        <f>E158/12*10</f>
        <v>8483333.333333334</v>
      </c>
      <c r="I158" s="44">
        <f>H158-G158</f>
        <v>8483333.333333334</v>
      </c>
      <c r="J158" s="124">
        <f>IF(I158=0,"",I158/H158)</f>
        <v>1</v>
      </c>
      <c r="K158" s="735">
        <f>E158</f>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3">SUM(C161:C161)</f>
        <v>0</v>
      </c>
      <c r="D160" s="577">
        <f t="shared" si="33"/>
        <v>0</v>
      </c>
      <c r="E160" s="578">
        <f t="shared" si="33"/>
        <v>0</v>
      </c>
      <c r="F160" s="578">
        <f t="shared" si="33"/>
        <v>0</v>
      </c>
      <c r="G160" s="578">
        <f t="shared" si="33"/>
        <v>0</v>
      </c>
      <c r="H160" s="578">
        <f t="shared" si="33"/>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4">SUM(C164:C164)</f>
        <v>0</v>
      </c>
      <c r="D163" s="577">
        <f t="shared" si="34"/>
        <v>0</v>
      </c>
      <c r="E163" s="578">
        <f t="shared" si="34"/>
        <v>0</v>
      </c>
      <c r="F163" s="578">
        <f t="shared" si="34"/>
        <v>0</v>
      </c>
      <c r="G163" s="578">
        <f t="shared" si="34"/>
        <v>0</v>
      </c>
      <c r="H163" s="578">
        <f t="shared" si="34"/>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5">C7+C75+C103+C110+C117+C135+C138+C148+C151+C154+C157+C160+C163</f>
        <v>0</v>
      </c>
      <c r="D166" s="271">
        <f t="shared" si="35"/>
        <v>15200000</v>
      </c>
      <c r="E166" s="55">
        <f t="shared" si="35"/>
        <v>259787252.79932776</v>
      </c>
      <c r="F166" s="55">
        <f t="shared" si="35"/>
        <v>3439099.4299999997</v>
      </c>
      <c r="G166" s="55">
        <f t="shared" si="35"/>
        <v>42098093.149999999</v>
      </c>
      <c r="H166" s="55">
        <f t="shared" si="35"/>
        <v>216489377.33277315</v>
      </c>
      <c r="I166" s="55">
        <f>H166-G166</f>
        <v>174391284.18277314</v>
      </c>
      <c r="J166" s="290">
        <f>IF(I166=0,"",I166/H166)</f>
        <v>0.80554199162719375</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8" activePane="bottomRight" state="frozen"/>
      <selection pane="topRight"/>
      <selection pane="bottomLeft"/>
      <selection pane="bottomRight" activeCell="L169" sqref="L16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"&amp;S71Sc&amp; " - "&amp;Head57</f>
        <v>KZN225 Msunduzi - Supporting Table SC13c Consolidated Monthly Budget Statement - expenditure on repairs and maintenance by asset class - M10 April</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6521961.7800000003</v>
      </c>
      <c r="G7" s="102">
        <f t="shared" si="0"/>
        <v>52002917.570000008</v>
      </c>
      <c r="H7" s="102">
        <f t="shared" si="0"/>
        <v>152340906.82466602</v>
      </c>
      <c r="I7" s="101">
        <f t="shared" ref="I7:I166" si="1">H7-G7</f>
        <v>100337989.25466602</v>
      </c>
      <c r="J7" s="579">
        <f t="shared" ref="J7:J166" si="2">IF(I7=0,"",I7/H7)</f>
        <v>0.65864114469364543</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56147847.210709557</v>
      </c>
      <c r="I8" s="258">
        <f t="shared" si="1"/>
        <v>56147847.210709557</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E9/12*10</f>
        <v>56147847.210709557</v>
      </c>
      <c r="I9" s="258">
        <f t="shared" si="1"/>
        <v>56147847.210709557</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6521961.7800000003</v>
      </c>
      <c r="G17" s="408">
        <f t="shared" si="5"/>
        <v>52002917.570000008</v>
      </c>
      <c r="H17" s="408">
        <f t="shared" si="5"/>
        <v>60307051.376829587</v>
      </c>
      <c r="I17" s="258">
        <f t="shared" si="1"/>
        <v>8304133.8068295792</v>
      </c>
      <c r="J17" s="575">
        <f t="shared" si="2"/>
        <v>0.13769755969233291</v>
      </c>
      <c r="K17" s="642">
        <f>SUM(K18:K26)</f>
        <v>72368461.652195498</v>
      </c>
    </row>
    <row r="18" spans="1:11" ht="12.75" customHeight="1" x14ac:dyDescent="0.25">
      <c r="A18" s="574" t="s">
        <v>1225</v>
      </c>
      <c r="B18" s="169"/>
      <c r="C18" s="748"/>
      <c r="D18" s="745">
        <v>72368461.652195498</v>
      </c>
      <c r="E18" s="733">
        <v>72368461.652195498</v>
      </c>
      <c r="F18" s="733"/>
      <c r="G18" s="733"/>
      <c r="H18" s="733">
        <f>E18/12*10</f>
        <v>60307051.376829587</v>
      </c>
      <c r="I18" s="258">
        <f t="shared" si="1"/>
        <v>60307051.376829587</v>
      </c>
      <c r="J18" s="575">
        <f t="shared" si="2"/>
        <v>1</v>
      </c>
      <c r="K18" s="735">
        <f>E18</f>
        <v>72368461.652195498</v>
      </c>
    </row>
    <row r="19" spans="1:11" ht="12.75" customHeight="1" x14ac:dyDescent="0.25">
      <c r="A19" s="574" t="s">
        <v>1226</v>
      </c>
      <c r="B19" s="169"/>
      <c r="C19" s="748"/>
      <c r="D19" s="745"/>
      <c r="E19" s="733"/>
      <c r="F19" s="733">
        <v>2072961.0900000005</v>
      </c>
      <c r="G19" s="733">
        <v>14610231.24</v>
      </c>
      <c r="H19" s="733"/>
      <c r="I19" s="258">
        <f t="shared" si="1"/>
        <v>-14610231.24</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400405.12</v>
      </c>
      <c r="G22" s="733">
        <v>1406056.79</v>
      </c>
      <c r="H22" s="733"/>
      <c r="I22" s="258">
        <f t="shared" si="1"/>
        <v>-1406056.79</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4048595.57</v>
      </c>
      <c r="G25" s="733">
        <v>35986629.540000007</v>
      </c>
      <c r="H25" s="733"/>
      <c r="I25" s="258">
        <f t="shared" si="1"/>
        <v>-35986629.540000007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18458029.005740762</v>
      </c>
      <c r="I27" s="258">
        <f t="shared" si="1"/>
        <v>18458029.005740762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E34/12*10</f>
        <v>18458029.005740762</v>
      </c>
      <c r="I34" s="258">
        <f t="shared" si="1"/>
        <v>18458029.005740762</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7312827.7191713955</v>
      </c>
      <c r="I38" s="258">
        <f t="shared" si="1"/>
        <v>7312827.7191713955</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E41/12*10</f>
        <v>7312827.7191713955</v>
      </c>
      <c r="I41" s="258">
        <f t="shared" si="1"/>
        <v>7312827.7191713955</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10115151.51221472</v>
      </c>
      <c r="I45" s="258">
        <f t="shared" si="1"/>
        <v>10115151.51221472</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E46/12*10</f>
        <v>10115151.51221472</v>
      </c>
      <c r="I46" s="258">
        <f t="shared" si="1"/>
        <v>10115151.51221472</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19593934.457379177</v>
      </c>
      <c r="I75" s="578">
        <f t="shared" si="1"/>
        <v>19593934.457379177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19593934.457379177</v>
      </c>
      <c r="I76" s="258">
        <f t="shared" si="1"/>
        <v>19593934.457379177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E77/12*10</f>
        <v>772923.26230091869</v>
      </c>
      <c r="I77" s="44">
        <f t="shared" si="1"/>
        <v>772923.26230091869</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E80/12*10</f>
        <v>385253.39383149688</v>
      </c>
      <c r="I80" s="44">
        <f t="shared" si="1"/>
        <v>385253.39383149688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E86/12*10</f>
        <v>731442.03956373013</v>
      </c>
      <c r="I86" s="44">
        <f t="shared" si="1"/>
        <v>731442.03956373013</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E88/12*10</f>
        <v>3175376.6165561685</v>
      </c>
      <c r="I88" s="44">
        <f t="shared" si="1"/>
        <v>3175376.6165561685</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E90/12*10</f>
        <v>10465177.385954015</v>
      </c>
      <c r="I90" s="44">
        <f t="shared" si="1"/>
        <v>10465177.385954015</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E93/12*10</f>
        <v>4063761.759172848</v>
      </c>
      <c r="I93" s="44">
        <f t="shared" si="1"/>
        <v>4063761.759172848</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22485003.997847009</v>
      </c>
      <c r="I103" s="99">
        <f t="shared" si="1"/>
        <v>22485003.997847009</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E105/12*10</f>
        <v>22485003.997847009</v>
      </c>
      <c r="I105" s="44">
        <f t="shared" si="1"/>
        <v>22485003.997847009</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1978290.2699999998</v>
      </c>
      <c r="G117" s="578">
        <f t="shared" si="19"/>
        <v>9199551.0800000001</v>
      </c>
      <c r="H117" s="578">
        <f t="shared" si="19"/>
        <v>0</v>
      </c>
      <c r="I117" s="578">
        <f t="shared" si="1"/>
        <v>-9199551.0800000001</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1978290.2699999998</v>
      </c>
      <c r="G118" s="408">
        <f t="shared" si="20"/>
        <v>9199551.0800000001</v>
      </c>
      <c r="H118" s="408">
        <f t="shared" si="20"/>
        <v>0</v>
      </c>
      <c r="I118" s="258">
        <f t="shared" si="1"/>
        <v>-9199551.0800000001</v>
      </c>
      <c r="J118" s="575" t="e">
        <f t="shared" si="2"/>
        <v>#DIV/0!</v>
      </c>
      <c r="K118" s="642">
        <f>SUM(K119:K129)</f>
        <v>0</v>
      </c>
    </row>
    <row r="119" spans="1:11" ht="12.75" customHeight="1" x14ac:dyDescent="0.25">
      <c r="A119" s="574" t="s">
        <v>1299</v>
      </c>
      <c r="B119" s="169"/>
      <c r="C119" s="748"/>
      <c r="D119" s="753"/>
      <c r="E119" s="733"/>
      <c r="F119" s="733">
        <v>1978290.2699999998</v>
      </c>
      <c r="G119" s="733">
        <v>9199551.0800000001</v>
      </c>
      <c r="H119" s="733"/>
      <c r="I119" s="44">
        <f t="shared" si="1"/>
        <v>-9199551.0800000001</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1985542.9800000002</v>
      </c>
      <c r="G154" s="578">
        <f t="shared" si="29"/>
        <v>15091003.190000001</v>
      </c>
      <c r="H154" s="578">
        <f t="shared" si="29"/>
        <v>0</v>
      </c>
      <c r="I154" s="578">
        <f>H154-G154</f>
        <v>-15091003.190000001</v>
      </c>
      <c r="J154" s="324" t="e">
        <f>IF(I154=0,"",I154/H154)</f>
        <v>#DIV/0!</v>
      </c>
      <c r="K154" s="580">
        <f>SUM(K155)</f>
        <v>0</v>
      </c>
    </row>
    <row r="155" spans="1:12" ht="12.75" customHeight="1" x14ac:dyDescent="0.25">
      <c r="A155" s="518" t="s">
        <v>1323</v>
      </c>
      <c r="B155" s="169"/>
      <c r="C155" s="748"/>
      <c r="D155" s="753"/>
      <c r="E155" s="733"/>
      <c r="F155" s="733">
        <v>1985542.9800000002</v>
      </c>
      <c r="G155" s="733">
        <v>15091003.190000001</v>
      </c>
      <c r="H155" s="733"/>
      <c r="I155" s="44">
        <f>H155-G155</f>
        <v>-15091003.190000001</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10485795.030000001</v>
      </c>
      <c r="G166" s="55">
        <f t="shared" si="33"/>
        <v>76293471.840000004</v>
      </c>
      <c r="H166" s="55">
        <f t="shared" si="33"/>
        <v>194419845.27989221</v>
      </c>
      <c r="I166" s="55">
        <f t="shared" si="1"/>
        <v>118126373.4398922</v>
      </c>
      <c r="J166" s="290">
        <f t="shared" si="2"/>
        <v>0.60758392884139067</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31"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"&amp;S71Sd&amp; " - "&amp;Head57</f>
        <v>KZN225 Msunduzi - Supporting Table SC13d Consolidated Monthly Budget Statement - depreciation by asset class - M10 April</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26379039.59</v>
      </c>
      <c r="G7" s="102">
        <f t="shared" si="0"/>
        <v>267100263.39000002</v>
      </c>
      <c r="H7" s="102">
        <f t="shared" si="0"/>
        <v>85154525.544137359</v>
      </c>
      <c r="I7" s="101">
        <f t="shared" ref="I7:I166" si="1">H7-G7</f>
        <v>-181945737.84586266</v>
      </c>
      <c r="J7" s="579">
        <f t="shared" ref="J7:J166" si="2">IF(I7=0,"",I7/H7)</f>
        <v>-2.1366537677619544</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9840179.7100000028</v>
      </c>
      <c r="G8" s="608">
        <f t="shared" si="3"/>
        <v>99668459.179999992</v>
      </c>
      <c r="H8" s="608">
        <f t="shared" si="3"/>
        <v>12444683.302624427</v>
      </c>
      <c r="I8" s="258">
        <f t="shared" si="1"/>
        <v>-87223775.877375573</v>
      </c>
      <c r="J8" s="575">
        <f t="shared" si="2"/>
        <v>-7.0089188898026178</v>
      </c>
      <c r="K8" s="610">
        <f>SUM(K9:K12)</f>
        <v>14933619.963149311</v>
      </c>
    </row>
    <row r="9" spans="1:11" ht="12.75" customHeight="1" x14ac:dyDescent="0.25">
      <c r="A9" s="574" t="s">
        <v>168</v>
      </c>
      <c r="B9" s="169"/>
      <c r="C9" s="748"/>
      <c r="D9" s="745">
        <v>14851561.889929518</v>
      </c>
      <c r="E9" s="733">
        <v>14851561.889929518</v>
      </c>
      <c r="F9" s="733">
        <v>9840179.7100000028</v>
      </c>
      <c r="G9" s="733">
        <v>99668459.179999992</v>
      </c>
      <c r="H9" s="733">
        <f>E9/12*10</f>
        <v>12376301.574941266</v>
      </c>
      <c r="I9" s="258">
        <f t="shared" si="1"/>
        <v>-87292157.60505873</v>
      </c>
      <c r="J9" s="575">
        <f t="shared" si="2"/>
        <v>-7.0531698889595766</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E12/12*10</f>
        <v>68381.72768316009</v>
      </c>
      <c r="I12" s="258">
        <f t="shared" si="1"/>
        <v>68381.72768316009</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7761558.3100000005</v>
      </c>
      <c r="G17" s="408">
        <f t="shared" si="5"/>
        <v>78524677.37000002</v>
      </c>
      <c r="H17" s="408">
        <f t="shared" si="5"/>
        <v>67370575.212077528</v>
      </c>
      <c r="I17" s="258">
        <f t="shared" si="1"/>
        <v>-11154102.157922491</v>
      </c>
      <c r="J17" s="575">
        <f t="shared" si="2"/>
        <v>-0.16556340988347232</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v>2914964.75</v>
      </c>
      <c r="G19" s="733">
        <v>29506028.360000003</v>
      </c>
      <c r="H19" s="733">
        <f t="shared" ref="H19:H22" si="6">E19/12*10</f>
        <v>32750651.819615573</v>
      </c>
      <c r="I19" s="258">
        <f t="shared" si="1"/>
        <v>3244623.4596155696</v>
      </c>
      <c r="J19" s="575">
        <f t="shared" si="2"/>
        <v>9.9070500260158026E-2</v>
      </c>
      <c r="K19" s="735">
        <f t="shared" ref="K19:K22" si="7">E19</f>
        <v>39300782.18353869</v>
      </c>
    </row>
    <row r="20" spans="1:11" ht="12.75" customHeight="1" x14ac:dyDescent="0.25">
      <c r="A20" s="574" t="s">
        <v>1227</v>
      </c>
      <c r="B20" s="169"/>
      <c r="C20" s="748"/>
      <c r="D20" s="745">
        <v>30417611.026810348</v>
      </c>
      <c r="E20" s="733">
        <v>30417611.026810348</v>
      </c>
      <c r="F20" s="733">
        <v>341418.97</v>
      </c>
      <c r="G20" s="733">
        <v>3366214.24</v>
      </c>
      <c r="H20" s="733">
        <f t="shared" si="6"/>
        <v>25348009.189008623</v>
      </c>
      <c r="I20" s="258">
        <f t="shared" si="1"/>
        <v>21981794.949008621</v>
      </c>
      <c r="J20" s="575">
        <f t="shared" si="2"/>
        <v>0.86720005445399406</v>
      </c>
      <c r="K20" s="735">
        <f t="shared" si="7"/>
        <v>30417611.026810348</v>
      </c>
    </row>
    <row r="21" spans="1:11" ht="12.75" customHeight="1" x14ac:dyDescent="0.25">
      <c r="A21" s="574" t="s">
        <v>1228</v>
      </c>
      <c r="B21" s="169"/>
      <c r="C21" s="748"/>
      <c r="D21" s="745">
        <v>10972255.34036158</v>
      </c>
      <c r="E21" s="733">
        <v>10972255.34036158</v>
      </c>
      <c r="F21" s="733">
        <v>4336805.32</v>
      </c>
      <c r="G21" s="733">
        <v>43946294.350000009</v>
      </c>
      <c r="H21" s="733">
        <f t="shared" si="6"/>
        <v>9143546.1169679835</v>
      </c>
      <c r="I21" s="258">
        <f t="shared" si="1"/>
        <v>-34802748.233032025</v>
      </c>
      <c r="J21" s="575">
        <f t="shared" si="2"/>
        <v>-3.8062637611076742</v>
      </c>
      <c r="K21" s="735">
        <f t="shared" si="7"/>
        <v>10972255.34036158</v>
      </c>
    </row>
    <row r="22" spans="1:11" ht="12.75" customHeight="1" x14ac:dyDescent="0.25">
      <c r="A22" s="574" t="s">
        <v>1229</v>
      </c>
      <c r="B22" s="169"/>
      <c r="C22" s="748"/>
      <c r="D22" s="745">
        <v>154041.70378242273</v>
      </c>
      <c r="E22" s="733">
        <v>154041.70378242273</v>
      </c>
      <c r="F22" s="733"/>
      <c r="G22" s="733"/>
      <c r="H22" s="733">
        <f t="shared" si="6"/>
        <v>128368.08648535227</v>
      </c>
      <c r="I22" s="258">
        <f t="shared" si="1"/>
        <v>128368.08648535227</v>
      </c>
      <c r="J22" s="575">
        <f t="shared" si="2"/>
        <v>1</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168369.27000000002</v>
      </c>
      <c r="G25" s="733">
        <v>1706140.4199999997</v>
      </c>
      <c r="H25" s="733"/>
      <c r="I25" s="258">
        <f t="shared" si="1"/>
        <v>-1706140.4199999997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6995151.6899999995</v>
      </c>
      <c r="G27" s="408">
        <f t="shared" si="8"/>
        <v>70863137.370000005</v>
      </c>
      <c r="H27" s="408">
        <f t="shared" si="8"/>
        <v>5339267.0294354027</v>
      </c>
      <c r="I27" s="258">
        <f t="shared" si="1"/>
        <v>-65523870.340564601</v>
      </c>
      <c r="J27" s="575">
        <f t="shared" si="2"/>
        <v>-12.272072173826709</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E30/12*10</f>
        <v>5339267.0294354027</v>
      </c>
      <c r="I30" s="258">
        <f t="shared" si="1"/>
        <v>5339267.0294354027</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6995151.6899999995</v>
      </c>
      <c r="G34" s="733">
        <v>70863137.370000005</v>
      </c>
      <c r="H34" s="733"/>
      <c r="I34" s="258">
        <f t="shared" si="1"/>
        <v>-70863137.370000005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1658254.24</v>
      </c>
      <c r="G38" s="408">
        <f t="shared" si="9"/>
        <v>16788514.909999996</v>
      </c>
      <c r="H38" s="408">
        <f t="shared" si="9"/>
        <v>0</v>
      </c>
      <c r="I38" s="258">
        <f t="shared" si="1"/>
        <v>-16788514.909999996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1658254.24</v>
      </c>
      <c r="G41" s="733">
        <v>16788514.909999996</v>
      </c>
      <c r="H41" s="733"/>
      <c r="I41" s="258">
        <f t="shared" si="1"/>
        <v>-16788514.909999996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114089.27</v>
      </c>
      <c r="G45" s="408">
        <f t="shared" si="10"/>
        <v>1156103.53</v>
      </c>
      <c r="H45" s="408">
        <f t="shared" si="10"/>
        <v>0</v>
      </c>
      <c r="I45" s="258">
        <f t="shared" si="1"/>
        <v>-1156103.53</v>
      </c>
      <c r="J45" s="575" t="e">
        <f t="shared" si="2"/>
        <v>#DIV/0!</v>
      </c>
      <c r="K45" s="642">
        <f>SUM(K46:K52)</f>
        <v>0</v>
      </c>
    </row>
    <row r="46" spans="1:11" ht="12.75" customHeight="1" x14ac:dyDescent="0.25">
      <c r="A46" s="574" t="s">
        <v>1249</v>
      </c>
      <c r="B46" s="169"/>
      <c r="C46" s="748"/>
      <c r="D46" s="745"/>
      <c r="E46" s="733"/>
      <c r="F46" s="733">
        <v>114089.27</v>
      </c>
      <c r="G46" s="733">
        <v>1156103.53</v>
      </c>
      <c r="H46" s="733"/>
      <c r="I46" s="258">
        <f t="shared" si="1"/>
        <v>-1156103.53</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9806.369999999999</v>
      </c>
      <c r="G53" s="408">
        <f t="shared" si="11"/>
        <v>99371.03</v>
      </c>
      <c r="H53" s="408">
        <f t="shared" si="11"/>
        <v>0</v>
      </c>
      <c r="I53" s="258">
        <f t="shared" si="1"/>
        <v>-99371.03</v>
      </c>
      <c r="J53" s="575" t="e">
        <f t="shared" si="2"/>
        <v>#DIV/0!</v>
      </c>
      <c r="K53" s="642">
        <f>SUM(K54:K62)</f>
        <v>0</v>
      </c>
    </row>
    <row r="54" spans="1:11" ht="12.75" customHeight="1" x14ac:dyDescent="0.25">
      <c r="A54" s="574" t="s">
        <v>1256</v>
      </c>
      <c r="B54" s="169"/>
      <c r="C54" s="748"/>
      <c r="D54" s="745"/>
      <c r="E54" s="733"/>
      <c r="F54" s="733">
        <v>9806.369999999999</v>
      </c>
      <c r="G54" s="733">
        <v>99371.03</v>
      </c>
      <c r="H54" s="733"/>
      <c r="I54" s="258">
        <f t="shared" si="1"/>
        <v>-99371.03</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2460314.2700000005</v>
      </c>
      <c r="G75" s="578">
        <f t="shared" si="14"/>
        <v>24926241.899999991</v>
      </c>
      <c r="H75" s="578">
        <f t="shared" si="14"/>
        <v>31941843.107188858</v>
      </c>
      <c r="I75" s="578">
        <f t="shared" si="1"/>
        <v>7015601.207188867</v>
      </c>
      <c r="J75" s="579">
        <f t="shared" si="2"/>
        <v>0.2196367061113618</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1357133.26</v>
      </c>
      <c r="G76" s="408">
        <f t="shared" si="15"/>
        <v>13747339.669999998</v>
      </c>
      <c r="H76" s="408">
        <f t="shared" si="15"/>
        <v>18510803.836496115</v>
      </c>
      <c r="I76" s="258">
        <f t="shared" si="1"/>
        <v>4763464.1664961167</v>
      </c>
      <c r="J76" s="575">
        <f t="shared" si="2"/>
        <v>0.25733426860179975</v>
      </c>
      <c r="K76" s="642">
        <f>SUM(K77:K98)</f>
        <v>22212964.603795335</v>
      </c>
    </row>
    <row r="77" spans="1:11" ht="12.75" customHeight="1" x14ac:dyDescent="0.25">
      <c r="A77" s="574" t="s">
        <v>1269</v>
      </c>
      <c r="B77" s="169"/>
      <c r="C77" s="748"/>
      <c r="D77" s="753">
        <v>216338.10110699103</v>
      </c>
      <c r="E77" s="733">
        <v>216338.10110699103</v>
      </c>
      <c r="F77" s="733"/>
      <c r="G77" s="733"/>
      <c r="H77" s="733">
        <f>E77/12*10</f>
        <v>180281.75092249253</v>
      </c>
      <c r="I77" s="44">
        <f t="shared" si="1"/>
        <v>180281.75092249253</v>
      </c>
      <c r="J77" s="124">
        <f t="shared" si="2"/>
        <v>1</v>
      </c>
      <c r="K77" s="735">
        <f>E77</f>
        <v>216338.10110699103</v>
      </c>
    </row>
    <row r="78" spans="1:11" ht="12.75" customHeight="1" x14ac:dyDescent="0.25">
      <c r="A78" s="574" t="s">
        <v>1270</v>
      </c>
      <c r="B78" s="169"/>
      <c r="C78" s="748"/>
      <c r="D78" s="753"/>
      <c r="E78" s="733"/>
      <c r="F78" s="733">
        <v>293511.86000000004</v>
      </c>
      <c r="G78" s="733">
        <v>2974254.36</v>
      </c>
      <c r="H78" s="733"/>
      <c r="I78" s="44">
        <f t="shared" si="1"/>
        <v>-2974254.36</v>
      </c>
      <c r="J78" s="124" t="e">
        <f t="shared" si="2"/>
        <v>#DIV/0!</v>
      </c>
      <c r="K78" s="735"/>
    </row>
    <row r="79" spans="1:11" ht="12.75" customHeight="1" x14ac:dyDescent="0.25">
      <c r="A79" s="574" t="s">
        <v>1271</v>
      </c>
      <c r="B79" s="169"/>
      <c r="C79" s="748"/>
      <c r="D79" s="753"/>
      <c r="E79" s="733"/>
      <c r="F79" s="733">
        <v>41098.839999999997</v>
      </c>
      <c r="G79" s="733">
        <v>416467.86</v>
      </c>
      <c r="H79" s="733"/>
      <c r="I79" s="44">
        <f t="shared" si="1"/>
        <v>-416467.86</v>
      </c>
      <c r="J79" s="124" t="e">
        <f t="shared" si="2"/>
        <v>#DIV/0!</v>
      </c>
      <c r="K79" s="735"/>
    </row>
    <row r="80" spans="1:11" ht="12.75" customHeight="1" x14ac:dyDescent="0.25">
      <c r="A80" s="574" t="s">
        <v>1272</v>
      </c>
      <c r="B80" s="169"/>
      <c r="C80" s="748"/>
      <c r="D80" s="753">
        <v>11576837.362840936</v>
      </c>
      <c r="E80" s="733">
        <v>11576837.362840936</v>
      </c>
      <c r="F80" s="733">
        <v>57264.869999999995</v>
      </c>
      <c r="G80" s="733">
        <v>580284.66999999993</v>
      </c>
      <c r="H80" s="733">
        <f t="shared" ref="H80:H81" si="16">E80/12*10</f>
        <v>9647364.469034113</v>
      </c>
      <c r="I80" s="44">
        <f t="shared" si="1"/>
        <v>9067079.7990341131</v>
      </c>
      <c r="J80" s="124">
        <f t="shared" si="2"/>
        <v>0.93985044600910594</v>
      </c>
      <c r="K80" s="735">
        <f t="shared" ref="K80:K81" si="17">E80</f>
        <v>11576837.362840936</v>
      </c>
    </row>
    <row r="81" spans="1:11" ht="12.75" customHeight="1" x14ac:dyDescent="0.25">
      <c r="A81" s="574" t="s">
        <v>1273</v>
      </c>
      <c r="B81" s="169"/>
      <c r="C81" s="748"/>
      <c r="D81" s="753">
        <v>4052316.8497124896</v>
      </c>
      <c r="E81" s="733">
        <v>4052316.8497124896</v>
      </c>
      <c r="F81" s="733">
        <v>50853.36</v>
      </c>
      <c r="G81" s="733">
        <v>515313.89</v>
      </c>
      <c r="H81" s="733">
        <f t="shared" si="16"/>
        <v>3376930.7080937414</v>
      </c>
      <c r="I81" s="44">
        <f t="shared" si="1"/>
        <v>2861616.8180937413</v>
      </c>
      <c r="J81" s="124">
        <f t="shared" si="2"/>
        <v>0.84740169860017889</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31208.91</v>
      </c>
      <c r="G85" s="733">
        <v>316250.42</v>
      </c>
      <c r="H85" s="733"/>
      <c r="I85" s="44">
        <f t="shared" si="1"/>
        <v>-316250.42</v>
      </c>
      <c r="J85" s="124" t="e">
        <f t="shared" si="2"/>
        <v>#DIV/0!</v>
      </c>
      <c r="K85" s="735"/>
    </row>
    <row r="86" spans="1:11" ht="12.75" customHeight="1" x14ac:dyDescent="0.25">
      <c r="A86" s="574" t="s">
        <v>553</v>
      </c>
      <c r="B86" s="169"/>
      <c r="C86" s="748"/>
      <c r="D86" s="753">
        <v>5202994.7779857824</v>
      </c>
      <c r="E86" s="733">
        <v>5202994.7779857824</v>
      </c>
      <c r="F86" s="733">
        <v>225023.04</v>
      </c>
      <c r="G86" s="733">
        <v>2280233.7399999998</v>
      </c>
      <c r="H86" s="733">
        <f>E86/12*10</f>
        <v>4335828.9816548191</v>
      </c>
      <c r="I86" s="44">
        <f t="shared" si="1"/>
        <v>2055595.2416548193</v>
      </c>
      <c r="J86" s="124">
        <f t="shared" si="2"/>
        <v>0.47409509239229214</v>
      </c>
      <c r="K86" s="735">
        <f>E86</f>
        <v>5202994.7779857824</v>
      </c>
    </row>
    <row r="87" spans="1:11" ht="12.75" customHeight="1" x14ac:dyDescent="0.25">
      <c r="A87" s="574" t="s">
        <v>1277</v>
      </c>
      <c r="B87" s="169"/>
      <c r="C87" s="748"/>
      <c r="D87" s="753"/>
      <c r="E87" s="733"/>
      <c r="F87" s="733">
        <v>36707.589999999997</v>
      </c>
      <c r="G87" s="733">
        <v>371970.31000000006</v>
      </c>
      <c r="H87" s="733"/>
      <c r="I87" s="44">
        <f t="shared" si="1"/>
        <v>-371970.31000000006</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E89/12*10</f>
        <v>580912.29167901957</v>
      </c>
      <c r="I89" s="44">
        <f t="shared" si="1"/>
        <v>580912.29167901957</v>
      </c>
      <c r="J89" s="124">
        <f t="shared" si="2"/>
        <v>1</v>
      </c>
      <c r="K89" s="735">
        <f>E89</f>
        <v>697094.75001482351</v>
      </c>
    </row>
    <row r="90" spans="1:11" ht="12.75" customHeight="1" x14ac:dyDescent="0.25">
      <c r="A90" s="574" t="s">
        <v>1279</v>
      </c>
      <c r="B90" s="169"/>
      <c r="C90" s="748"/>
      <c r="D90" s="753"/>
      <c r="E90" s="733"/>
      <c r="F90" s="733">
        <v>7900.58</v>
      </c>
      <c r="G90" s="733">
        <v>80058.890000000014</v>
      </c>
      <c r="H90" s="733"/>
      <c r="I90" s="44">
        <f t="shared" si="1"/>
        <v>-80058.890000000014</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85164.3</v>
      </c>
      <c r="G92" s="733">
        <v>862997.58999999973</v>
      </c>
      <c r="H92" s="733">
        <f>E92/12*10</f>
        <v>389485.63511192659</v>
      </c>
      <c r="I92" s="44">
        <f t="shared" si="1"/>
        <v>-473511.95488807315</v>
      </c>
      <c r="J92" s="124">
        <f t="shared" si="2"/>
        <v>-1.2157366336553077</v>
      </c>
      <c r="K92" s="735">
        <f>E92</f>
        <v>467382.76213431195</v>
      </c>
    </row>
    <row r="93" spans="1:11" ht="12.75" customHeight="1" x14ac:dyDescent="0.25">
      <c r="A93" s="574" t="s">
        <v>441</v>
      </c>
      <c r="B93" s="169"/>
      <c r="C93" s="748"/>
      <c r="D93" s="753"/>
      <c r="E93" s="733"/>
      <c r="F93" s="733">
        <v>473673.20999999996</v>
      </c>
      <c r="G93" s="733">
        <v>4794943.76</v>
      </c>
      <c r="H93" s="733"/>
      <c r="I93" s="44">
        <f t="shared" si="1"/>
        <v>-4794943.76</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54726.7</v>
      </c>
      <c r="G96" s="733">
        <v>554564.17999999993</v>
      </c>
      <c r="H96" s="733"/>
      <c r="I96" s="44">
        <f t="shared" si="1"/>
        <v>-554564.17999999993</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1103181.0100000002</v>
      </c>
      <c r="G99" s="408">
        <f t="shared" si="18"/>
        <v>11178902.229999993</v>
      </c>
      <c r="H99" s="408">
        <f t="shared" si="18"/>
        <v>13431039.270692743</v>
      </c>
      <c r="I99" s="258">
        <f t="shared" si="1"/>
        <v>2252137.0406927504</v>
      </c>
      <c r="J99" s="575">
        <f t="shared" si="2"/>
        <v>0.16768151706674223</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E100/12*10</f>
        <v>36220.81607086664</v>
      </c>
      <c r="I100" s="44">
        <f t="shared" si="1"/>
        <v>36220.81607086664</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1103181.0100000002</v>
      </c>
      <c r="G101" s="733">
        <v>11178902.229999993</v>
      </c>
      <c r="H101" s="733">
        <f t="shared" si="19"/>
        <v>7224573.1870510001</v>
      </c>
      <c r="I101" s="44">
        <f>H101-G101</f>
        <v>-3954329.0429489929</v>
      </c>
      <c r="J101" s="124">
        <f>IF(I101=0,"",I101/H101)</f>
        <v>-0.54734431233066538</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6170245.2675708774</v>
      </c>
      <c r="I102" s="44">
        <f t="shared" si="1"/>
        <v>6170245.2675708774</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2134175.2899999986</v>
      </c>
      <c r="G117" s="578">
        <f t="shared" si="25"/>
        <v>21626537.639999986</v>
      </c>
      <c r="H117" s="578">
        <f t="shared" si="25"/>
        <v>135853307.97304979</v>
      </c>
      <c r="I117" s="578">
        <f t="shared" si="1"/>
        <v>114226770.3330498</v>
      </c>
      <c r="J117" s="579">
        <f t="shared" si="2"/>
        <v>0.84080963531421549</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2131274.4899999988</v>
      </c>
      <c r="G118" s="408">
        <f t="shared" si="26"/>
        <v>21597143.099999987</v>
      </c>
      <c r="H118" s="408">
        <f t="shared" si="26"/>
        <v>135853307.97304979</v>
      </c>
      <c r="I118" s="258">
        <f t="shared" si="1"/>
        <v>114256164.8730498</v>
      </c>
      <c r="J118" s="575">
        <f t="shared" si="2"/>
        <v>0.84102600501796854</v>
      </c>
      <c r="K118" s="642">
        <f>SUM(K119:K129)</f>
        <v>163023969.56765977</v>
      </c>
    </row>
    <row r="119" spans="1:11" ht="12.75" customHeight="1" x14ac:dyDescent="0.25">
      <c r="A119" s="574" t="s">
        <v>1299</v>
      </c>
      <c r="B119" s="169"/>
      <c r="C119" s="748"/>
      <c r="D119" s="753">
        <v>108029891.92018634</v>
      </c>
      <c r="E119" s="733">
        <v>108029891.92018634</v>
      </c>
      <c r="F119" s="733">
        <v>2063149.9799999991</v>
      </c>
      <c r="G119" s="733">
        <v>20906814.209999986</v>
      </c>
      <c r="H119" s="733">
        <f>E119/12*10</f>
        <v>90024909.933488607</v>
      </c>
      <c r="I119" s="44">
        <f t="shared" si="1"/>
        <v>69118095.723488629</v>
      </c>
      <c r="J119" s="124">
        <f t="shared" si="2"/>
        <v>0.76776634127769572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68124.509999999995</v>
      </c>
      <c r="G122" s="733">
        <v>690328.89</v>
      </c>
      <c r="H122" s="733">
        <f>E122/12*10</f>
        <v>1440686.3146264087</v>
      </c>
      <c r="I122" s="44">
        <f t="shared" si="1"/>
        <v>750357.42462640873</v>
      </c>
      <c r="J122" s="124">
        <f t="shared" si="2"/>
        <v>0.52083331187954507</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E129/12*10</f>
        <v>44387711.724934772</v>
      </c>
      <c r="I129" s="44">
        <f t="shared" si="1"/>
        <v>44387711.724934772</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2900.8</v>
      </c>
      <c r="G130" s="408">
        <f t="shared" si="27"/>
        <v>29394.54</v>
      </c>
      <c r="H130" s="408">
        <f t="shared" si="27"/>
        <v>0</v>
      </c>
      <c r="I130" s="258">
        <f t="shared" si="1"/>
        <v>-29394.54</v>
      </c>
      <c r="J130" s="575" t="e">
        <f t="shared" si="2"/>
        <v>#DIV/0!</v>
      </c>
      <c r="K130" s="642">
        <f>SUM(K131:K133)</f>
        <v>0</v>
      </c>
    </row>
    <row r="131" spans="1:11" ht="12.75" customHeight="1" x14ac:dyDescent="0.25">
      <c r="A131" s="574" t="s">
        <v>1309</v>
      </c>
      <c r="B131" s="169"/>
      <c r="C131" s="748"/>
      <c r="D131" s="753"/>
      <c r="E131" s="733"/>
      <c r="F131" s="733">
        <v>2900.8</v>
      </c>
      <c r="G131" s="733">
        <v>29394.54</v>
      </c>
      <c r="H131" s="733"/>
      <c r="I131" s="44">
        <f t="shared" si="1"/>
        <v>-29394.54</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860868.27999999991</v>
      </c>
      <c r="G138" s="942">
        <f t="shared" si="30"/>
        <v>8723464.8200000022</v>
      </c>
      <c r="H138" s="942">
        <f t="shared" si="30"/>
        <v>70745866.670156434</v>
      </c>
      <c r="I138" s="942">
        <f t="shared" ref="I138:I146" si="31">H138-G138</f>
        <v>62022401.850156434</v>
      </c>
      <c r="J138" s="324">
        <f t="shared" si="29"/>
        <v>0.87669294008832999</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860868.27999999991</v>
      </c>
      <c r="G140" s="408">
        <f t="shared" si="32"/>
        <v>8723464.8200000022</v>
      </c>
      <c r="H140" s="408">
        <f t="shared" si="32"/>
        <v>70745866.670156434</v>
      </c>
      <c r="I140" s="258">
        <f t="shared" si="31"/>
        <v>62022401.850156434</v>
      </c>
      <c r="J140" s="575">
        <f t="shared" si="29"/>
        <v>0.87669294008832999</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860868.27999999991</v>
      </c>
      <c r="G144" s="733">
        <v>8723464.8200000022</v>
      </c>
      <c r="H144" s="733">
        <f t="shared" ref="H144:H145" si="33">E144/12*10</f>
        <v>69268321.59546499</v>
      </c>
      <c r="I144" s="44">
        <f t="shared" si="31"/>
        <v>60544856.775464989</v>
      </c>
      <c r="J144" s="124">
        <f t="shared" si="29"/>
        <v>0.87406270833374533</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1477545.0746914502</v>
      </c>
      <c r="I145" s="44">
        <f t="shared" si="31"/>
        <v>1477545.0746914502</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874952.49000000057</v>
      </c>
      <c r="G148" s="578">
        <f t="shared" si="35"/>
        <v>8515462.2299999967</v>
      </c>
      <c r="H148" s="578">
        <f t="shared" si="35"/>
        <v>47971585.394828096</v>
      </c>
      <c r="I148" s="578">
        <f>H148-G148</f>
        <v>39456123.164828099</v>
      </c>
      <c r="J148" s="324">
        <f>IF(I148=0,"",I148/H148)</f>
        <v>0.82248945579109289</v>
      </c>
      <c r="K148" s="580">
        <f>SUM(K149)</f>
        <v>57565902.473793715</v>
      </c>
    </row>
    <row r="149" spans="1:12" ht="12.75" customHeight="1" x14ac:dyDescent="0.25">
      <c r="A149" s="518" t="s">
        <v>1321</v>
      </c>
      <c r="B149" s="169"/>
      <c r="C149" s="748"/>
      <c r="D149" s="753">
        <v>65065902.198033363</v>
      </c>
      <c r="E149" s="733">
        <v>57565902.473793715</v>
      </c>
      <c r="F149" s="733">
        <v>874952.49000000057</v>
      </c>
      <c r="G149" s="733">
        <v>8515462.2299999967</v>
      </c>
      <c r="H149" s="733">
        <f>E149/12*10</f>
        <v>47971585.394828096</v>
      </c>
      <c r="I149" s="44">
        <f>H149-G149</f>
        <v>39456123.164828099</v>
      </c>
      <c r="J149" s="124">
        <f>IF(I149=0,"",I149/H149)</f>
        <v>0.82248945579109289</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136446.79</v>
      </c>
      <c r="G151" s="578">
        <f t="shared" si="36"/>
        <v>1371380.6799999995</v>
      </c>
      <c r="H151" s="578">
        <f t="shared" si="36"/>
        <v>23304606.906051248</v>
      </c>
      <c r="I151" s="578">
        <f>H151-G151</f>
        <v>21933226.226051249</v>
      </c>
      <c r="J151" s="324">
        <f>IF(I151=0,"",I151/H151)</f>
        <v>0.94115409517403581</v>
      </c>
      <c r="K151" s="580">
        <f>SUM(K152)</f>
        <v>27965528.287261501</v>
      </c>
    </row>
    <row r="152" spans="1:12" ht="12.75" customHeight="1" x14ac:dyDescent="0.25">
      <c r="A152" s="518" t="s">
        <v>1322</v>
      </c>
      <c r="B152" s="169"/>
      <c r="C152" s="748"/>
      <c r="D152" s="753">
        <v>27965528.287261501</v>
      </c>
      <c r="E152" s="733">
        <v>27965528.287261501</v>
      </c>
      <c r="F152" s="733">
        <v>136446.79</v>
      </c>
      <c r="G152" s="733">
        <v>1371380.6799999995</v>
      </c>
      <c r="H152" s="733">
        <f>E152/12*10</f>
        <v>23304606.906051248</v>
      </c>
      <c r="I152" s="44">
        <f>H152-G152</f>
        <v>21933226.226051249</v>
      </c>
      <c r="J152" s="124">
        <f>IF(I152=0,"",I152/H152)</f>
        <v>0.94115409517403581</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750025.44000000018</v>
      </c>
      <c r="G154" s="578">
        <f t="shared" si="37"/>
        <v>7423279.3200000031</v>
      </c>
      <c r="H154" s="578">
        <f t="shared" si="37"/>
        <v>6973921.270708438</v>
      </c>
      <c r="I154" s="578">
        <f>H154-G154</f>
        <v>-449358.04929156508</v>
      </c>
      <c r="J154" s="324">
        <f>IF(I154=0,"",I154/H154)</f>
        <v>-6.4434058236209138E-2</v>
      </c>
      <c r="K154" s="580">
        <f>SUM(K155)</f>
        <v>8368705.5248501254</v>
      </c>
    </row>
    <row r="155" spans="1:12" ht="12.75" customHeight="1" x14ac:dyDescent="0.25">
      <c r="A155" s="518" t="s">
        <v>1323</v>
      </c>
      <c r="B155" s="169"/>
      <c r="C155" s="748"/>
      <c r="D155" s="753">
        <v>7418705.5248501254</v>
      </c>
      <c r="E155" s="733">
        <v>8368705.5248501254</v>
      </c>
      <c r="F155" s="733">
        <v>750025.44000000018</v>
      </c>
      <c r="G155" s="733">
        <v>7423279.3200000031</v>
      </c>
      <c r="H155" s="733">
        <f>E155/12*10</f>
        <v>6973921.270708438</v>
      </c>
      <c r="I155" s="44">
        <f>H155-G155</f>
        <v>-449358.04929156508</v>
      </c>
      <c r="J155" s="124">
        <f>IF(I155=0,"",I155/H155)</f>
        <v>-6.4434058236209138E-2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1266857.7499999998</v>
      </c>
      <c r="G157" s="578">
        <f t="shared" si="38"/>
        <v>12453348.35</v>
      </c>
      <c r="H157" s="578">
        <f t="shared" si="38"/>
        <v>88883.592630011204</v>
      </c>
      <c r="I157" s="578">
        <f>H157-G157</f>
        <v>-12364464.757369988</v>
      </c>
      <c r="J157" s="324">
        <f>IF(I157=0,"",I157/H157)</f>
        <v>-139.1085170109919</v>
      </c>
      <c r="K157" s="580">
        <f>SUM(K158)</f>
        <v>106660.31115601346</v>
      </c>
    </row>
    <row r="158" spans="1:12" ht="12.75" customHeight="1" x14ac:dyDescent="0.25">
      <c r="A158" s="518" t="s">
        <v>1324</v>
      </c>
      <c r="B158" s="169"/>
      <c r="C158" s="748"/>
      <c r="D158" s="753">
        <v>106660.31115601346</v>
      </c>
      <c r="E158" s="733">
        <v>106660.31115601346</v>
      </c>
      <c r="F158" s="733">
        <v>1266857.7499999998</v>
      </c>
      <c r="G158" s="733">
        <v>12453348.35</v>
      </c>
      <c r="H158" s="733">
        <f>E158/12*10</f>
        <v>88883.592630011204</v>
      </c>
      <c r="I158" s="44">
        <f>H158-G158</f>
        <v>-12364464.757369988</v>
      </c>
      <c r="J158" s="124">
        <f>IF(I158=0,"",I158/H158)</f>
        <v>-139.1085170109919</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34862679.899999999</v>
      </c>
      <c r="G166" s="55">
        <f t="shared" si="41"/>
        <v>352139978.33000004</v>
      </c>
      <c r="H166" s="55">
        <f t="shared" si="41"/>
        <v>402034540.45875025</v>
      </c>
      <c r="I166" s="55">
        <f t="shared" si="1"/>
        <v>49894562.128750205</v>
      </c>
      <c r="J166" s="290">
        <f t="shared" si="2"/>
        <v>0.12410516288430574</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"&amp;S71Se&amp; " - "&amp;Head57</f>
        <v>KZN225 Msunduzi - Supporting Table SC13e Monthly Budget Statement - capital expenditure on upgrading of existing assets by asset class - M10 April</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46014301.969999999</v>
      </c>
      <c r="G7" s="102">
        <f t="shared" si="0"/>
        <v>200315820.29000002</v>
      </c>
      <c r="H7" s="102">
        <f t="shared" si="0"/>
        <v>85233439.429791972</v>
      </c>
      <c r="I7" s="101">
        <f t="shared" ref="I7:I133" si="1">H7-G7</f>
        <v>-115082380.86020805</v>
      </c>
      <c r="J7" s="579">
        <f t="shared" ref="J7:J136" si="2">IF(I7=0,"",I7/H7)</f>
        <v>-1.3502022402252474</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44236409.390000001</v>
      </c>
      <c r="G8" s="608">
        <f t="shared" si="3"/>
        <v>182778030.81999999</v>
      </c>
      <c r="H8" s="608">
        <f t="shared" si="3"/>
        <v>59015843.333333328</v>
      </c>
      <c r="I8" s="258">
        <f t="shared" si="1"/>
        <v>-123762187.48666666</v>
      </c>
      <c r="J8" s="575">
        <f t="shared" si="2"/>
        <v>-2.0971010578910647</v>
      </c>
      <c r="K8" s="610">
        <f>SUM(K9:K12)</f>
        <v>70819012</v>
      </c>
    </row>
    <row r="9" spans="1:11" ht="12.75" customHeight="1" x14ac:dyDescent="0.25">
      <c r="A9" s="574" t="s">
        <v>168</v>
      </c>
      <c r="B9" s="169"/>
      <c r="C9" s="748"/>
      <c r="D9" s="745">
        <v>31255314.729466628</v>
      </c>
      <c r="E9" s="733">
        <v>70819012</v>
      </c>
      <c r="F9" s="733">
        <v>44236409.390000001</v>
      </c>
      <c r="G9" s="733">
        <v>182778030.81999999</v>
      </c>
      <c r="H9" s="733">
        <f>E9/12*10</f>
        <v>59015843.333333328</v>
      </c>
      <c r="I9" s="258">
        <f t="shared" si="1"/>
        <v>-123762187.48666666</v>
      </c>
      <c r="J9" s="575">
        <f t="shared" si="2"/>
        <v>-2.0971010578910647</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13487899.87463573</v>
      </c>
      <c r="I17" s="258">
        <f t="shared" si="1"/>
        <v>13487899.87463573</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E18/12*10</f>
        <v>13487899.87463573</v>
      </c>
      <c r="I18" s="258">
        <f t="shared" si="1"/>
        <v>13487899.87463573</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1415338.83</v>
      </c>
      <c r="G27" s="408">
        <f t="shared" si="6"/>
        <v>13687182.109999999</v>
      </c>
      <c r="H27" s="408">
        <f t="shared" si="6"/>
        <v>4552675.3884895872</v>
      </c>
      <c r="I27" s="258">
        <f t="shared" si="1"/>
        <v>-9134506.7215104122</v>
      </c>
      <c r="J27" s="575">
        <f t="shared" si="2"/>
        <v>-2.0064041342822181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E30/12*10</f>
        <v>4552675.3884895872</v>
      </c>
      <c r="I30" s="258">
        <f t="shared" si="1"/>
        <v>4552675.3884895872</v>
      </c>
      <c r="J30" s="575">
        <f t="shared" si="2"/>
        <v>1</v>
      </c>
      <c r="K30" s="735">
        <f>E30</f>
        <v>5463210.4661875041</v>
      </c>
    </row>
    <row r="31" spans="1:11" ht="12.75" customHeight="1" x14ac:dyDescent="0.25">
      <c r="A31" s="574" t="s">
        <v>1237</v>
      </c>
      <c r="B31" s="169"/>
      <c r="C31" s="748"/>
      <c r="D31" s="745"/>
      <c r="E31" s="733"/>
      <c r="F31" s="733">
        <v>1415338.83</v>
      </c>
      <c r="G31" s="733">
        <v>13687182.109999999</v>
      </c>
      <c r="H31" s="733"/>
      <c r="I31" s="258">
        <f t="shared" si="1"/>
        <v>-13687182.109999999</v>
      </c>
      <c r="J31" s="575" t="e">
        <f t="shared" si="2"/>
        <v>#DIV/0!</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362553.75</v>
      </c>
      <c r="G45" s="408">
        <f t="shared" si="8"/>
        <v>3850607.3599999994</v>
      </c>
      <c r="H45" s="408">
        <f t="shared" si="8"/>
        <v>8177020.833333334</v>
      </c>
      <c r="I45" s="258">
        <f t="shared" si="1"/>
        <v>4326413.4733333346</v>
      </c>
      <c r="J45" s="575">
        <f t="shared" si="2"/>
        <v>0.5290940993689125</v>
      </c>
      <c r="K45" s="642">
        <f>SUM(K46:K52)</f>
        <v>9812425</v>
      </c>
    </row>
    <row r="46" spans="1:11" ht="12.75" customHeight="1" x14ac:dyDescent="0.25">
      <c r="A46" s="574" t="s">
        <v>1249</v>
      </c>
      <c r="B46" s="169"/>
      <c r="C46" s="748"/>
      <c r="D46" s="745">
        <v>4127956.9724179767</v>
      </c>
      <c r="E46" s="733">
        <v>9812425</v>
      </c>
      <c r="F46" s="733">
        <v>362553.75</v>
      </c>
      <c r="G46" s="733">
        <v>3850607.3599999994</v>
      </c>
      <c r="H46" s="733">
        <f>E46/12*10</f>
        <v>8177020.833333334</v>
      </c>
      <c r="I46" s="258">
        <f t="shared" si="1"/>
        <v>4326413.4733333346</v>
      </c>
      <c r="J46" s="575">
        <f t="shared" si="2"/>
        <v>0.5290940993689125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3796528.04</v>
      </c>
      <c r="G75" s="578">
        <f t="shared" si="12"/>
        <v>6975079.5</v>
      </c>
      <c r="H75" s="578">
        <f t="shared" si="12"/>
        <v>6992059.166666666</v>
      </c>
      <c r="I75" s="578">
        <f t="shared" si="1"/>
        <v>16979.666666666046</v>
      </c>
      <c r="J75" s="579">
        <f t="shared" si="2"/>
        <v>2.4284214795568995E-3</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3796528.04</v>
      </c>
      <c r="G76" s="408">
        <f t="shared" si="13"/>
        <v>6975079.5</v>
      </c>
      <c r="H76" s="408">
        <f t="shared" si="13"/>
        <v>4812008.333333333</v>
      </c>
      <c r="I76" s="258">
        <f t="shared" si="1"/>
        <v>-2163071.166666667</v>
      </c>
      <c r="J76" s="575">
        <f t="shared" si="2"/>
        <v>-0.4495152578358656</v>
      </c>
      <c r="K76" s="642">
        <f>SUM(K77:K98)</f>
        <v>5774410</v>
      </c>
    </row>
    <row r="77" spans="1:11" ht="12.75" customHeight="1" x14ac:dyDescent="0.25">
      <c r="A77" s="574" t="s">
        <v>1269</v>
      </c>
      <c r="B77" s="169"/>
      <c r="C77" s="748"/>
      <c r="D77" s="753"/>
      <c r="E77" s="733">
        <v>5774410</v>
      </c>
      <c r="F77" s="733"/>
      <c r="G77" s="733"/>
      <c r="H77" s="733">
        <f>E77/12*10</f>
        <v>4812008.333333333</v>
      </c>
      <c r="I77" s="44">
        <f t="shared" si="1"/>
        <v>4812008.333333333</v>
      </c>
      <c r="J77" s="124">
        <f t="shared" si="2"/>
        <v>1</v>
      </c>
      <c r="K77" s="735">
        <f>E77</f>
        <v>5774410</v>
      </c>
    </row>
    <row r="78" spans="1:11" ht="12.75" customHeight="1" x14ac:dyDescent="0.25">
      <c r="A78" s="574" t="s">
        <v>1270</v>
      </c>
      <c r="B78" s="169"/>
      <c r="C78" s="748"/>
      <c r="D78" s="753"/>
      <c r="E78" s="733"/>
      <c r="F78" s="733">
        <v>2165403.9300000002</v>
      </c>
      <c r="G78" s="733">
        <v>4587751.76</v>
      </c>
      <c r="H78" s="733"/>
      <c r="I78" s="44">
        <f t="shared" si="1"/>
        <v>-4587751.76</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80049.11</v>
      </c>
      <c r="G85" s="733">
        <v>205932.74</v>
      </c>
      <c r="H85" s="733"/>
      <c r="I85" s="44">
        <f t="shared" si="1"/>
        <v>-205932.74</v>
      </c>
      <c r="J85" s="124" t="e">
        <f t="shared" si="2"/>
        <v>#DIV/0!</v>
      </c>
      <c r="K85" s="735"/>
    </row>
    <row r="86" spans="1:11" ht="12.75" customHeight="1" x14ac:dyDescent="0.25">
      <c r="A86" s="574" t="s">
        <v>553</v>
      </c>
      <c r="B86" s="169"/>
      <c r="C86" s="748"/>
      <c r="D86" s="753"/>
      <c r="E86" s="733"/>
      <c r="F86" s="733">
        <v>1551075</v>
      </c>
      <c r="G86" s="733">
        <v>2181395</v>
      </c>
      <c r="H86" s="733"/>
      <c r="I86" s="44">
        <f t="shared" si="1"/>
        <v>-2181395</v>
      </c>
      <c r="J86" s="124" t="e">
        <f t="shared" si="2"/>
        <v>#DIV/0!</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2180050.8333333335</v>
      </c>
      <c r="I99" s="258">
        <f t="shared" si="1"/>
        <v>2180050.8333333335</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E101/12*10</f>
        <v>2180050.8333333335</v>
      </c>
      <c r="I101" s="44">
        <f>H101-G101</f>
        <v>2180050.8333333335</v>
      </c>
      <c r="J101" s="124">
        <f>IF(I101=0,"",I101/H101)</f>
        <v>1</v>
      </c>
      <c r="K101" s="735">
        <f>E101</f>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6916666.666666666</v>
      </c>
      <c r="I103" s="99">
        <f t="shared" si="1"/>
        <v>6916666.666666666</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E108/12*10</f>
        <v>6916666.666666666</v>
      </c>
      <c r="I108" s="44">
        <f t="shared" si="1"/>
        <v>6916666.666666666</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203553333.33333331</v>
      </c>
      <c r="I117" s="578">
        <f t="shared" si="1"/>
        <v>203553333.33333331</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203553333.33333331</v>
      </c>
      <c r="I130" s="258">
        <f t="shared" si="1"/>
        <v>203553333.33333331</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E132/12*10</f>
        <v>203553333.33333331</v>
      </c>
      <c r="I132" s="44">
        <f t="shared" si="1"/>
        <v>203553333.33333331</v>
      </c>
      <c r="J132" s="124">
        <f t="shared" si="2"/>
        <v>1</v>
      </c>
      <c r="K132" s="735">
        <f>E132</f>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250000</v>
      </c>
      <c r="I138" s="942">
        <f t="shared" ref="I138:I146" si="25">H138-G138</f>
        <v>250000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250000</v>
      </c>
      <c r="I140" s="258">
        <f t="shared" si="25"/>
        <v>250000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E144/12*10</f>
        <v>250000</v>
      </c>
      <c r="I144" s="44">
        <f t="shared" si="25"/>
        <v>250000</v>
      </c>
      <c r="J144" s="124">
        <f t="shared" si="23"/>
        <v>1</v>
      </c>
      <c r="K144" s="735">
        <f>E144</f>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166666.66666666669</v>
      </c>
      <c r="I148" s="578">
        <f>H148-G148</f>
        <v>166666.66666666669</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E149/12*10</f>
        <v>166666.66666666669</v>
      </c>
      <c r="I149" s="44">
        <f>H149-G149</f>
        <v>166666.66666666669</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9583495.5541015659</v>
      </c>
      <c r="I151" s="578">
        <f>H151-G151</f>
        <v>9583495.5541015659</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E152/12*10</f>
        <v>9583495.5541015659</v>
      </c>
      <c r="I152" s="44">
        <f>H152-G152</f>
        <v>9583495.5541015659</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73965270</v>
      </c>
      <c r="I157" s="578">
        <f>H157-G157</f>
        <v>73965270</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E158/12*10</f>
        <v>73965270</v>
      </c>
      <c r="I158" s="44">
        <f>H158-G158</f>
        <v>73965270</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463993116.98067224</v>
      </c>
      <c r="F166" s="55">
        <f t="shared" si="33"/>
        <v>49810830.009999998</v>
      </c>
      <c r="G166" s="55">
        <f t="shared" si="33"/>
        <v>207290899.79000002</v>
      </c>
      <c r="H166" s="55">
        <f t="shared" si="33"/>
        <v>386660930.81722689</v>
      </c>
      <c r="I166" s="55">
        <f>H166-G166</f>
        <v>179370031.02722687</v>
      </c>
      <c r="J166" s="290">
        <f>IF(I166=0,"",I166/H166)</f>
        <v>0.46389489273746765</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abSelected="1" topLeftCell="A13" workbookViewId="0">
      <selection activeCell="F32" sqref="F32"/>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30125543.949999999</v>
      </c>
      <c r="F11" s="43"/>
      <c r="G11" s="43"/>
      <c r="H11" s="43"/>
      <c r="I11" s="43"/>
      <c r="J11" s="43"/>
      <c r="K11" s="43"/>
    </row>
    <row r="12" spans="1:11" x14ac:dyDescent="0.25">
      <c r="A12" s="42" t="str">
        <f>LEFT('SC12'!A15,3)</f>
        <v>Apr</v>
      </c>
      <c r="B12" s="43">
        <f>'SC12'!B15</f>
        <v>66093583.333333336</v>
      </c>
      <c r="C12" s="43">
        <f>'SC12'!C15</f>
        <v>48407631.75</v>
      </c>
      <c r="D12" s="43">
        <f>'SC12'!D15</f>
        <v>0</v>
      </c>
      <c r="E12" s="45">
        <f>'SC12'!E15</f>
        <v>69137296.340000004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315959671.13999999</v>
      </c>
      <c r="C36" s="45">
        <f>'SC12'!G14</f>
        <v>435668685.75</v>
      </c>
      <c r="D36" s="43"/>
      <c r="E36" s="43"/>
      <c r="F36" s="43"/>
      <c r="G36" s="43"/>
      <c r="H36" s="43"/>
      <c r="I36" s="43"/>
    </row>
    <row r="37" spans="1:9" x14ac:dyDescent="0.25">
      <c r="A37" s="42" t="str">
        <f>LEFT('SC12'!A15,3)</f>
        <v>Apr</v>
      </c>
      <c r="B37" s="43">
        <f>'SC12'!F15</f>
        <v>385096967.48000002</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483261783.06000006</v>
      </c>
      <c r="C53" s="43">
        <f>'SC3'!D14</f>
        <v>132449818.22000001</v>
      </c>
      <c r="D53" s="43">
        <f>'SC3'!E14</f>
        <v>111333595.33</v>
      </c>
      <c r="E53" s="43">
        <f>'SC3'!F14</f>
        <v>101024496.10000002</v>
      </c>
      <c r="F53" s="43">
        <f>'SC3'!G14</f>
        <v>101571086.48</v>
      </c>
      <c r="G53" s="43">
        <f>'SC3'!H14</f>
        <v>117729370.45999998</v>
      </c>
      <c r="H53" s="43">
        <f>'SC3'!I14</f>
        <v>496966593.84999996</v>
      </c>
      <c r="I53" s="43">
        <f>'SC3'!J14</f>
        <v>3408945382.1200004</v>
      </c>
    </row>
    <row r="54" spans="1:9" x14ac:dyDescent="0.25">
      <c r="A54" s="61" t="str">
        <f>Head1</f>
        <v>2019/20</v>
      </c>
      <c r="B54" s="43">
        <f>'SC3'!C15</f>
        <v>706236012.38999999</v>
      </c>
      <c r="C54" s="43">
        <f>'SC3'!D15</f>
        <v>16375525.92</v>
      </c>
      <c r="D54" s="43">
        <f>'SC3'!E15</f>
        <v>180699068.26000002</v>
      </c>
      <c r="E54" s="43">
        <f>'SC3'!F15</f>
        <v>18837669.799999997</v>
      </c>
      <c r="F54" s="43">
        <f>'SC3'!G15</f>
        <v>122221189.27999999</v>
      </c>
      <c r="G54" s="43">
        <f>'SC3'!H15</f>
        <v>98975212.929999992</v>
      </c>
      <c r="H54" s="43">
        <f>'SC3'!I15</f>
        <v>454294899.34999996</v>
      </c>
      <c r="I54" s="43">
        <f>'SC3'!J15</f>
        <v>2691237135.48</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221782246.63859999</v>
      </c>
      <c r="C78" s="43">
        <f>'SC3'!K17</f>
        <v>228641491.38</v>
      </c>
      <c r="D78" s="43"/>
      <c r="E78" s="43"/>
      <c r="F78" s="43"/>
      <c r="G78" s="43"/>
      <c r="H78" s="43"/>
      <c r="I78" s="43"/>
      <c r="J78" s="43"/>
    </row>
    <row r="79" spans="1:10" x14ac:dyDescent="0.25">
      <c r="A79" s="61" t="str">
        <f>'SC3'!A18</f>
        <v>Commercial</v>
      </c>
      <c r="B79" s="43">
        <f>C79*0.97</f>
        <v>739906628.59719992</v>
      </c>
      <c r="C79" s="43">
        <f>'SC3'!K18</f>
        <v>762790338.75999999</v>
      </c>
      <c r="D79" s="43"/>
      <c r="E79" s="43"/>
      <c r="F79" s="43"/>
      <c r="G79" s="43"/>
      <c r="H79" s="43"/>
      <c r="I79" s="43"/>
      <c r="J79" s="43"/>
    </row>
    <row r="80" spans="1:10" x14ac:dyDescent="0.25">
      <c r="A80" s="61" t="str">
        <f>'SC3'!A19</f>
        <v>Households</v>
      </c>
      <c r="B80" s="43">
        <f>C80*0.97</f>
        <v>3601876496.8978996</v>
      </c>
      <c r="C80" s="43">
        <f>'SC3'!K19</f>
        <v>3713274739.0699997</v>
      </c>
    </row>
    <row r="81" spans="1:3" x14ac:dyDescent="0.25">
      <c r="A81" s="61" t="str">
        <f>'SC3'!A20</f>
        <v>Other</v>
      </c>
      <c r="B81" s="43">
        <f>C81*0.97</f>
        <v>241118289.7177</v>
      </c>
      <c r="C81" s="43">
        <f>'SC3'!K20</f>
        <v>248575556.41</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185515179.43000001</v>
      </c>
      <c r="C103" s="405">
        <f>'SC4'!L7</f>
        <v>106775573.08</v>
      </c>
      <c r="D103" s="405">
        <f>'SC4'!L8</f>
        <v>0</v>
      </c>
      <c r="E103" s="405">
        <f>'SC4'!L9</f>
        <v>196581271.24000001</v>
      </c>
      <c r="F103" s="405">
        <f>'SC4'!L10</f>
        <v>0</v>
      </c>
      <c r="G103" s="405">
        <f>'SC4'!L11</f>
        <v>0</v>
      </c>
      <c r="H103" s="405">
        <f>'SC4'!L12</f>
        <v>63096320.660000004</v>
      </c>
      <c r="I103" s="405">
        <f>'SC4'!L13</f>
        <v>254552.39</v>
      </c>
      <c r="J103" s="405">
        <f>'SC4'!L14</f>
        <v>204427142.44</v>
      </c>
    </row>
    <row r="104" spans="1:10" x14ac:dyDescent="0.25">
      <c r="A104" s="61" t="str">
        <f>A53</f>
        <v>Budget Year 2020/21</v>
      </c>
      <c r="B104" s="43">
        <f>'SC4'!K6</f>
        <v>317006653.30999994</v>
      </c>
      <c r="C104" s="43">
        <f>'SC4'!K7</f>
        <v>171744844.69999999</v>
      </c>
      <c r="D104" s="43">
        <f>'SC4'!K8</f>
        <v>0</v>
      </c>
      <c r="E104" s="43">
        <f>'SC4'!K9</f>
        <v>218913377.01000005</v>
      </c>
      <c r="F104" s="43">
        <f>'SC4'!K10</f>
        <v>0</v>
      </c>
      <c r="G104" s="43">
        <f>'SC4'!K11</f>
        <v>0</v>
      </c>
      <c r="H104" s="43">
        <f>'SC4'!K12</f>
        <v>81259002.839999989</v>
      </c>
      <c r="I104" s="43">
        <f>'SC4'!K13</f>
        <v>1968437.26</v>
      </c>
      <c r="J104" s="43">
        <f>'SC4'!K14</f>
        <v>263615273.54999998</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D32" sqref="D32:D39"/>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8"/>
      <c r="D8" s="1018"/>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9"/>
      <c r="D11" s="1020"/>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1"/>
      <c r="D13" s="1021"/>
      <c r="F13" s="823"/>
      <c r="G13" s="823"/>
      <c r="H13" s="823"/>
      <c r="I13" s="853"/>
      <c r="J13" s="823"/>
      <c r="K13" s="824"/>
      <c r="L13" s="824"/>
      <c r="M13" s="824"/>
      <c r="N13" s="824"/>
      <c r="O13" s="824"/>
      <c r="P13" s="825"/>
    </row>
    <row r="14" spans="1:17" ht="13.5" customHeight="1" thickBot="1" x14ac:dyDescent="0.25">
      <c r="A14" s="1022" t="s">
        <v>345</v>
      </c>
      <c r="B14" s="1023"/>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4" t="s">
        <v>356</v>
      </c>
      <c r="B30" s="1025"/>
      <c r="C30" s="1026"/>
      <c r="D30" s="1027"/>
      <c r="P30" s="825"/>
    </row>
    <row r="31" spans="1:17" ht="13.5" customHeight="1" thickTop="1" x14ac:dyDescent="0.2">
      <c r="A31" s="863" t="s">
        <v>357</v>
      </c>
      <c r="B31" s="864"/>
      <c r="C31" s="1028" t="s">
        <v>358</v>
      </c>
      <c r="D31" s="1032"/>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30" t="s">
        <v>362</v>
      </c>
      <c r="B40" s="1033"/>
      <c r="C40" s="1030" t="s">
        <v>363</v>
      </c>
      <c r="D40" s="1033"/>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0" t="s">
        <v>364</v>
      </c>
      <c r="B49" s="1033"/>
      <c r="C49" s="1030" t="s">
        <v>365</v>
      </c>
      <c r="D49" s="1033"/>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4" t="s">
        <v>366</v>
      </c>
      <c r="B58" s="1035"/>
      <c r="C58" s="1026"/>
      <c r="D58" s="1036"/>
      <c r="E58" s="812"/>
      <c r="F58" s="854"/>
      <c r="G58" s="824"/>
      <c r="P58" s="825"/>
    </row>
    <row r="59" spans="1:17" s="874" customFormat="1" ht="13.5" customHeight="1" thickTop="1" x14ac:dyDescent="0.2">
      <c r="A59" s="863" t="s">
        <v>367</v>
      </c>
      <c r="B59" s="864"/>
      <c r="C59" s="1028" t="s">
        <v>368</v>
      </c>
      <c r="D59" s="1029"/>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0" t="s">
        <v>370</v>
      </c>
      <c r="D68" s="1031"/>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4" t="s">
        <v>371</v>
      </c>
      <c r="B77" s="1015"/>
      <c r="C77" s="1014" t="s">
        <v>371</v>
      </c>
      <c r="D77" s="1015"/>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4" t="s">
        <v>371</v>
      </c>
      <c r="B85" s="1015"/>
      <c r="C85" s="1014" t="s">
        <v>371</v>
      </c>
      <c r="D85" s="1015"/>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4" t="s">
        <v>371</v>
      </c>
      <c r="B93" s="1015"/>
      <c r="C93" s="1014" t="s">
        <v>371</v>
      </c>
      <c r="D93" s="1015"/>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4" t="s">
        <v>371</v>
      </c>
      <c r="B101" s="1015"/>
      <c r="C101" s="1014" t="s">
        <v>371</v>
      </c>
      <c r="D101" s="1015"/>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4" t="s">
        <v>371</v>
      </c>
      <c r="B109" s="1015"/>
      <c r="C109" s="1014" t="s">
        <v>371</v>
      </c>
      <c r="D109" s="1015"/>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4" t="s">
        <v>371</v>
      </c>
      <c r="B117" s="1015"/>
      <c r="C117" s="1014" t="s">
        <v>371</v>
      </c>
      <c r="D117" s="1015"/>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4" t="s">
        <v>371</v>
      </c>
      <c r="B125" s="1015"/>
      <c r="C125" s="1014" t="s">
        <v>371</v>
      </c>
      <c r="D125" s="1015"/>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4" t="s">
        <v>371</v>
      </c>
      <c r="B133" s="1015"/>
      <c r="C133" s="1016"/>
      <c r="D133" s="1017"/>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P26" sqref="P2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M10 April</v>
      </c>
      <c r="B1" s="346"/>
      <c r="C1" s="346"/>
      <c r="D1" s="346"/>
      <c r="E1" s="346"/>
      <c r="F1" s="346"/>
      <c r="G1" s="346"/>
      <c r="H1" s="346"/>
      <c r="I1" s="346"/>
      <c r="J1" s="346"/>
    </row>
    <row r="2" spans="1:10" x14ac:dyDescent="0.25">
      <c r="A2" s="1038" t="str">
        <f>desc</f>
        <v>Description</v>
      </c>
      <c r="B2" s="158" t="str">
        <f>Head1</f>
        <v>2019/20</v>
      </c>
      <c r="C2" s="1040" t="str">
        <f>Head2</f>
        <v>Budget Year 2020/21</v>
      </c>
      <c r="D2" s="1041"/>
      <c r="E2" s="1041"/>
      <c r="F2" s="1041"/>
      <c r="G2" s="1041"/>
      <c r="H2" s="1041"/>
      <c r="I2" s="1041"/>
      <c r="J2" s="1042"/>
    </row>
    <row r="3" spans="1:10" ht="25.5" x14ac:dyDescent="0.25">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101128343.08</v>
      </c>
      <c r="F6" s="408">
        <f>SUM('C4-FinPerf RE'!G6:G6)</f>
        <v>1014170013.34</v>
      </c>
      <c r="G6" s="650">
        <f>SUM('C4-FinPerf RE'!H6:H6)</f>
        <v>1058162161.6848332</v>
      </c>
      <c r="H6" s="408">
        <f>F6-G6</f>
        <v>-43992148.344833136</v>
      </c>
      <c r="I6" s="591">
        <f>IF(H6=0,"",H6/G6)</f>
        <v>-4.1574108334007806E-2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291449323.47999996</v>
      </c>
      <c r="F7" s="408">
        <f>SUM('C4-FinPerf RE'!G7:G10)</f>
        <v>2788068709.0900002</v>
      </c>
      <c r="G7" s="650">
        <f>SUM('C4-FinPerf RE'!H7:H10)</f>
        <v>2979803001.9107599</v>
      </c>
      <c r="H7" s="408">
        <f>F7-G7</f>
        <v>-191734292.82075977</v>
      </c>
      <c r="I7" s="207">
        <f>IF(H7=0,"",H7/G7)</f>
        <v>-6.4344620331549654E-2</v>
      </c>
      <c r="J7" s="642">
        <f>SUM('C4-FinPerf RE'!K7:K10)</f>
        <v>3575763602.2929115</v>
      </c>
    </row>
    <row r="8" spans="1:10" ht="12.75" customHeight="1" x14ac:dyDescent="0.25">
      <c r="A8" s="152" t="s">
        <v>496</v>
      </c>
      <c r="B8" s="648">
        <f>'C4-FinPerf RE'!C13</f>
        <v>0</v>
      </c>
      <c r="C8" s="649">
        <f>'C4-FinPerf RE'!D13</f>
        <v>15260422.42725</v>
      </c>
      <c r="D8" s="408">
        <f>'C4-FinPerf RE'!E13</f>
        <v>15369322.42725</v>
      </c>
      <c r="E8" s="408">
        <f>'C4-FinPerf RE'!F13</f>
        <v>613655.92000000004</v>
      </c>
      <c r="F8" s="408">
        <f>'C4-FinPerf RE'!G13</f>
        <v>6047302.9300000006</v>
      </c>
      <c r="G8" s="650">
        <f>'C4-FinPerf RE'!H13</f>
        <v>12807768.689375</v>
      </c>
      <c r="H8" s="408">
        <f>F8-G8</f>
        <v>-6760465.7593749994</v>
      </c>
      <c r="I8" s="207">
        <f>IF(H8=0,"",H8/G8)</f>
        <v>-0.52784102550066436</v>
      </c>
      <c r="J8" s="642">
        <f>'C4-FinPerf RE'!K13</f>
        <v>15369322.42725</v>
      </c>
    </row>
    <row r="9" spans="1:10" ht="12.75" customHeight="1" x14ac:dyDescent="0.25">
      <c r="A9" s="152" t="s">
        <v>1118</v>
      </c>
      <c r="B9" s="648">
        <f>'C4-FinPerf RE'!C19</f>
        <v>0</v>
      </c>
      <c r="C9" s="649">
        <f>'C4-FinPerf RE'!D19</f>
        <v>675483240</v>
      </c>
      <c r="D9" s="408">
        <f>'C4-FinPerf RE'!E19</f>
        <v>819982787</v>
      </c>
      <c r="E9" s="408">
        <f>'C4-FinPerf RE'!F19</f>
        <v>5578119.4400000004</v>
      </c>
      <c r="F9" s="408">
        <f>'C4-FinPerf RE'!G19</f>
        <v>739842505.64999998</v>
      </c>
      <c r="G9" s="650">
        <f>'C4-FinPerf RE'!H19</f>
        <v>683318989.16666675</v>
      </c>
      <c r="H9" s="408">
        <f>F9-G9</f>
        <v>56523516.48333323</v>
      </c>
      <c r="I9" s="207">
        <f>IF(H9=0,"",H9/G9)</f>
        <v>8.2719077589612708E-2</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21400356.830000002</v>
      </c>
      <c r="F10" s="409">
        <f>'C4-FinPerf RE'!G12+'C4-FinPerf RE'!G14+'C4-FinPerf RE'!G15+'C4-FinPerf RE'!G16+'C4-FinPerf RE'!G17+'C4-FinPerf RE'!G18+'C4-FinPerf RE'!G20+'C4-FinPerf RE'!G21</f>
        <v>234229283.81</v>
      </c>
      <c r="G10" s="653">
        <f>'C4-FinPerf RE'!H12+'C4-FinPerf RE'!H14+'C4-FinPerf RE'!H15+'C4-FinPerf RE'!H16+'C4-FinPerf RE'!H17+'C4-FinPerf RE'!H18+'C4-FinPerf RE'!H20+'C4-FinPerf RE'!H21</f>
        <v>317923665.94174993</v>
      </c>
      <c r="H10" s="409">
        <f>F10-G10</f>
        <v>-83694382.131749928</v>
      </c>
      <c r="I10" s="208">
        <f>IF(H10=0,"",H10/G10)</f>
        <v>-0.26325307329302261</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6062418704.8720617</v>
      </c>
      <c r="E11" s="657">
        <f t="shared" si="0"/>
        <v>420169798.74999994</v>
      </c>
      <c r="F11" s="657">
        <f t="shared" si="0"/>
        <v>4782357814.8200006</v>
      </c>
      <c r="G11" s="658">
        <f t="shared" si="0"/>
        <v>5052015587.393384</v>
      </c>
      <c r="H11" s="657">
        <f t="shared" ref="H11:H25" si="1">F11-G11</f>
        <v>-269657772.57338333</v>
      </c>
      <c r="I11" s="593">
        <f t="shared" ref="I11:I25" si="2">IF(H11=0,"",H11/G11)</f>
        <v>-5.3376274856767568E-2</v>
      </c>
      <c r="J11" s="659">
        <f t="shared" si="0"/>
        <v>6062418704.8720617</v>
      </c>
    </row>
    <row r="12" spans="1:10" ht="12.75" customHeight="1" x14ac:dyDescent="0.25">
      <c r="A12" s="152" t="s">
        <v>475</v>
      </c>
      <c r="B12" s="648">
        <f>'C4-FinPerf RE'!C25</f>
        <v>0</v>
      </c>
      <c r="C12" s="649">
        <f>'C4-FinPerf RE'!D25</f>
        <v>1478324301.5741799</v>
      </c>
      <c r="D12" s="408">
        <f>'C4-FinPerf RE'!E25</f>
        <v>1474657970.2495086</v>
      </c>
      <c r="E12" s="408">
        <f>'C4-FinPerf RE'!F25</f>
        <v>106352514.37000006</v>
      </c>
      <c r="F12" s="408">
        <f>'C4-FinPerf RE'!G25</f>
        <v>1128626527.9000022</v>
      </c>
      <c r="G12" s="650">
        <f>'C4-FinPerf RE'!H25</f>
        <v>1228881641.8745904</v>
      </c>
      <c r="H12" s="408">
        <f t="shared" si="1"/>
        <v>-100255113.97458816</v>
      </c>
      <c r="I12" s="207">
        <f t="shared" si="2"/>
        <v>-8.1582400255938867E-2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4030889.5199999996</v>
      </c>
      <c r="F13" s="408">
        <f>'C4-FinPerf RE'!G26</f>
        <v>43581267.550000004</v>
      </c>
      <c r="G13" s="650">
        <f>'C4-FinPerf RE'!H26</f>
        <v>44708667.86666666</v>
      </c>
      <c r="H13" s="408">
        <f t="shared" si="1"/>
        <v>-1127400.3166666552</v>
      </c>
      <c r="I13" s="207">
        <f t="shared" si="2"/>
        <v>-2.5216593794046109E-2</v>
      </c>
      <c r="J13" s="642">
        <f>'C4-FinPerf RE'!K26</f>
        <v>53650401.439999998</v>
      </c>
    </row>
    <row r="14" spans="1:10" ht="12.75" customHeight="1" x14ac:dyDescent="0.25">
      <c r="A14" s="581" t="s">
        <v>664</v>
      </c>
      <c r="B14" s="648">
        <f>'C4-FinPerf RE'!C28</f>
        <v>0</v>
      </c>
      <c r="C14" s="649">
        <f>'C4-FinPerf RE'!D28</f>
        <v>489941448.27473986</v>
      </c>
      <c r="D14" s="408">
        <f>'C4-FinPerf RE'!E28</f>
        <v>482441449.27473998</v>
      </c>
      <c r="E14" s="408">
        <f>'C4-FinPerf RE'!F28</f>
        <v>34862679.900000036</v>
      </c>
      <c r="F14" s="408">
        <f>'C4-FinPerf RE'!G28</f>
        <v>352139978.80000025</v>
      </c>
      <c r="G14" s="650">
        <f>'C4-FinPerf RE'!H28</f>
        <v>402034541.06228328</v>
      </c>
      <c r="H14" s="408">
        <f t="shared" si="1"/>
        <v>-49894562.262283027</v>
      </c>
      <c r="I14" s="207">
        <f t="shared" si="2"/>
        <v>-0.1241051630301421</v>
      </c>
      <c r="J14" s="642">
        <f>'C4-FinPerf RE'!K28</f>
        <v>482441449.27473998</v>
      </c>
    </row>
    <row r="15" spans="1:10" ht="12.75" customHeight="1" x14ac:dyDescent="0.25">
      <c r="A15" s="152" t="s">
        <v>452</v>
      </c>
      <c r="B15" s="648">
        <f>'C4-FinPerf RE'!C29</f>
        <v>0</v>
      </c>
      <c r="C15" s="649">
        <f>'C4-FinPerf RE'!D29</f>
        <v>31793212.220000003</v>
      </c>
      <c r="D15" s="408">
        <f>'C4-FinPerf RE'!E29</f>
        <v>36505334.219999969</v>
      </c>
      <c r="E15" s="408">
        <f>'C4-FinPerf RE'!F29</f>
        <v>5032924.79</v>
      </c>
      <c r="F15" s="408">
        <f>'C4-FinPerf RE'!G29</f>
        <v>32882197.800000001</v>
      </c>
      <c r="G15" s="650">
        <f>'C4-FinPerf RE'!H29</f>
        <v>30421111.849999972</v>
      </c>
      <c r="H15" s="408">
        <f t="shared" si="1"/>
        <v>2461085.9500000291</v>
      </c>
      <c r="I15" s="207">
        <f t="shared" si="2"/>
        <v>8.0900591738234953E-2</v>
      </c>
      <c r="J15" s="642">
        <f>'C4-FinPerf RE'!K29</f>
        <v>36505334.219999969</v>
      </c>
    </row>
    <row r="16" spans="1:10" ht="12.75" customHeight="1" x14ac:dyDescent="0.25">
      <c r="A16" s="152" t="s">
        <v>495</v>
      </c>
      <c r="B16" s="648">
        <f>SUM('C4-FinPerf RE'!C30:C31)</f>
        <v>0</v>
      </c>
      <c r="C16" s="649">
        <f>SUM('C4-FinPerf RE'!D30:D31)</f>
        <v>2654837499.1911387</v>
      </c>
      <c r="D16" s="408">
        <f>SUM('C4-FinPerf RE'!E30:E31)</f>
        <v>2617809631.6479759</v>
      </c>
      <c r="E16" s="408">
        <f>SUM('C4-FinPerf RE'!F30:F31)</f>
        <v>221261856.5</v>
      </c>
      <c r="F16" s="408">
        <f>SUM('C4-FinPerf RE'!G30:G31)</f>
        <v>2211595882.6100001</v>
      </c>
      <c r="G16" s="650">
        <f>SUM('C4-FinPerf RE'!H30:H31)</f>
        <v>2181508026.3733134</v>
      </c>
      <c r="H16" s="408">
        <f t="shared" si="1"/>
        <v>30087856.236686707</v>
      </c>
      <c r="I16" s="591">
        <f t="shared" si="2"/>
        <v>1.3792228070188123E-2</v>
      </c>
      <c r="J16" s="642">
        <f>SUM('C4-FinPerf RE'!K30:K31)</f>
        <v>2617809631.6479759</v>
      </c>
    </row>
    <row r="17" spans="1:11" ht="12.75" customHeight="1" x14ac:dyDescent="0.25">
      <c r="A17" s="152" t="s">
        <v>1118</v>
      </c>
      <c r="B17" s="648">
        <f>'C4-FinPerf RE'!C33</f>
        <v>0</v>
      </c>
      <c r="C17" s="649">
        <f>'C4-FinPerf RE'!D33</f>
        <v>25080461.44304001</v>
      </c>
      <c r="D17" s="408">
        <f>'C4-FinPerf RE'!E33</f>
        <v>59680462</v>
      </c>
      <c r="E17" s="408">
        <f>'C4-FinPerf RE'!F33</f>
        <v>5601167.7299999995</v>
      </c>
      <c r="F17" s="408">
        <f>'C4-FinPerf RE'!G33</f>
        <v>39713085</v>
      </c>
      <c r="G17" s="650">
        <f>'C4-FinPerf RE'!H33</f>
        <v>49733718.333333328</v>
      </c>
      <c r="H17" s="408">
        <f t="shared" si="1"/>
        <v>-10020633.333333328</v>
      </c>
      <c r="I17" s="207">
        <f t="shared" si="2"/>
        <v>-0.20148570565690319</v>
      </c>
      <c r="J17" s="642">
        <f>'C4-FinPerf RE'!K33</f>
        <v>59680462</v>
      </c>
    </row>
    <row r="18" spans="1:11" ht="12.75" customHeight="1" x14ac:dyDescent="0.25">
      <c r="A18" s="152" t="s">
        <v>434</v>
      </c>
      <c r="B18" s="648">
        <f>'C4-FinPerf RE'!C36-SUM('C1-Sum'!B12:B17)</f>
        <v>0</v>
      </c>
      <c r="C18" s="649">
        <f>'C4-FinPerf RE'!D36-SUM('C1-Sum'!C12:C17)</f>
        <v>782850145.72604942</v>
      </c>
      <c r="D18" s="408">
        <f>'C4-FinPerf RE'!E36-SUM('C1-Sum'!D12:D17)</f>
        <v>948405778.58908653</v>
      </c>
      <c r="E18" s="408">
        <f>'C4-FinPerf RE'!F36-SUM('C1-Sum'!E12:E17)</f>
        <v>75464289.470000207</v>
      </c>
      <c r="F18" s="408">
        <f>'C4-FinPerf RE'!G36-SUM('C1-Sum'!F12:F17)</f>
        <v>628031989.22999954</v>
      </c>
      <c r="G18" s="650">
        <f>'C4-FinPerf RE'!H36-SUM('C1-Sum'!G12:G17)</f>
        <v>790338148.82423735</v>
      </c>
      <c r="H18" s="408">
        <f t="shared" si="1"/>
        <v>-162306159.5942378</v>
      </c>
      <c r="I18" s="207">
        <f t="shared" si="2"/>
        <v>-0.20536293210152626</v>
      </c>
      <c r="J18" s="642">
        <f>'C4-FinPerf RE'!K36-SUM('C1-Sum'!J12:J17)</f>
        <v>948405778.58908653</v>
      </c>
    </row>
    <row r="19" spans="1:11" ht="12.75" customHeight="1" x14ac:dyDescent="0.25">
      <c r="A19" s="583" t="s">
        <v>488</v>
      </c>
      <c r="B19" s="660">
        <f t="shared" ref="B19:G19" si="3">SUM(B12:B18)</f>
        <v>0</v>
      </c>
      <c r="C19" s="661">
        <f t="shared" si="3"/>
        <v>5516477469.5446281</v>
      </c>
      <c r="D19" s="662">
        <f t="shared" si="3"/>
        <v>5673151027.4213114</v>
      </c>
      <c r="E19" s="662">
        <f t="shared" si="3"/>
        <v>452606322.28000027</v>
      </c>
      <c r="F19" s="662">
        <f t="shared" si="3"/>
        <v>4436570928.8900023</v>
      </c>
      <c r="G19" s="663">
        <f t="shared" si="3"/>
        <v>4727625856.1844244</v>
      </c>
      <c r="H19" s="662">
        <f t="shared" si="1"/>
        <v>-291054927.29442215</v>
      </c>
      <c r="I19" s="382">
        <f t="shared" si="2"/>
        <v>-6.1564712637671999E-2</v>
      </c>
      <c r="J19" s="664">
        <f>SUM(J12:J18)</f>
        <v>5673151027.4213114</v>
      </c>
    </row>
    <row r="20" spans="1:11" ht="12.75" customHeight="1" x14ac:dyDescent="0.25">
      <c r="A20" s="153" t="s">
        <v>489</v>
      </c>
      <c r="B20" s="665">
        <f t="shared" ref="B20:G20" si="4">B11-B19</f>
        <v>0</v>
      </c>
      <c r="C20" s="666">
        <f t="shared" si="4"/>
        <v>401332788.32743359</v>
      </c>
      <c r="D20" s="637">
        <f t="shared" si="4"/>
        <v>389267677.45075035</v>
      </c>
      <c r="E20" s="637">
        <f t="shared" si="4"/>
        <v>-32436523.530000329</v>
      </c>
      <c r="F20" s="637">
        <f t="shared" si="4"/>
        <v>345786885.9299984</v>
      </c>
      <c r="G20" s="667">
        <f t="shared" si="4"/>
        <v>324389731.20895958</v>
      </c>
      <c r="H20" s="637">
        <f t="shared" si="1"/>
        <v>21397154.721038818</v>
      </c>
      <c r="I20" s="206">
        <f t="shared" si="2"/>
        <v>6.5961257902012876E-2</v>
      </c>
      <c r="J20" s="641">
        <f>J11-J19</f>
        <v>389267677.45075035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69041469.200000003</v>
      </c>
      <c r="F21" s="983">
        <f>'C4-FinPerf RE'!G39</f>
        <v>376578342.24000001</v>
      </c>
      <c r="G21" s="984">
        <f>'C4-FinPerf RE'!H39</f>
        <v>438737779.16666651</v>
      </c>
      <c r="H21" s="983">
        <f t="shared" si="1"/>
        <v>-62159436.926666498</v>
      </c>
      <c r="I21" s="985">
        <f t="shared" si="2"/>
        <v>-0.14167787657751155</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915753012.45075011</v>
      </c>
      <c r="E23" s="657">
        <f t="shared" si="5"/>
        <v>36604945.669999674</v>
      </c>
      <c r="F23" s="657">
        <f t="shared" si="5"/>
        <v>722365228.16999841</v>
      </c>
      <c r="G23" s="658">
        <f t="shared" si="5"/>
        <v>763127510.37562609</v>
      </c>
      <c r="H23" s="657">
        <f t="shared" si="1"/>
        <v>-40762282.20562768</v>
      </c>
      <c r="I23" s="592">
        <f t="shared" si="2"/>
        <v>-5.3414772303993732E-2</v>
      </c>
      <c r="J23" s="659">
        <f>J20+J21+J22</f>
        <v>915753012.45075011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915753012.45075011</v>
      </c>
      <c r="E25" s="637">
        <f t="shared" si="6"/>
        <v>36604945.669999674</v>
      </c>
      <c r="F25" s="637">
        <f t="shared" si="6"/>
        <v>722365228.16999841</v>
      </c>
      <c r="G25" s="667">
        <f t="shared" si="6"/>
        <v>763127510.37562609</v>
      </c>
      <c r="H25" s="637">
        <f t="shared" si="1"/>
        <v>-40762282.20562768</v>
      </c>
      <c r="I25" s="206">
        <f t="shared" si="2"/>
        <v>-5.3414772303993732E-2</v>
      </c>
      <c r="J25" s="641">
        <f>J23+J24</f>
        <v>915753012.45075011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69137296.340000004</v>
      </c>
      <c r="F28" s="662">
        <f>'C5-Capex'!G40</f>
        <v>385266519.48000002</v>
      </c>
      <c r="G28" s="663">
        <f>'C5-Capex'!H40</f>
        <v>622658633.14999998</v>
      </c>
      <c r="H28" s="662">
        <f t="shared" ref="H28:H33" si="7">F28-G28</f>
        <v>-237392113.66999996</v>
      </c>
      <c r="I28" s="382">
        <f t="shared" ref="I28:I33" si="8">IF(H28=0,"",H28/G28)</f>
        <v>-0.38125563676688251</v>
      </c>
      <c r="J28" s="664">
        <f>'C5-Capex'!K40</f>
        <v>747190359.77999997</v>
      </c>
    </row>
    <row r="29" spans="1:11" ht="12.75" customHeight="1" x14ac:dyDescent="0.25">
      <c r="A29" s="152" t="s">
        <v>499</v>
      </c>
      <c r="B29" s="648">
        <f>'C5-Capex'!C70</f>
        <v>0</v>
      </c>
      <c r="C29" s="649">
        <f>'C5-Capex'!D70</f>
        <v>525891580.99999988</v>
      </c>
      <c r="D29" s="408">
        <f>'C5-Capex'!E70</f>
        <v>648605943.77999997</v>
      </c>
      <c r="E29" s="408">
        <f>'C5-Capex'!F70</f>
        <v>63953478.670000002</v>
      </c>
      <c r="F29" s="408">
        <f>'C5-Capex'!G70</f>
        <v>340071211.55000001</v>
      </c>
      <c r="G29" s="650">
        <f>'C5-Capex'!H70</f>
        <v>540504953.14999998</v>
      </c>
      <c r="H29" s="408">
        <f t="shared" si="7"/>
        <v>-200433741.59999996</v>
      </c>
      <c r="I29" s="591">
        <f t="shared" si="8"/>
        <v>-0.37082683596495358</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5093694.6700000009</v>
      </c>
      <c r="F32" s="662">
        <f>'C5-Capex'!G73</f>
        <v>44920175.93</v>
      </c>
      <c r="G32" s="663">
        <f>'C5-Capex'!H73</f>
        <v>82153678.333333328</v>
      </c>
      <c r="H32" s="662">
        <f t="shared" si="7"/>
        <v>-37233502.403333329</v>
      </c>
      <c r="I32" s="382">
        <f t="shared" si="8"/>
        <v>-0.4532177153682731</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69047173.340000004</v>
      </c>
      <c r="F33" s="611">
        <f t="shared" si="9"/>
        <v>384991387.48000002</v>
      </c>
      <c r="G33" s="612">
        <f t="shared" si="9"/>
        <v>622658631.48333335</v>
      </c>
      <c r="H33" s="611">
        <f t="shared" si="7"/>
        <v>-237667244.00333333</v>
      </c>
      <c r="I33" s="594">
        <f t="shared" si="8"/>
        <v>-0.38169750162645089</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2694173744.3592668</v>
      </c>
      <c r="E36" s="408"/>
      <c r="F36" s="408">
        <f>'C6-FinPos'!F13</f>
        <v>2609126582.249999</v>
      </c>
      <c r="G36" s="217"/>
      <c r="H36" s="217"/>
      <c r="I36" s="219"/>
      <c r="J36" s="642">
        <f>'C6-FinPos'!G13</f>
        <v>2694173744.3592668</v>
      </c>
    </row>
    <row r="37" spans="1:10" ht="12.75" customHeight="1" x14ac:dyDescent="0.25">
      <c r="A37" s="152" t="s">
        <v>631</v>
      </c>
      <c r="B37" s="648">
        <f>'C6-FinPos'!C25</f>
        <v>0</v>
      </c>
      <c r="C37" s="649">
        <f>'C6-FinPos'!D25</f>
        <v>8340425652.5764656</v>
      </c>
      <c r="D37" s="408">
        <f>'C6-FinPos'!E25</f>
        <v>8511254429.0807037</v>
      </c>
      <c r="E37" s="408"/>
      <c r="F37" s="408">
        <f>'C6-FinPos'!F25</f>
        <v>7455716561.7699986</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1563083267.98</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8767715757.0954189</v>
      </c>
      <c r="E40" s="408"/>
      <c r="F40" s="637">
        <f>'C6-FinPos'!F48</f>
        <v>7685262040.7499962</v>
      </c>
      <c r="G40" s="595"/>
      <c r="H40" s="595"/>
      <c r="I40" s="596"/>
      <c r="J40" s="641">
        <f>'C6-FinPos'!G48</f>
        <v>8767715757.0954189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594287085.52309227</v>
      </c>
      <c r="E43" s="408">
        <f>'C7-CFlow'!F18</f>
        <v>-110133806.29999995</v>
      </c>
      <c r="F43" s="408">
        <f>'C7-CFlow'!G18</f>
        <v>-43090825.979999781</v>
      </c>
      <c r="G43" s="650">
        <f>'C7-CFlow'!H18</f>
        <v>495239237.9359107</v>
      </c>
      <c r="H43" s="408">
        <f>G43-F43</f>
        <v>538330063.91591048</v>
      </c>
      <c r="I43" s="207">
        <f>IF(H43=0,"",H43/G43)</f>
        <v>1.0870101209257903</v>
      </c>
      <c r="J43" s="642">
        <f>'C7-CFlow'!K18</f>
        <v>594287085.52309227</v>
      </c>
    </row>
    <row r="44" spans="1:10" ht="12.75" customHeight="1" x14ac:dyDescent="0.25">
      <c r="A44" s="152" t="s">
        <v>649</v>
      </c>
      <c r="B44" s="648">
        <f>'C7-CFlow'!C28</f>
        <v>0</v>
      </c>
      <c r="C44" s="649">
        <f>'C7-CFlow'!D28</f>
        <v>-580891580.99999988</v>
      </c>
      <c r="D44" s="408">
        <f>'C7-CFlow'!E28</f>
        <v>-747190357.77999985</v>
      </c>
      <c r="E44" s="408">
        <f>'C7-CFlow'!F28</f>
        <v>-51454007.259999998</v>
      </c>
      <c r="F44" s="408">
        <f>'C7-CFlow'!G28</f>
        <v>-33108536.490000002</v>
      </c>
      <c r="G44" s="650">
        <f>'C7-CFlow'!H28</f>
        <v>-622658631.48333323</v>
      </c>
      <c r="H44" s="408">
        <f>G44-F44</f>
        <v>-589550094.99333322</v>
      </c>
      <c r="I44" s="207">
        <f>IF(H44=0,"",H44/G44)</f>
        <v>0.94682714602200735</v>
      </c>
      <c r="J44" s="642">
        <f>'C7-CFlow'!K28</f>
        <v>-747190357.77999985</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-66005000</v>
      </c>
      <c r="H45" s="408">
        <f>G45-F45</f>
        <v>-45748809.629999995</v>
      </c>
      <c r="I45" s="207">
        <f>IF(H45=0,"",H45/G45)</f>
        <v>0.69311127384289062</v>
      </c>
      <c r="J45" s="642">
        <f>'C7-CFlow'!K37</f>
        <v>-79206000</v>
      </c>
    </row>
    <row r="46" spans="1:10" ht="12.75" customHeight="1" x14ac:dyDescent="0.25">
      <c r="A46" s="153" t="s">
        <v>54</v>
      </c>
      <c r="B46" s="665">
        <f>'C7-CFlow'!C41</f>
        <v>0</v>
      </c>
      <c r="C46" s="666">
        <f>'C7-CFlow'!D41</f>
        <v>382435849.43256199</v>
      </c>
      <c r="D46" s="637">
        <f>'C7-CFlow'!E41</f>
        <v>286867694.74309242</v>
      </c>
      <c r="E46" s="637">
        <f>'C7-CFlow'!F41</f>
        <v>0</v>
      </c>
      <c r="F46" s="637">
        <f>'C7-CFlow'!G41</f>
        <v>373592696.16000021</v>
      </c>
      <c r="G46" s="667">
        <f>'C7-CFlow'!H41</f>
        <v>325552573.45257747</v>
      </c>
      <c r="H46" s="637">
        <f>G46-F46</f>
        <v>-48040122.707422733</v>
      </c>
      <c r="I46" s="206">
        <f>IF(H46=0,"",H46/G46)</f>
        <v>-0.14756486854932091</v>
      </c>
      <c r="J46" s="641">
        <f>'C7-CFlow'!K41</f>
        <v>237938976.74309242</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483261783.06000006</v>
      </c>
      <c r="C50" s="649">
        <f>'SC3'!D14</f>
        <v>132449818.22000001</v>
      </c>
      <c r="D50" s="408">
        <f>'SC3'!E14</f>
        <v>111333595.33</v>
      </c>
      <c r="E50" s="408">
        <f>'SC3'!F14</f>
        <v>101024496.10000002</v>
      </c>
      <c r="F50" s="408">
        <f>'SC3'!G14</f>
        <v>101571086.48</v>
      </c>
      <c r="G50" s="650">
        <f>'SC3'!H14</f>
        <v>117729370.45999998</v>
      </c>
      <c r="H50" s="408">
        <f>'SC3'!I14</f>
        <v>496966593.84999996</v>
      </c>
      <c r="I50" s="650">
        <f>'SC3'!J14</f>
        <v>3408945382.1200004</v>
      </c>
      <c r="J50" s="642">
        <f>'SC3'!K14</f>
        <v>4953282125.6200008</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1034082755.27</v>
      </c>
      <c r="C52" s="649">
        <f>'SC4'!D15</f>
        <v>20224883.829999998</v>
      </c>
      <c r="D52" s="408">
        <f>'SC4'!E15</f>
        <v>52920.36</v>
      </c>
      <c r="E52" s="408">
        <f>'SC4'!F15</f>
        <v>0</v>
      </c>
      <c r="F52" s="408">
        <f>'SC4'!G15</f>
        <v>147029.21</v>
      </c>
      <c r="G52" s="650">
        <f>'SC4'!H15</f>
        <v>0</v>
      </c>
      <c r="H52" s="408">
        <f>'SC4'!I15</f>
        <v>0</v>
      </c>
      <c r="I52" s="650">
        <f>'SC4'!J15</f>
        <v>0</v>
      </c>
      <c r="J52" s="642">
        <f>'SC4'!K15</f>
        <v>1054507588.67</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7"/>
      <c r="B55" s="1037"/>
      <c r="C55" s="1037"/>
      <c r="D55" s="1037"/>
      <c r="E55" s="1037"/>
      <c r="F55" s="1037"/>
      <c r="G55" s="1037"/>
      <c r="H55" s="1037"/>
      <c r="I55" s="1037"/>
      <c r="J55" s="103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O32" sqref="O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7" t="str">
        <f>muni&amp; " - "&amp;S71A&amp; " - "&amp;date</f>
        <v>KZN225 Msunduzi - Table C2 Consolidated Monthly Budget Statement - Financial Performance (functional classification)  - M10 April</v>
      </c>
      <c r="B1" s="1047"/>
      <c r="C1" s="1047"/>
      <c r="D1" s="1047"/>
      <c r="E1" s="1047"/>
      <c r="F1" s="1047"/>
      <c r="G1" s="1047"/>
      <c r="H1" s="1047"/>
      <c r="I1" s="1047"/>
      <c r="J1" s="1047"/>
      <c r="K1" s="1047"/>
    </row>
    <row r="2" spans="1:18" x14ac:dyDescent="0.25">
      <c r="A2" s="1045" t="str">
        <f>desc</f>
        <v>Description</v>
      </c>
      <c r="B2" s="1043" t="str">
        <f>head27</f>
        <v>Ref</v>
      </c>
      <c r="C2" s="24" t="str">
        <f>Head1</f>
        <v>2019/20</v>
      </c>
      <c r="D2" s="231" t="str">
        <f>Head2</f>
        <v>Budget Year 2020/21</v>
      </c>
      <c r="E2" s="229"/>
      <c r="F2" s="229"/>
      <c r="G2" s="229"/>
      <c r="H2" s="229"/>
      <c r="I2" s="229"/>
      <c r="J2" s="229"/>
      <c r="K2" s="230"/>
    </row>
    <row r="3" spans="1:18"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110128361.85999998</v>
      </c>
      <c r="G6" s="637">
        <f t="shared" si="0"/>
        <v>1479567974.6799996</v>
      </c>
      <c r="H6" s="637">
        <f t="shared" si="0"/>
        <v>1384447085.2645967</v>
      </c>
      <c r="I6" s="47">
        <f t="shared" ref="I6:I13" si="1">G6-H6</f>
        <v>95120889.415402889</v>
      </c>
      <c r="J6" s="200">
        <f>IF(I6=0,"",I6/H6)</f>
        <v>6.8706771409196399E-2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467345.1</v>
      </c>
      <c r="G7" s="408">
        <f>'C2C'!G7</f>
        <v>3160083.03</v>
      </c>
      <c r="H7" s="408">
        <f>'C2C'!H7</f>
        <v>3706275.0111666666</v>
      </c>
      <c r="I7" s="47">
        <f t="shared" si="1"/>
        <v>-546191.98116666684</v>
      </c>
      <c r="J7" s="200">
        <f t="shared" ref="J7:J26" si="2">IF(I7=0,"",I7/H7)</f>
        <v>-0.14736952317921376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109661016.75999999</v>
      </c>
      <c r="G8" s="672">
        <f>'C2C'!G10</f>
        <v>1476407891.6499996</v>
      </c>
      <c r="H8" s="672">
        <f>'C2C'!H10</f>
        <v>1380740810.2534301</v>
      </c>
      <c r="I8" s="47">
        <f t="shared" si="1"/>
        <v>95667081.39656949</v>
      </c>
      <c r="J8" s="200">
        <f t="shared" si="2"/>
        <v>6.9286777566174879E-2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8192187.0199999996</v>
      </c>
      <c r="G10" s="637">
        <f t="shared" si="3"/>
        <v>109584275.78</v>
      </c>
      <c r="H10" s="637">
        <f t="shared" si="3"/>
        <v>350962287.06434649</v>
      </c>
      <c r="I10" s="47">
        <f t="shared" si="1"/>
        <v>-241378011.28434649</v>
      </c>
      <c r="J10" s="200">
        <f t="shared" si="2"/>
        <v>-0.68776053775855273</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3162853.85</v>
      </c>
      <c r="G11" s="408">
        <f>'C2C'!G27</f>
        <v>21619131.360000003</v>
      </c>
      <c r="H11" s="408">
        <f>'C2C'!H27</f>
        <v>22206684.735583335</v>
      </c>
      <c r="I11" s="47">
        <f t="shared" si="1"/>
        <v>-587553.37558333203</v>
      </c>
      <c r="J11" s="200">
        <f t="shared" si="2"/>
        <v>-2.645840126877894E-2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11118</v>
      </c>
      <c r="G12" s="408">
        <f>'C2C'!G49</f>
        <v>327112.15999999997</v>
      </c>
      <c r="H12" s="408">
        <f>'C2C'!H49</f>
        <v>9168378.9893903583</v>
      </c>
      <c r="I12" s="47">
        <f t="shared" si="1"/>
        <v>-8841266.8293903582</v>
      </c>
      <c r="J12" s="200">
        <f t="shared" si="2"/>
        <v>-0.96432170175572651</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529330.86</v>
      </c>
      <c r="G13" s="408">
        <f>'C2C'!G55</f>
        <v>12057884.4</v>
      </c>
      <c r="H13" s="408">
        <f>'C2C'!H55</f>
        <v>3140612.8865833334</v>
      </c>
      <c r="I13" s="47">
        <f t="shared" si="1"/>
        <v>8917271.5134166665</v>
      </c>
      <c r="J13" s="200">
        <f t="shared" si="2"/>
        <v>2.8393411844901868</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4488884.3099999996</v>
      </c>
      <c r="G14" s="408">
        <f>'C2C'!G64</f>
        <v>75580147.859999999</v>
      </c>
      <c r="H14" s="408">
        <f>'C2C'!H64</f>
        <v>316446610.45278949</v>
      </c>
      <c r="I14" s="47">
        <f t="shared" ref="I14:I19" si="4">G14-H14</f>
        <v>-240866462.59278947</v>
      </c>
      <c r="J14" s="200">
        <f t="shared" ref="J14:J19" si="5">IF(I14=0,"",I14/H14)</f>
        <v>-0.76115987543094321</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53269587.219999999</v>
      </c>
      <c r="G16" s="637">
        <f t="shared" si="6"/>
        <v>197127981.78</v>
      </c>
      <c r="H16" s="637">
        <f t="shared" si="6"/>
        <v>91606281.144846007</v>
      </c>
      <c r="I16" s="47">
        <f t="shared" si="4"/>
        <v>105521700.63515399</v>
      </c>
      <c r="J16" s="200">
        <f t="shared" si="5"/>
        <v>1.1519046436161424</v>
      </c>
      <c r="K16" s="641">
        <f>SUM(K17:K19)</f>
        <v>109927537.37381519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5056205.99</v>
      </c>
      <c r="G17" s="408">
        <f>'C2C'!G76</f>
        <v>8483501.1699999999</v>
      </c>
      <c r="H17" s="408">
        <f>'C2C'!H76</f>
        <v>36688658.465333335</v>
      </c>
      <c r="I17" s="47">
        <f t="shared" si="4"/>
        <v>-28205157.295333333</v>
      </c>
      <c r="J17" s="200">
        <f t="shared" si="5"/>
        <v>-0.76877047226962636</v>
      </c>
      <c r="K17" s="642">
        <f>'C2C'!K76</f>
        <v>44026390.158399999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48213381.229999997</v>
      </c>
      <c r="G18" s="408">
        <f>'C2C'!G87</f>
        <v>188599480.61000001</v>
      </c>
      <c r="H18" s="408">
        <f>'C2C'!H87</f>
        <v>54827333.129429333</v>
      </c>
      <c r="I18" s="47">
        <f t="shared" si="4"/>
        <v>133772147.48057067</v>
      </c>
      <c r="J18" s="200">
        <f t="shared" si="5"/>
        <v>2.4398806187559505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0</v>
      </c>
      <c r="G19" s="408">
        <f>'C2C'!G92</f>
        <v>45000</v>
      </c>
      <c r="H19" s="408">
        <f>'C2C'!H92</f>
        <v>90289.550083333321</v>
      </c>
      <c r="I19" s="47">
        <f t="shared" si="4"/>
        <v>-45289.550083333321</v>
      </c>
      <c r="J19" s="200">
        <f t="shared" si="5"/>
        <v>-0.50160345290826058</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314938830.74000001</v>
      </c>
      <c r="G20" s="637">
        <f t="shared" si="7"/>
        <v>3348984794.6199999</v>
      </c>
      <c r="H20" s="637">
        <f t="shared" si="7"/>
        <v>3609648289.1812654</v>
      </c>
      <c r="I20" s="47">
        <f t="shared" si="7"/>
        <v>-260663494.56126571</v>
      </c>
      <c r="J20" s="200">
        <f t="shared" si="2"/>
        <v>-7.2212989654011128E-2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205867554.47</v>
      </c>
      <c r="G21" s="408">
        <f>'C2C'!G100</f>
        <v>1967750973.3499999</v>
      </c>
      <c r="H21" s="408">
        <f>'C2C'!H100</f>
        <v>2212502340.7672386</v>
      </c>
      <c r="I21" s="47">
        <f>G21-H21</f>
        <v>-244751367.41723871</v>
      </c>
      <c r="J21" s="200">
        <f t="shared" si="2"/>
        <v>-0.11062196993308729</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78816837.040000007</v>
      </c>
      <c r="G22" s="408">
        <f>'C2C'!G104</f>
        <v>1009285407.9400001</v>
      </c>
      <c r="H22" s="408">
        <f>'C2C'!H104</f>
        <v>1044311791.6676432</v>
      </c>
      <c r="I22" s="47">
        <f>G22-H22</f>
        <v>-35026383.727643132</v>
      </c>
      <c r="J22" s="200">
        <f t="shared" si="2"/>
        <v>-3.3540159181493216E-2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18759357.5</v>
      </c>
      <c r="G23" s="672">
        <f>'C2C'!G108</f>
        <v>237881165.56</v>
      </c>
      <c r="H23" s="672">
        <f>'C2C'!H108</f>
        <v>144618516.58485273</v>
      </c>
      <c r="I23" s="47">
        <f>G23-H23</f>
        <v>93262648.975147277</v>
      </c>
      <c r="J23" s="200">
        <f t="shared" si="2"/>
        <v>0.64488732962785456</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11495081.73</v>
      </c>
      <c r="G24" s="408">
        <f>'C2C'!G113</f>
        <v>134067247.77</v>
      </c>
      <c r="H24" s="408">
        <f>'C2C'!H113</f>
        <v>208215640.16153115</v>
      </c>
      <c r="I24" s="47">
        <f>G24-H24</f>
        <v>-74148392.391531155</v>
      </c>
      <c r="J24" s="200">
        <f t="shared" si="2"/>
        <v>-0.35611346166891084</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2682301.11</v>
      </c>
      <c r="G25" s="637">
        <f>'C2C'!G118</f>
        <v>23671130.199999999</v>
      </c>
      <c r="H25" s="637">
        <f>'C2C'!H118</f>
        <v>53009083.905000009</v>
      </c>
      <c r="I25" s="102">
        <f>G25-H25</f>
        <v>-29337953.705000009</v>
      </c>
      <c r="J25" s="713">
        <f t="shared" si="2"/>
        <v>-0.55345143782484318</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489211267.94999999</v>
      </c>
      <c r="G26" s="545">
        <f t="shared" si="8"/>
        <v>5158936157.0599995</v>
      </c>
      <c r="H26" s="545">
        <f t="shared" si="8"/>
        <v>5489673026.5600538</v>
      </c>
      <c r="I26" s="545">
        <f t="shared" si="8"/>
        <v>-330736869.50005531</v>
      </c>
      <c r="J26" s="599">
        <f t="shared" si="2"/>
        <v>-6.0247098124039292E-2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92726432.679999977</v>
      </c>
      <c r="G29" s="637">
        <f t="shared" si="9"/>
        <v>808108168.59000003</v>
      </c>
      <c r="H29" s="637">
        <f t="shared" si="9"/>
        <v>1171099311.6941977</v>
      </c>
      <c r="I29" s="47">
        <f t="shared" ref="I29:I48" si="10">G29-H29</f>
        <v>-362991143.10419762</v>
      </c>
      <c r="J29" s="200">
        <f>IF(I29=0,"",I29/H29)</f>
        <v>-0.30995760946957451</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8377862.3999999966</v>
      </c>
      <c r="G30" s="408">
        <f>'C2C'!G129</f>
        <v>85508946.12000002</v>
      </c>
      <c r="H30" s="408">
        <f>'C2C'!H129</f>
        <v>115508318.93987799</v>
      </c>
      <c r="I30" s="47">
        <f t="shared" si="10"/>
        <v>-29999372.819877967</v>
      </c>
      <c r="J30" s="200">
        <f t="shared" ref="J30:J49" si="11">IF(I30=0,"",I30/H30)</f>
        <v>-0.25971612343776401</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83459777.399999991</v>
      </c>
      <c r="G31" s="672">
        <f>'C2C'!G132</f>
        <v>709645899.10000002</v>
      </c>
      <c r="H31" s="672">
        <f>'C2C'!H132</f>
        <v>1037043882.1000714</v>
      </c>
      <c r="I31" s="47">
        <f t="shared" si="10"/>
        <v>-327397983.00007141</v>
      </c>
      <c r="J31" s="200">
        <f t="shared" si="11"/>
        <v>-0.3157031140640571</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888792.87999999977</v>
      </c>
      <c r="G32" s="408">
        <f>'C2C'!G146</f>
        <v>12953323.370000001</v>
      </c>
      <c r="H32" s="408">
        <f>'C2C'!H146</f>
        <v>18547110.654248331</v>
      </c>
      <c r="I32" s="47">
        <f t="shared" si="10"/>
        <v>-5593787.2842483297</v>
      </c>
      <c r="J32" s="200">
        <f t="shared" si="11"/>
        <v>-0.30159885216229287</v>
      </c>
      <c r="K32" s="642">
        <f>'C2C'!K146</f>
        <v>22256532.785097998</v>
      </c>
      <c r="L32" s="100"/>
      <c r="Q32" s="69"/>
    </row>
    <row r="33" spans="1:17" ht="12.75" customHeight="1" x14ac:dyDescent="0.25">
      <c r="A33" s="414" t="s">
        <v>109</v>
      </c>
      <c r="B33" s="428"/>
      <c r="C33" s="641">
        <f t="shared" ref="C33:H33" si="12">SUM(C34:C38)</f>
        <v>0</v>
      </c>
      <c r="D33" s="669">
        <f t="shared" si="12"/>
        <v>440067727.15977156</v>
      </c>
      <c r="E33" s="637">
        <f t="shared" si="12"/>
        <v>533334006.71673155</v>
      </c>
      <c r="F33" s="637">
        <f t="shared" si="12"/>
        <v>43590915.409999996</v>
      </c>
      <c r="G33" s="637">
        <f t="shared" si="12"/>
        <v>398262742.6699999</v>
      </c>
      <c r="H33" s="637">
        <f t="shared" si="12"/>
        <v>444445005.59727633</v>
      </c>
      <c r="I33" s="47">
        <f t="shared" si="10"/>
        <v>-46182262.927276433</v>
      </c>
      <c r="J33" s="200">
        <f t="shared" si="11"/>
        <v>-0.10390996039029277</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14941577.949999997</v>
      </c>
      <c r="G34" s="408">
        <f>'C2C'!G149</f>
        <v>129710686.13999997</v>
      </c>
      <c r="H34" s="408">
        <f>'C2C'!H149</f>
        <v>109074948.16571411</v>
      </c>
      <c r="I34" s="47">
        <f t="shared" si="10"/>
        <v>20635737.974285856</v>
      </c>
      <c r="J34" s="200">
        <f t="shared" si="11"/>
        <v>0.18918861132929105</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10441247.239999998</v>
      </c>
      <c r="G35" s="408">
        <f>'C2C'!G171</f>
        <v>101279168.19999999</v>
      </c>
      <c r="H35" s="408">
        <f>'C2C'!H171</f>
        <v>95457060.574133396</v>
      </c>
      <c r="I35" s="47">
        <f t="shared" si="10"/>
        <v>5822107.6258665919</v>
      </c>
      <c r="J35" s="200">
        <f t="shared" si="11"/>
        <v>6.099190139366438E-2</v>
      </c>
      <c r="K35" s="642">
        <f>'C2C'!K171</f>
        <v>114548472.68896006</v>
      </c>
      <c r="L35" s="100"/>
      <c r="Q35" s="69"/>
    </row>
    <row r="36" spans="1:17" ht="12.75" customHeight="1" x14ac:dyDescent="0.25">
      <c r="A36" s="416" t="s">
        <v>112</v>
      </c>
      <c r="B36" s="426"/>
      <c r="C36" s="642">
        <f>'C2C'!C177</f>
        <v>0</v>
      </c>
      <c r="D36" s="670">
        <f>'C2C'!D177</f>
        <v>106871795.2822189</v>
      </c>
      <c r="E36" s="408">
        <f>'C2C'!E177</f>
        <v>140511795.83917889</v>
      </c>
      <c r="F36" s="408">
        <f>'C2C'!F177</f>
        <v>11823093.479999997</v>
      </c>
      <c r="G36" s="408">
        <f>'C2C'!G177</f>
        <v>104271296.77999999</v>
      </c>
      <c r="H36" s="408">
        <f>'C2C'!H177</f>
        <v>117093163.19931576</v>
      </c>
      <c r="I36" s="47">
        <f t="shared" si="10"/>
        <v>-12821866.41931577</v>
      </c>
      <c r="J36" s="200">
        <f t="shared" si="11"/>
        <v>-0.10950140955275428</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5641548.4699999997</v>
      </c>
      <c r="G37" s="408">
        <f>'C2C'!G186</f>
        <v>55075153.469999984</v>
      </c>
      <c r="H37" s="408">
        <f>'C2C'!H186</f>
        <v>122591596.13483161</v>
      </c>
      <c r="I37" s="47">
        <f t="shared" si="10"/>
        <v>-67516442.664831623</v>
      </c>
      <c r="J37" s="200">
        <f t="shared" si="11"/>
        <v>-0.55074283061437657</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743448.27000000014</v>
      </c>
      <c r="G38" s="672">
        <f>'C2C'!G189</f>
        <v>7926438.080000001</v>
      </c>
      <c r="H38" s="672">
        <f>'C2C'!H189</f>
        <v>228237.52328147925</v>
      </c>
      <c r="I38" s="47">
        <f t="shared" si="10"/>
        <v>7698200.5567185218</v>
      </c>
      <c r="J38" s="200">
        <f t="shared" si="11"/>
        <v>33.728899814709855</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294605680.61754364</v>
      </c>
      <c r="F39" s="637">
        <f t="shared" si="13"/>
        <v>32910101.75</v>
      </c>
      <c r="G39" s="637">
        <f t="shared" si="13"/>
        <v>328107689.02000004</v>
      </c>
      <c r="H39" s="637">
        <f t="shared" si="13"/>
        <v>245504733.84795302</v>
      </c>
      <c r="I39" s="47">
        <f t="shared" si="10"/>
        <v>82602955.172047019</v>
      </c>
      <c r="J39" s="200">
        <f t="shared" si="11"/>
        <v>0.33646176135733907</v>
      </c>
      <c r="K39" s="641">
        <f>SUM(K40:K42)</f>
        <v>294605680.61754364</v>
      </c>
      <c r="L39" s="100"/>
      <c r="Q39" s="70"/>
    </row>
    <row r="40" spans="1:17" ht="12.75" customHeight="1" x14ac:dyDescent="0.25">
      <c r="A40" s="416" t="s">
        <v>114</v>
      </c>
      <c r="B40" s="426"/>
      <c r="C40" s="642">
        <f>'C2C'!C198</f>
        <v>0</v>
      </c>
      <c r="D40" s="670">
        <f>'C2C'!D198</f>
        <v>92239503.875528902</v>
      </c>
      <c r="E40" s="408">
        <f>'C2C'!E198</f>
        <v>94069123.875528887</v>
      </c>
      <c r="F40" s="408">
        <f>'C2C'!F198</f>
        <v>5956475.0599999987</v>
      </c>
      <c r="G40" s="408">
        <f>'C2C'!G198</f>
        <v>54757756.289999999</v>
      </c>
      <c r="H40" s="408">
        <f>'C2C'!H198</f>
        <v>78390936.562940747</v>
      </c>
      <c r="I40" s="47">
        <f t="shared" si="10"/>
        <v>-23633180.272940747</v>
      </c>
      <c r="J40" s="200">
        <f t="shared" si="11"/>
        <v>-0.30147847836931335</v>
      </c>
      <c r="K40" s="642">
        <f>'C2C'!K198</f>
        <v>94069123.875528887</v>
      </c>
      <c r="L40" s="100"/>
      <c r="Q40" s="70"/>
    </row>
    <row r="41" spans="1:17" ht="12.75" customHeight="1" x14ac:dyDescent="0.25">
      <c r="A41" s="416" t="s">
        <v>115</v>
      </c>
      <c r="B41" s="426"/>
      <c r="C41" s="642">
        <f>'C2C'!C209</f>
        <v>0</v>
      </c>
      <c r="D41" s="670">
        <f>'C2C'!D209</f>
        <v>171068986.74871668</v>
      </c>
      <c r="E41" s="408">
        <f>'C2C'!E209</f>
        <v>175671731.78281486</v>
      </c>
      <c r="F41" s="408">
        <f>'C2C'!F209</f>
        <v>25337028.73</v>
      </c>
      <c r="G41" s="408">
        <f>'C2C'!G209</f>
        <v>256298948.61000001</v>
      </c>
      <c r="H41" s="408">
        <f>'C2C'!H209</f>
        <v>146393109.81901237</v>
      </c>
      <c r="I41" s="47">
        <f t="shared" si="10"/>
        <v>109905838.79098764</v>
      </c>
      <c r="J41" s="200">
        <f t="shared" si="11"/>
        <v>0.7507582763073043</v>
      </c>
      <c r="K41" s="642">
        <f>'C2C'!K209</f>
        <v>175671731.78281486</v>
      </c>
      <c r="L41" s="100"/>
      <c r="Q41" s="70"/>
    </row>
    <row r="42" spans="1:17" ht="12.75" customHeight="1" x14ac:dyDescent="0.25">
      <c r="A42" s="416" t="s">
        <v>116</v>
      </c>
      <c r="B42" s="426"/>
      <c r="C42" s="642">
        <f>'C2C'!C214</f>
        <v>0</v>
      </c>
      <c r="D42" s="670">
        <f>'C2C'!D214</f>
        <v>24864824.959199883</v>
      </c>
      <c r="E42" s="408">
        <f>'C2C'!E214</f>
        <v>24864824.959199883</v>
      </c>
      <c r="F42" s="408">
        <f>'C2C'!F214</f>
        <v>1616597.9600000002</v>
      </c>
      <c r="G42" s="408">
        <f>'C2C'!G214</f>
        <v>17050984.120000001</v>
      </c>
      <c r="H42" s="408">
        <f>'C2C'!H214</f>
        <v>20720687.465999901</v>
      </c>
      <c r="I42" s="47">
        <f t="shared" si="10"/>
        <v>-3669703.3459999003</v>
      </c>
      <c r="J42" s="200">
        <f t="shared" si="11"/>
        <v>-0.17710335875783234</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277987483.13999999</v>
      </c>
      <c r="G43" s="637">
        <f t="shared" si="14"/>
        <v>2847357905.1300001</v>
      </c>
      <c r="H43" s="637">
        <f t="shared" si="14"/>
        <v>2798825987.8729091</v>
      </c>
      <c r="I43" s="47">
        <f t="shared" si="14"/>
        <v>48531917.257091373</v>
      </c>
      <c r="J43" s="200">
        <f t="shared" si="11"/>
        <v>1.7340098122347127E-2</v>
      </c>
      <c r="K43" s="641">
        <f>SUM(K44:K47)</f>
        <v>3358591185.4474902</v>
      </c>
      <c r="L43" s="100"/>
      <c r="Q43" s="70"/>
    </row>
    <row r="44" spans="1:17" ht="12.75" customHeight="1" x14ac:dyDescent="0.25">
      <c r="A44" s="416" t="s">
        <v>1191</v>
      </c>
      <c r="B44" s="426"/>
      <c r="C44" s="642">
        <f>'C2C'!C222</f>
        <v>0</v>
      </c>
      <c r="D44" s="670">
        <f>'C2C'!D222</f>
        <v>2291332272.7237678</v>
      </c>
      <c r="E44" s="408">
        <f>'C2C'!E222</f>
        <v>2205525042.7237678</v>
      </c>
      <c r="F44" s="408">
        <f>'C2C'!F222</f>
        <v>176196520.01999998</v>
      </c>
      <c r="G44" s="408">
        <f>'C2C'!G222</f>
        <v>1798114379.8000004</v>
      </c>
      <c r="H44" s="408">
        <f>'C2C'!H222</f>
        <v>1837937535.6031399</v>
      </c>
      <c r="I44" s="47">
        <f t="shared" si="10"/>
        <v>-39823155.803139448</v>
      </c>
      <c r="J44" s="200">
        <f t="shared" si="11"/>
        <v>-2.1667306440896553E-2</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73297641.689999983</v>
      </c>
      <c r="G45" s="408">
        <f>'C2C'!G226</f>
        <v>750340424.49999976</v>
      </c>
      <c r="H45" s="408">
        <f>'C2C'!H226</f>
        <v>25852838.975000001</v>
      </c>
      <c r="I45" s="47">
        <f t="shared" si="10"/>
        <v>724487585.52499974</v>
      </c>
      <c r="J45" s="200">
        <f t="shared" si="11"/>
        <v>28.023521371311976</v>
      </c>
      <c r="K45" s="642">
        <f>'C2C'!K226</f>
        <v>31023406.77</v>
      </c>
      <c r="L45" s="100"/>
      <c r="Q45" s="70"/>
    </row>
    <row r="46" spans="1:17" ht="12.75" customHeight="1" x14ac:dyDescent="0.25">
      <c r="A46" s="416" t="s">
        <v>118</v>
      </c>
      <c r="B46" s="426"/>
      <c r="C46" s="643">
        <f>'C2C'!C230</f>
        <v>0</v>
      </c>
      <c r="D46" s="671">
        <f>'C2C'!D230</f>
        <v>931929869.0260967</v>
      </c>
      <c r="E46" s="672">
        <f>'C2C'!E230</f>
        <v>995608331.02609658</v>
      </c>
      <c r="F46" s="672">
        <f>'C2C'!F230</f>
        <v>18987240.730000008</v>
      </c>
      <c r="G46" s="672">
        <f>'C2C'!G230</f>
        <v>201944501.97999996</v>
      </c>
      <c r="H46" s="672">
        <f>'C2C'!H230</f>
        <v>829673609.18841386</v>
      </c>
      <c r="I46" s="47">
        <f t="shared" si="10"/>
        <v>-627729107.20841384</v>
      </c>
      <c r="J46" s="200">
        <f t="shared" si="11"/>
        <v>-0.75659765509771726</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9506080.6999999974</v>
      </c>
      <c r="G47" s="408">
        <f>'C2C'!G235</f>
        <v>96958598.850000024</v>
      </c>
      <c r="H47" s="408">
        <f>'C2C'!H235</f>
        <v>105362004.1063551</v>
      </c>
      <c r="I47" s="47">
        <f t="shared" si="10"/>
        <v>-8403405.256355077</v>
      </c>
      <c r="J47" s="200">
        <f t="shared" si="11"/>
        <v>-7.9757454574160003E-2</v>
      </c>
      <c r="K47" s="642">
        <f>'C2C'!K235</f>
        <v>126434404.92762612</v>
      </c>
      <c r="L47" s="100"/>
      <c r="Q47" s="70"/>
    </row>
    <row r="48" spans="1:17" ht="12.75" customHeight="1" x14ac:dyDescent="0.25">
      <c r="A48" s="414" t="s">
        <v>718</v>
      </c>
      <c r="B48" s="426"/>
      <c r="C48" s="641">
        <f>'C2C'!C240</f>
        <v>0</v>
      </c>
      <c r="D48" s="669">
        <f>'C2C'!D240</f>
        <v>81300979.882271051</v>
      </c>
      <c r="E48" s="637">
        <f>'C2C'!E240</f>
        <v>81300979.882271051</v>
      </c>
      <c r="F48" s="637">
        <f>'C2C'!F240</f>
        <v>5391389.2999999998</v>
      </c>
      <c r="G48" s="637">
        <f>'C2C'!G240</f>
        <v>54734423.480000004</v>
      </c>
      <c r="H48" s="637">
        <f>'C2C'!H240</f>
        <v>67750816.568559214</v>
      </c>
      <c r="I48" s="102">
        <f t="shared" si="10"/>
        <v>-13016393.08855921</v>
      </c>
      <c r="J48" s="713">
        <f t="shared" si="11"/>
        <v>-0.19212156764763871</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5673151026.697073</v>
      </c>
      <c r="F49" s="545">
        <f t="shared" si="15"/>
        <v>452606322.27999997</v>
      </c>
      <c r="G49" s="545">
        <f t="shared" si="15"/>
        <v>4436570928.8899994</v>
      </c>
      <c r="H49" s="545">
        <f t="shared" si="15"/>
        <v>4727625855.5808954</v>
      </c>
      <c r="I49" s="545">
        <f t="shared" si="15"/>
        <v>-291054926.6908949</v>
      </c>
      <c r="J49" s="599">
        <f t="shared" si="11"/>
        <v>-6.156471251787167E-2</v>
      </c>
      <c r="K49" s="720">
        <f>K29+K33+K39+K43+K48</f>
        <v>5673151026.697073</v>
      </c>
      <c r="L49" s="100"/>
      <c r="Q49" s="75"/>
    </row>
    <row r="50" spans="1:17" ht="12.75" customHeight="1" x14ac:dyDescent="0.25">
      <c r="A50" s="94" t="s">
        <v>893</v>
      </c>
      <c r="B50" s="429"/>
      <c r="C50" s="540">
        <f t="shared" ref="C50:H50" si="16">C26-C49</f>
        <v>0</v>
      </c>
      <c r="D50" s="640">
        <f t="shared" si="16"/>
        <v>927224369.32743168</v>
      </c>
      <c r="E50" s="634">
        <f t="shared" si="16"/>
        <v>914456605.17499161</v>
      </c>
      <c r="F50" s="634">
        <f t="shared" si="16"/>
        <v>36604945.670000017</v>
      </c>
      <c r="G50" s="634">
        <f t="shared" si="16"/>
        <v>722365228.17000008</v>
      </c>
      <c r="H50" s="634">
        <f t="shared" si="16"/>
        <v>762047170.9791584</v>
      </c>
      <c r="I50" s="634">
        <f>I26-I49</f>
        <v>-39681942.809160411</v>
      </c>
      <c r="J50" s="638">
        <f>IF(I50=0,"",I50/H50)</f>
        <v>-5.2072816907348232E-2</v>
      </c>
      <c r="K50" s="639">
        <f>K26-K49</f>
        <v>914456605.17499161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8" t="s">
        <v>1212</v>
      </c>
      <c r="B55" s="1048"/>
      <c r="C55" s="1048"/>
      <c r="D55" s="1048"/>
      <c r="E55" s="1048"/>
      <c r="F55" s="1048"/>
      <c r="G55" s="1048"/>
      <c r="H55" s="1048"/>
      <c r="I55" s="1048"/>
      <c r="J55" s="1048"/>
      <c r="K55" s="104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row r="93" s="25" customFormat="1" ht="11.25" customHeight="1" x14ac:dyDescent="0.25"/>
    <row r="94" s="25" customFormat="1"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79" activePane="bottomRight" state="frozen"/>
      <selection pane="topRight"/>
      <selection pane="bottomLeft"/>
      <selection pane="bottomRight" activeCell="F261" sqref="F261"/>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7" t="str">
        <f>muni&amp; " - "&amp;S71A&amp; " - "&amp;date</f>
        <v>KZN225 Msunduzi - Table C2 Consolidated Monthly Budget Statement - Financial Performance (functional classification)  - M10 April</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110128361.85999998</v>
      </c>
      <c r="G6" s="605">
        <f t="shared" si="0"/>
        <v>1479567974.6799996</v>
      </c>
      <c r="H6" s="605">
        <f t="shared" si="0"/>
        <v>1384447085.2645967</v>
      </c>
      <c r="I6" s="632">
        <f>G6-H6</f>
        <v>95120889.415402889</v>
      </c>
      <c r="J6" s="633">
        <f>IF(I6=0,"",I6/H6)</f>
        <v>6.8706771409196399E-2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467345.1</v>
      </c>
      <c r="G7" s="608">
        <f t="shared" si="1"/>
        <v>3160083.03</v>
      </c>
      <c r="H7" s="608">
        <f t="shared" si="1"/>
        <v>3706275.0111666666</v>
      </c>
      <c r="I7" s="608">
        <f t="shared" ref="I7:I123" si="2">G7-H7</f>
        <v>-546191.98116666684</v>
      </c>
      <c r="J7" s="608">
        <f t="shared" ref="J7:J123" si="3">IF(I7=0,"",I7/H7)</f>
        <v>-0.14736952317921376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467345.1</v>
      </c>
      <c r="G9" s="733">
        <v>3160083.03</v>
      </c>
      <c r="H9" s="733">
        <f>E9/12*10</f>
        <v>3706275.0111666666</v>
      </c>
      <c r="I9" s="408">
        <f t="shared" si="2"/>
        <v>-546191.98116666684</v>
      </c>
      <c r="J9" s="408">
        <f t="shared" si="3"/>
        <v>-0.14736952317921376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109661016.75999999</v>
      </c>
      <c r="G10" s="608">
        <f t="shared" si="4"/>
        <v>1476407891.6499996</v>
      </c>
      <c r="H10" s="608">
        <f t="shared" si="4"/>
        <v>1380740810.2534301</v>
      </c>
      <c r="I10" s="608">
        <f t="shared" ref="I10:I15" si="5">G10-H10</f>
        <v>95667081.39656949</v>
      </c>
      <c r="J10" s="608">
        <f t="shared" ref="J10:J15" si="6">IF(I10=0,"",I10/H10)</f>
        <v>6.9286777566174879E-2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107368348.25999999</v>
      </c>
      <c r="G13" s="733">
        <v>1465379381.4499998</v>
      </c>
      <c r="H13" s="733">
        <f>E13/12*10</f>
        <v>1364708159.6813467</v>
      </c>
      <c r="I13" s="408">
        <f t="shared" si="5"/>
        <v>100671221.76865315</v>
      </c>
      <c r="J13" s="408">
        <f t="shared" si="6"/>
        <v>7.3767582508013615E-2</v>
      </c>
      <c r="K13" s="735">
        <f>E13</f>
        <v>1637649791.6176159</v>
      </c>
      <c r="L13" s="100"/>
    </row>
    <row r="14" spans="1:12" x14ac:dyDescent="0.25">
      <c r="A14" s="695" t="s">
        <v>1127</v>
      </c>
      <c r="B14" s="415"/>
      <c r="C14" s="733"/>
      <c r="D14" s="733"/>
      <c r="E14" s="733">
        <v>0</v>
      </c>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1038714.85</v>
      </c>
      <c r="G15" s="733">
        <v>7175717.1100000003</v>
      </c>
      <c r="H15" s="733">
        <f>E15/12*10</f>
        <v>15816715.534083333</v>
      </c>
      <c r="I15" s="408">
        <f t="shared" si="5"/>
        <v>-8640998.4240833335</v>
      </c>
      <c r="J15" s="408">
        <f t="shared" si="6"/>
        <v>-0.54632065712144251</v>
      </c>
      <c r="K15" s="735">
        <f>E15</f>
        <v>18980058.640900001</v>
      </c>
      <c r="L15" s="100"/>
    </row>
    <row r="16" spans="1:12" x14ac:dyDescent="0.25">
      <c r="A16" s="695" t="s">
        <v>162</v>
      </c>
      <c r="B16" s="415"/>
      <c r="C16" s="733"/>
      <c r="D16" s="733">
        <v>2016.0139999999999</v>
      </c>
      <c r="E16" s="733">
        <v>2016.0139999999999</v>
      </c>
      <c r="F16" s="733">
        <v>116.52</v>
      </c>
      <c r="G16" s="733">
        <v>233.04</v>
      </c>
      <c r="H16" s="733">
        <f>E16/12*10</f>
        <v>1680.0116666666665</v>
      </c>
      <c r="I16" s="408">
        <f t="shared" ref="I16:I23" si="7">G16-H16</f>
        <v>-1446.9716666666666</v>
      </c>
      <c r="J16" s="408">
        <f t="shared" ref="J16:J23" si="8">IF(I16=0,"",I16/H16)</f>
        <v>-0.86128667757267563</v>
      </c>
      <c r="K16" s="735">
        <f>E16</f>
        <v>2016.0139999999999</v>
      </c>
      <c r="L16" s="100"/>
    </row>
    <row r="17" spans="1:12" x14ac:dyDescent="0.25">
      <c r="A17" s="695" t="s">
        <v>1128</v>
      </c>
      <c r="B17" s="415"/>
      <c r="C17" s="733"/>
      <c r="D17" s="733">
        <v>257106.03159999999</v>
      </c>
      <c r="E17" s="733">
        <v>257106.03159999999</v>
      </c>
      <c r="F17" s="733"/>
      <c r="G17" s="733"/>
      <c r="H17" s="733">
        <f>E17/12*10</f>
        <v>214255.02633333334</v>
      </c>
      <c r="I17" s="408">
        <f t="shared" si="7"/>
        <v>-214255.02633333334</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1241838.3400000001</v>
      </c>
      <c r="G19" s="733">
        <v>3754090.56</v>
      </c>
      <c r="H19" s="733"/>
      <c r="I19" s="408">
        <f t="shared" si="7"/>
        <v>3754090.56</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11998.79</v>
      </c>
      <c r="G22" s="733">
        <v>98469.49</v>
      </c>
      <c r="H22" s="733"/>
      <c r="I22" s="408">
        <f t="shared" si="7"/>
        <v>98469.49</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421154744.47721577</v>
      </c>
      <c r="F26" s="605">
        <f t="shared" si="10"/>
        <v>8192187.0199999996</v>
      </c>
      <c r="G26" s="605">
        <f t="shared" si="10"/>
        <v>109584275.78</v>
      </c>
      <c r="H26" s="605">
        <f t="shared" si="10"/>
        <v>350962287.06434649</v>
      </c>
      <c r="I26" s="605">
        <f t="shared" si="2"/>
        <v>-241378011.28434649</v>
      </c>
      <c r="J26" s="605">
        <f t="shared" si="3"/>
        <v>-0.68776053775855273</v>
      </c>
      <c r="K26" s="606">
        <f t="shared" si="10"/>
        <v>421154744.47721577</v>
      </c>
      <c r="L26" s="100"/>
    </row>
    <row r="27" spans="1:12" x14ac:dyDescent="0.25">
      <c r="A27" s="607" t="s">
        <v>110</v>
      </c>
      <c r="B27" s="415"/>
      <c r="C27" s="611">
        <f t="shared" ref="C27:H27" si="11">SUM(C28:C48)</f>
        <v>0</v>
      </c>
      <c r="D27" s="611">
        <f t="shared" si="11"/>
        <v>26242986.682700001</v>
      </c>
      <c r="E27" s="611">
        <f t="shared" si="11"/>
        <v>26648021.682700001</v>
      </c>
      <c r="F27" s="611">
        <f t="shared" si="11"/>
        <v>3162853.85</v>
      </c>
      <c r="G27" s="611">
        <f t="shared" si="11"/>
        <v>21619131.360000003</v>
      </c>
      <c r="H27" s="611">
        <f t="shared" si="11"/>
        <v>22206684.735583335</v>
      </c>
      <c r="I27" s="611">
        <f t="shared" si="2"/>
        <v>-587553.37558333203</v>
      </c>
      <c r="J27" s="611">
        <f t="shared" si="3"/>
        <v>-2.645840126877894E-2</v>
      </c>
      <c r="K27" s="611">
        <f>SUM(K28:K48)</f>
        <v>26648021.682700001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387125.69</v>
      </c>
      <c r="G31" s="733">
        <v>4234423.75</v>
      </c>
      <c r="H31" s="733">
        <f>E31/12*10</f>
        <v>2935990.2348333327</v>
      </c>
      <c r="I31" s="408">
        <f t="shared" si="12"/>
        <v>1298433.5151666673</v>
      </c>
      <c r="J31" s="408">
        <f t="shared" si="13"/>
        <v>0.44224721859143901</v>
      </c>
      <c r="K31" s="735">
        <f>E31</f>
        <v>3523188.2817999995</v>
      </c>
      <c r="L31" s="100"/>
    </row>
    <row r="32" spans="1:12" x14ac:dyDescent="0.25">
      <c r="A32" s="695" t="s">
        <v>1139</v>
      </c>
      <c r="B32" s="415"/>
      <c r="C32" s="733"/>
      <c r="D32" s="733"/>
      <c r="E32" s="733">
        <v>0</v>
      </c>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445805.41</v>
      </c>
      <c r="G33" s="733">
        <v>2672508.06</v>
      </c>
      <c r="H33" s="733">
        <f>E33/12*10</f>
        <v>871498.66741666663</v>
      </c>
      <c r="I33" s="408">
        <f t="shared" si="12"/>
        <v>1801009.3925833334</v>
      </c>
      <c r="J33" s="408">
        <f t="shared" si="13"/>
        <v>2.0665658593856051</v>
      </c>
      <c r="K33" s="735">
        <f>E33</f>
        <v>1045798.4008999999</v>
      </c>
      <c r="L33" s="100"/>
    </row>
    <row r="34" spans="1:12" x14ac:dyDescent="0.25">
      <c r="A34" s="695" t="s">
        <v>1141</v>
      </c>
      <c r="B34" s="415"/>
      <c r="C34" s="733"/>
      <c r="D34" s="733"/>
      <c r="E34" s="733">
        <v>0</v>
      </c>
      <c r="F34" s="733"/>
      <c r="G34" s="733"/>
      <c r="H34" s="733"/>
      <c r="I34" s="408">
        <f t="shared" si="12"/>
        <v>0</v>
      </c>
      <c r="J34" s="408" t="str">
        <f t="shared" si="13"/>
        <v/>
      </c>
      <c r="K34" s="735"/>
      <c r="L34" s="100"/>
    </row>
    <row r="35" spans="1:12" x14ac:dyDescent="0.25">
      <c r="A35" s="695" t="s">
        <v>1142</v>
      </c>
      <c r="B35" s="415"/>
      <c r="C35" s="733"/>
      <c r="D35" s="733"/>
      <c r="E35" s="733">
        <v>0</v>
      </c>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v>0</v>
      </c>
      <c r="F36" s="733"/>
      <c r="G36" s="733"/>
      <c r="H36" s="733"/>
      <c r="I36" s="408">
        <f t="shared" si="14"/>
        <v>0</v>
      </c>
      <c r="J36" s="408" t="str">
        <f t="shared" si="15"/>
        <v/>
      </c>
      <c r="K36" s="735"/>
      <c r="L36" s="100"/>
    </row>
    <row r="37" spans="1:12" x14ac:dyDescent="0.25">
      <c r="A37" s="695" t="s">
        <v>1004</v>
      </c>
      <c r="B37" s="415"/>
      <c r="C37" s="733"/>
      <c r="D37" s="733"/>
      <c r="E37" s="733">
        <v>0</v>
      </c>
      <c r="F37" s="733"/>
      <c r="G37" s="733"/>
      <c r="H37" s="733"/>
      <c r="I37" s="408">
        <f t="shared" si="14"/>
        <v>0</v>
      </c>
      <c r="J37" s="408" t="str">
        <f t="shared" si="15"/>
        <v/>
      </c>
      <c r="K37" s="735"/>
      <c r="L37" s="100"/>
    </row>
    <row r="38" spans="1:12" x14ac:dyDescent="0.25">
      <c r="A38" s="695" t="s">
        <v>1144</v>
      </c>
      <c r="B38" s="415"/>
      <c r="C38" s="733"/>
      <c r="D38" s="733"/>
      <c r="E38" s="733">
        <v>0</v>
      </c>
      <c r="F38" s="733"/>
      <c r="G38" s="733"/>
      <c r="H38" s="733"/>
      <c r="I38" s="408">
        <f t="shared" si="14"/>
        <v>0</v>
      </c>
      <c r="J38" s="408" t="str">
        <f t="shared" si="15"/>
        <v/>
      </c>
      <c r="K38" s="735"/>
      <c r="L38" s="100"/>
    </row>
    <row r="39" spans="1:12" x14ac:dyDescent="0.25">
      <c r="A39" s="695" t="s">
        <v>1145</v>
      </c>
      <c r="B39" s="415"/>
      <c r="C39" s="733"/>
      <c r="D39" s="733"/>
      <c r="E39" s="733">
        <v>0</v>
      </c>
      <c r="F39" s="733"/>
      <c r="G39" s="733"/>
      <c r="H39" s="733"/>
      <c r="I39" s="408">
        <f t="shared" si="14"/>
        <v>0</v>
      </c>
      <c r="J39" s="408" t="str">
        <f t="shared" si="15"/>
        <v/>
      </c>
      <c r="K39" s="735"/>
      <c r="L39" s="100"/>
    </row>
    <row r="40" spans="1:12" x14ac:dyDescent="0.25">
      <c r="A40" s="695" t="s">
        <v>1146</v>
      </c>
      <c r="B40" s="415"/>
      <c r="C40" s="733"/>
      <c r="D40" s="733"/>
      <c r="E40" s="733">
        <v>0</v>
      </c>
      <c r="F40" s="733"/>
      <c r="G40" s="733"/>
      <c r="H40" s="733"/>
      <c r="I40" s="408">
        <f t="shared" si="14"/>
        <v>0</v>
      </c>
      <c r="J40" s="408" t="str">
        <f t="shared" si="15"/>
        <v/>
      </c>
      <c r="K40" s="735"/>
      <c r="L40" s="100"/>
    </row>
    <row r="41" spans="1:12" x14ac:dyDescent="0.25">
      <c r="A41" s="695" t="s">
        <v>164</v>
      </c>
      <c r="B41" s="415"/>
      <c r="C41" s="733"/>
      <c r="D41" s="733">
        <v>10974000</v>
      </c>
      <c r="E41" s="733">
        <v>10974000</v>
      </c>
      <c r="F41" s="733">
        <v>2329922.75</v>
      </c>
      <c r="G41" s="733">
        <v>14545413.18</v>
      </c>
      <c r="H41" s="733">
        <f>E41/12*10</f>
        <v>9145000</v>
      </c>
      <c r="I41" s="408">
        <f t="shared" si="2"/>
        <v>5400413.1799999997</v>
      </c>
      <c r="J41" s="408">
        <f t="shared" si="3"/>
        <v>0.59053178567523235</v>
      </c>
      <c r="K41" s="735">
        <f>E41</f>
        <v>10974000</v>
      </c>
      <c r="L41" s="100"/>
    </row>
    <row r="42" spans="1:12" x14ac:dyDescent="0.25">
      <c r="A42" s="695" t="s">
        <v>1147</v>
      </c>
      <c r="B42" s="415"/>
      <c r="C42" s="733"/>
      <c r="D42" s="733"/>
      <c r="E42" s="733">
        <v>0</v>
      </c>
      <c r="F42" s="733"/>
      <c r="G42" s="733"/>
      <c r="H42" s="733"/>
      <c r="I42" s="408">
        <f t="shared" si="2"/>
        <v>0</v>
      </c>
      <c r="J42" s="408" t="str">
        <f t="shared" si="3"/>
        <v/>
      </c>
      <c r="K42" s="735"/>
      <c r="L42" s="100"/>
    </row>
    <row r="43" spans="1:12" x14ac:dyDescent="0.25">
      <c r="A43" s="695" t="s">
        <v>1148</v>
      </c>
      <c r="B43" s="415"/>
      <c r="C43" s="733"/>
      <c r="D43" s="733"/>
      <c r="E43" s="733">
        <v>0</v>
      </c>
      <c r="F43" s="733"/>
      <c r="G43" s="733"/>
      <c r="H43" s="733"/>
      <c r="I43" s="408">
        <f t="shared" si="2"/>
        <v>0</v>
      </c>
      <c r="J43" s="408" t="str">
        <f t="shared" si="3"/>
        <v/>
      </c>
      <c r="K43" s="735"/>
      <c r="L43" s="100"/>
    </row>
    <row r="44" spans="1:12" x14ac:dyDescent="0.25">
      <c r="A44" s="695" t="s">
        <v>1149</v>
      </c>
      <c r="B44" s="415"/>
      <c r="C44" s="733"/>
      <c r="D44" s="733">
        <v>10700000</v>
      </c>
      <c r="E44" s="733">
        <v>11105035</v>
      </c>
      <c r="F44" s="733"/>
      <c r="G44" s="733">
        <v>166786.37</v>
      </c>
      <c r="H44" s="733">
        <f>E44/12*10</f>
        <v>9254195.833333334</v>
      </c>
      <c r="I44" s="408">
        <f t="shared" si="2"/>
        <v>-9087409.4633333348</v>
      </c>
      <c r="J44" s="408">
        <f t="shared" si="3"/>
        <v>-0.98197721628072321</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11118</v>
      </c>
      <c r="G49" s="611">
        <f t="shared" si="16"/>
        <v>327112.15999999997</v>
      </c>
      <c r="H49" s="611">
        <f t="shared" si="16"/>
        <v>9168378.9893903583</v>
      </c>
      <c r="I49" s="611">
        <f t="shared" ref="I49:I54" si="17">G49-H49</f>
        <v>-8841266.8293903582</v>
      </c>
      <c r="J49" s="611">
        <f t="shared" ref="J49:J54" si="18">IF(I49=0,"",I49/H49)</f>
        <v>-0.96432170175572651</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11118</v>
      </c>
      <c r="G53" s="733">
        <v>327112.15999999997</v>
      </c>
      <c r="H53" s="733">
        <f>E53/12*10</f>
        <v>9168378.9893903583</v>
      </c>
      <c r="I53" s="408">
        <f t="shared" si="17"/>
        <v>-8841266.8293903582</v>
      </c>
      <c r="J53" s="408">
        <f t="shared" si="18"/>
        <v>-0.96432170175572651</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529330.86</v>
      </c>
      <c r="G55" s="611">
        <f t="shared" si="19"/>
        <v>12057884.4</v>
      </c>
      <c r="H55" s="611">
        <f t="shared" si="19"/>
        <v>3140612.8865833334</v>
      </c>
      <c r="I55" s="611">
        <f t="shared" si="2"/>
        <v>8917271.5134166665</v>
      </c>
      <c r="J55" s="611">
        <f t="shared" si="3"/>
        <v>2.8393411844901868</v>
      </c>
      <c r="K55" s="614">
        <f t="shared" si="19"/>
        <v>3768735.4638999999</v>
      </c>
      <c r="L55" s="100"/>
    </row>
    <row r="56" spans="1:12" x14ac:dyDescent="0.25">
      <c r="A56" s="695" t="s">
        <v>167</v>
      </c>
      <c r="B56" s="415"/>
      <c r="C56" s="733"/>
      <c r="D56" s="733"/>
      <c r="E56" s="733"/>
      <c r="F56" s="733">
        <v>466079.64</v>
      </c>
      <c r="G56" s="733">
        <v>749036.15</v>
      </c>
      <c r="H56" s="733"/>
      <c r="I56" s="408">
        <f t="shared" si="2"/>
        <v>749036.15</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12351.490000000002</v>
      </c>
      <c r="G60" s="733">
        <v>9150392.0700000003</v>
      </c>
      <c r="H60" s="733">
        <f>E60/12*10</f>
        <v>278557.93441666669</v>
      </c>
      <c r="I60" s="408">
        <f t="shared" si="2"/>
        <v>8871834.1355833337</v>
      </c>
      <c r="J60" s="408">
        <f t="shared" si="3"/>
        <v>31.849152508120099</v>
      </c>
      <c r="K60" s="735">
        <f>E60</f>
        <v>334269.52130000002</v>
      </c>
      <c r="L60" s="100"/>
    </row>
    <row r="61" spans="1:12" x14ac:dyDescent="0.25">
      <c r="A61" s="695" t="s">
        <v>1163</v>
      </c>
      <c r="B61" s="415"/>
      <c r="C61" s="733"/>
      <c r="D61" s="733">
        <v>0</v>
      </c>
      <c r="E61" s="733">
        <v>0</v>
      </c>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50899.73</v>
      </c>
      <c r="G62" s="733">
        <v>2158456.1800000002</v>
      </c>
      <c r="H62" s="733">
        <f>E62/12*10</f>
        <v>2862054.9521666667</v>
      </c>
      <c r="I62" s="408">
        <f>G62-H62</f>
        <v>-703598.77216666657</v>
      </c>
      <c r="J62" s="408">
        <f>IF(I62=0,"",I62/H62)</f>
        <v>-0.24583691925063139</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379735932.54334736</v>
      </c>
      <c r="F64" s="611">
        <f t="shared" si="20"/>
        <v>4488884.3099999996</v>
      </c>
      <c r="G64" s="611">
        <f t="shared" si="20"/>
        <v>75580147.859999999</v>
      </c>
      <c r="H64" s="611">
        <f t="shared" si="20"/>
        <v>316446610.45278949</v>
      </c>
      <c r="I64" s="611">
        <f>G64-H64</f>
        <v>-240866462.59278947</v>
      </c>
      <c r="J64" s="611">
        <f>IF(I64=0,"",I64/H64)</f>
        <v>-0.76115987543094321</v>
      </c>
      <c r="K64" s="614">
        <f>SUM(K65:K66)</f>
        <v>379735932.54334736</v>
      </c>
      <c r="L64" s="100"/>
    </row>
    <row r="65" spans="1:12" x14ac:dyDescent="0.25">
      <c r="A65" s="695" t="s">
        <v>711</v>
      </c>
      <c r="B65" s="415"/>
      <c r="C65" s="733"/>
      <c r="D65" s="733">
        <v>328237277.54334736</v>
      </c>
      <c r="E65" s="733">
        <v>379735932.54334736</v>
      </c>
      <c r="F65" s="733">
        <v>4488884.3099999996</v>
      </c>
      <c r="G65" s="733">
        <v>75580147.859999999</v>
      </c>
      <c r="H65" s="733">
        <f>E65/12*10</f>
        <v>316446610.45278949</v>
      </c>
      <c r="I65" s="408">
        <f>G65-H65</f>
        <v>-240866462.59278947</v>
      </c>
      <c r="J65" s="408">
        <f>IF(I65=0,"",I65/H65)</f>
        <v>-0.76115987543094321</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109927537.37381519</v>
      </c>
      <c r="F75" s="605">
        <f t="shared" si="22"/>
        <v>53269587.219999999</v>
      </c>
      <c r="G75" s="605">
        <f t="shared" si="22"/>
        <v>197127981.78</v>
      </c>
      <c r="H75" s="605">
        <f t="shared" si="22"/>
        <v>91606281.144846007</v>
      </c>
      <c r="I75" s="605">
        <f t="shared" si="2"/>
        <v>105521700.63515399</v>
      </c>
      <c r="J75" s="605">
        <f t="shared" si="3"/>
        <v>1.1519046436161424</v>
      </c>
      <c r="K75" s="606">
        <f>K76+K87+K92</f>
        <v>109927537.37381519</v>
      </c>
      <c r="L75" s="100"/>
    </row>
    <row r="76" spans="1:12" x14ac:dyDescent="0.25">
      <c r="A76" s="607" t="s">
        <v>114</v>
      </c>
      <c r="B76" s="417"/>
      <c r="C76" s="611">
        <f t="shared" ref="C76:H76" si="23">SUM(C77:C86)</f>
        <v>0</v>
      </c>
      <c r="D76" s="611">
        <f t="shared" si="23"/>
        <v>41022287.158399999</v>
      </c>
      <c r="E76" s="611">
        <f t="shared" si="23"/>
        <v>44026390.158399999</v>
      </c>
      <c r="F76" s="611">
        <f t="shared" si="23"/>
        <v>5056205.99</v>
      </c>
      <c r="G76" s="611">
        <f t="shared" si="23"/>
        <v>8483501.1699999999</v>
      </c>
      <c r="H76" s="611">
        <f t="shared" si="23"/>
        <v>36688658.465333335</v>
      </c>
      <c r="I76" s="611">
        <f t="shared" si="2"/>
        <v>-28205157.295333333</v>
      </c>
      <c r="J76" s="611">
        <f t="shared" si="3"/>
        <v>-0.76877047226962636</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v>300000</v>
      </c>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v>541645.37</v>
      </c>
      <c r="G81" s="733">
        <v>541645.37</v>
      </c>
      <c r="H81" s="733">
        <f>E81/12*10</f>
        <v>3333333.333333333</v>
      </c>
      <c r="I81" s="408">
        <f>G81-H81</f>
        <v>-2791687.9633333329</v>
      </c>
      <c r="J81" s="408">
        <f>IF(I81=0,"",I81/H81)</f>
        <v>-0.83750638899999996</v>
      </c>
      <c r="K81" s="735">
        <f>E81</f>
        <v>4000000</v>
      </c>
      <c r="L81" s="100"/>
    </row>
    <row r="82" spans="1:12" x14ac:dyDescent="0.25">
      <c r="A82" s="695" t="s">
        <v>1176</v>
      </c>
      <c r="B82" s="417"/>
      <c r="C82" s="733"/>
      <c r="D82" s="733"/>
      <c r="E82" s="733">
        <v>0</v>
      </c>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4214560.62</v>
      </c>
      <c r="G83" s="733">
        <v>7641855.7999999998</v>
      </c>
      <c r="H83" s="733">
        <f>E83/12*10</f>
        <v>33355325.131999999</v>
      </c>
      <c r="I83" s="408">
        <f>G83-H83</f>
        <v>-25713469.331999999</v>
      </c>
      <c r="J83" s="408">
        <f>IF(I83=0,"",I83/H83)</f>
        <v>-0.77089547861523744</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48213381.229999997</v>
      </c>
      <c r="G87" s="611">
        <f t="shared" si="24"/>
        <v>188599480.61000001</v>
      </c>
      <c r="H87" s="611">
        <f t="shared" si="24"/>
        <v>54827333.129429333</v>
      </c>
      <c r="I87" s="611">
        <f t="shared" si="2"/>
        <v>133772147.48057067</v>
      </c>
      <c r="J87" s="611">
        <f t="shared" si="3"/>
        <v>2.4398806187559505</v>
      </c>
      <c r="K87" s="614">
        <f>SUM(K88:K91)</f>
        <v>65792799.755315199</v>
      </c>
      <c r="L87" s="100"/>
    </row>
    <row r="88" spans="1:12" x14ac:dyDescent="0.25">
      <c r="A88" s="695" t="s">
        <v>1183</v>
      </c>
      <c r="B88" s="417"/>
      <c r="C88" s="733"/>
      <c r="D88" s="733">
        <v>65792799.755315199</v>
      </c>
      <c r="E88" s="733">
        <v>65792799.755315199</v>
      </c>
      <c r="F88" s="733">
        <v>43768181.439999998</v>
      </c>
      <c r="G88" s="733">
        <v>137865685.77000001</v>
      </c>
      <c r="H88" s="733">
        <f>E88/12*10</f>
        <v>54827333.129429333</v>
      </c>
      <c r="I88" s="408">
        <f t="shared" si="2"/>
        <v>83038352.64057067</v>
      </c>
      <c r="J88" s="408">
        <f t="shared" si="3"/>
        <v>1.5145429825037156</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4445199.79</v>
      </c>
      <c r="G90" s="733">
        <v>50733794.840000004</v>
      </c>
      <c r="H90" s="733"/>
      <c r="I90" s="408">
        <f t="shared" si="2"/>
        <v>50733794.840000004</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0</v>
      </c>
      <c r="G92" s="611">
        <f t="shared" si="25"/>
        <v>45000</v>
      </c>
      <c r="H92" s="611">
        <f t="shared" si="25"/>
        <v>90289.550083333321</v>
      </c>
      <c r="I92" s="611">
        <f t="shared" si="2"/>
        <v>-45289.550083333321</v>
      </c>
      <c r="J92" s="611">
        <f t="shared" si="3"/>
        <v>-0.50160345290826058</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c r="G97" s="733">
        <v>45000</v>
      </c>
      <c r="H97" s="733">
        <f>E97/12*10</f>
        <v>90289.550083333321</v>
      </c>
      <c r="I97" s="408">
        <f t="shared" si="2"/>
        <v>-45289.550083333321</v>
      </c>
      <c r="J97" s="408">
        <f t="shared" si="3"/>
        <v>-0.50160345290826058</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314938830.74000001</v>
      </c>
      <c r="G99" s="605">
        <f t="shared" si="26"/>
        <v>3348984794.6199999</v>
      </c>
      <c r="H99" s="605">
        <f t="shared" si="26"/>
        <v>3609648289.1812654</v>
      </c>
      <c r="I99" s="605">
        <f t="shared" si="26"/>
        <v>-260663494.56126571</v>
      </c>
      <c r="J99" s="605">
        <f t="shared" si="3"/>
        <v>-7.2212989654011128E-2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205867554.47</v>
      </c>
      <c r="G100" s="611">
        <f t="shared" si="27"/>
        <v>1967750973.3499999</v>
      </c>
      <c r="H100" s="611">
        <f t="shared" si="27"/>
        <v>2212502340.7672386</v>
      </c>
      <c r="I100" s="611">
        <f t="shared" si="2"/>
        <v>-244751367.41723871</v>
      </c>
      <c r="J100" s="611">
        <f t="shared" si="3"/>
        <v>-0.11062196993308729</v>
      </c>
      <c r="K100" s="614">
        <f t="shared" si="27"/>
        <v>2655002808.9206858</v>
      </c>
      <c r="L100" s="100"/>
    </row>
    <row r="101" spans="1:12" x14ac:dyDescent="0.25">
      <c r="A101" s="695" t="s">
        <v>1192</v>
      </c>
      <c r="B101" s="417"/>
      <c r="C101" s="733"/>
      <c r="D101" s="733">
        <v>2635365105.6563859</v>
      </c>
      <c r="E101" s="733">
        <v>2635365105.6563859</v>
      </c>
      <c r="F101" s="733">
        <v>205867554.47</v>
      </c>
      <c r="G101" s="733">
        <v>1967750973.3499999</v>
      </c>
      <c r="H101" s="733">
        <f t="shared" ref="H101:H102" si="28">E101/12*10</f>
        <v>2196137588.0469885</v>
      </c>
      <c r="I101" s="408">
        <f t="shared" si="2"/>
        <v>-228386614.69698858</v>
      </c>
      <c r="J101" s="408">
        <f t="shared" si="3"/>
        <v>-0.10399467498759556</v>
      </c>
      <c r="K101" s="735">
        <f>E101</f>
        <v>2635365105.6563859</v>
      </c>
      <c r="L101" s="100"/>
    </row>
    <row r="102" spans="1:12" x14ac:dyDescent="0.25">
      <c r="A102" s="695" t="s">
        <v>1193</v>
      </c>
      <c r="B102" s="417"/>
      <c r="C102" s="733"/>
      <c r="D102" s="733">
        <v>19637703.2643</v>
      </c>
      <c r="E102" s="733">
        <v>19637703.2643</v>
      </c>
      <c r="F102" s="733"/>
      <c r="G102" s="733"/>
      <c r="H102" s="733">
        <f t="shared" si="28"/>
        <v>16364752.720250001</v>
      </c>
      <c r="I102" s="408">
        <f>G102-H102</f>
        <v>-16364752.720250001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78816837.040000007</v>
      </c>
      <c r="G104" s="611">
        <f t="shared" si="29"/>
        <v>1009285407.9400001</v>
      </c>
      <c r="H104" s="611">
        <f t="shared" si="29"/>
        <v>1044311791.6676432</v>
      </c>
      <c r="I104" s="611">
        <f t="shared" si="2"/>
        <v>-35026383.727643132</v>
      </c>
      <c r="J104" s="611">
        <f t="shared" si="3"/>
        <v>-3.3540159181493216E-2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78816837.040000007</v>
      </c>
      <c r="G106" s="733">
        <v>1009285407.9400001</v>
      </c>
      <c r="H106" s="733">
        <f>E106/12*10</f>
        <v>1044311791.6676432</v>
      </c>
      <c r="I106" s="408">
        <f>G106-H106</f>
        <v>-35026383.727643132</v>
      </c>
      <c r="J106" s="408">
        <f>IF(I106=0,"",I106/H106)</f>
        <v>-3.3540159181493216E-2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18759357.5</v>
      </c>
      <c r="G108" s="611">
        <f t="shared" si="30"/>
        <v>237881165.56</v>
      </c>
      <c r="H108" s="611">
        <f t="shared" si="30"/>
        <v>144618516.58485273</v>
      </c>
      <c r="I108" s="611">
        <f t="shared" si="2"/>
        <v>93262648.975147277</v>
      </c>
      <c r="J108" s="611">
        <f t="shared" si="3"/>
        <v>0.64488732962785456</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18759357.5</v>
      </c>
      <c r="G110" s="733">
        <v>237881165.56</v>
      </c>
      <c r="H110" s="733">
        <f>E110/12*10</f>
        <v>144618516.58485273</v>
      </c>
      <c r="I110" s="408">
        <f t="shared" si="2"/>
        <v>93262648.975147277</v>
      </c>
      <c r="J110" s="408">
        <f t="shared" si="3"/>
        <v>0.64488732962785456</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11495081.73</v>
      </c>
      <c r="G113" s="611">
        <f t="shared" si="31"/>
        <v>134067247.77</v>
      </c>
      <c r="H113" s="611">
        <f t="shared" si="31"/>
        <v>208215640.16153115</v>
      </c>
      <c r="I113" s="611">
        <f t="shared" si="2"/>
        <v>-74148392.391531155</v>
      </c>
      <c r="J113" s="611">
        <f t="shared" si="3"/>
        <v>-0.35611346166891084</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2329511.62</v>
      </c>
      <c r="G115" s="733">
        <v>38039612.859999999</v>
      </c>
      <c r="H115" s="733">
        <f>E115/12*10</f>
        <v>208215640.16153115</v>
      </c>
      <c r="I115" s="408">
        <f>G115-H115</f>
        <v>-170176027.30153114</v>
      </c>
      <c r="J115" s="408">
        <f>IF(I115=0,"",I115/H115)</f>
        <v>-0.81730664982472334</v>
      </c>
      <c r="K115" s="735">
        <f>E115</f>
        <v>249858768.1938374</v>
      </c>
      <c r="L115" s="100"/>
    </row>
    <row r="116" spans="1:12" x14ac:dyDescent="0.25">
      <c r="A116" s="695" t="s">
        <v>1200</v>
      </c>
      <c r="B116" s="417"/>
      <c r="C116" s="733"/>
      <c r="D116" s="733"/>
      <c r="E116" s="733"/>
      <c r="F116" s="733">
        <v>9165570.1099999994</v>
      </c>
      <c r="G116" s="733">
        <v>96027634.909999996</v>
      </c>
      <c r="H116" s="733"/>
      <c r="I116" s="408">
        <f t="shared" si="2"/>
        <v>96027634.909999996</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2682301.11</v>
      </c>
      <c r="G118" s="611">
        <f t="shared" si="32"/>
        <v>23671130.199999999</v>
      </c>
      <c r="H118" s="611">
        <f t="shared" si="32"/>
        <v>53009083.905000009</v>
      </c>
      <c r="I118" s="611">
        <f t="shared" si="2"/>
        <v>-29337953.705000009</v>
      </c>
      <c r="J118" s="611">
        <f t="shared" si="3"/>
        <v>-0.55345143782484318</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1025106.43</v>
      </c>
      <c r="G120" s="733">
        <v>5416875.6600000001</v>
      </c>
      <c r="H120" s="733">
        <f t="shared" ref="H120:H121" si="33">E120/12*10</f>
        <v>10408932.995750001</v>
      </c>
      <c r="I120" s="408">
        <f t="shared" si="2"/>
        <v>-4992057.3357500006</v>
      </c>
      <c r="J120" s="408">
        <f t="shared" si="3"/>
        <v>-0.47959357004106695</v>
      </c>
      <c r="K120" s="735">
        <f t="shared" ref="K120:K121" si="34">E120</f>
        <v>12490719.594900001</v>
      </c>
      <c r="L120" s="100"/>
    </row>
    <row r="121" spans="1:12" x14ac:dyDescent="0.25">
      <c r="A121" s="607" t="s">
        <v>1202</v>
      </c>
      <c r="B121" s="417"/>
      <c r="C121" s="733"/>
      <c r="D121" s="733">
        <v>7663197.0931999991</v>
      </c>
      <c r="E121" s="733">
        <v>7663197.0931999991</v>
      </c>
      <c r="F121" s="733"/>
      <c r="G121" s="733">
        <v>850000</v>
      </c>
      <c r="H121" s="733">
        <f t="shared" si="33"/>
        <v>6385997.5776666664</v>
      </c>
      <c r="I121" s="408">
        <f>G121-H121</f>
        <v>-5535997.5776666664</v>
      </c>
      <c r="J121" s="408">
        <f>IF(I121=0,"",I121/H121)</f>
        <v>-0.86689628524560525</v>
      </c>
      <c r="K121" s="735">
        <f t="shared" si="34"/>
        <v>7663197.0931999991</v>
      </c>
      <c r="L121" s="100"/>
    </row>
    <row r="122" spans="1:12" x14ac:dyDescent="0.25">
      <c r="A122" s="607" t="s">
        <v>1203</v>
      </c>
      <c r="B122" s="417"/>
      <c r="C122" s="733"/>
      <c r="D122" s="733"/>
      <c r="E122" s="733"/>
      <c r="F122" s="733">
        <v>11809.53</v>
      </c>
      <c r="G122" s="733">
        <v>165770.25</v>
      </c>
      <c r="H122" s="733"/>
      <c r="I122" s="408">
        <f t="shared" si="2"/>
        <v>165770.25</v>
      </c>
      <c r="J122" s="408" t="e">
        <f t="shared" si="3"/>
        <v>#DIV/0!</v>
      </c>
      <c r="K122" s="735"/>
      <c r="L122" s="100"/>
    </row>
    <row r="123" spans="1:12" x14ac:dyDescent="0.25">
      <c r="A123" s="607" t="s">
        <v>441</v>
      </c>
      <c r="B123" s="415"/>
      <c r="C123" s="733"/>
      <c r="D123" s="733">
        <v>43456983.997900009</v>
      </c>
      <c r="E123" s="733">
        <v>43456983.997900009</v>
      </c>
      <c r="F123" s="733">
        <v>1645385.15</v>
      </c>
      <c r="G123" s="733">
        <v>17238484.289999999</v>
      </c>
      <c r="H123" s="733">
        <f>E123/12*10</f>
        <v>36214153.331583343</v>
      </c>
      <c r="I123" s="408">
        <f t="shared" si="2"/>
        <v>-18975669.041583344</v>
      </c>
      <c r="J123" s="408">
        <f t="shared" si="3"/>
        <v>-0.52398488700919454</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6587607631.8720646</v>
      </c>
      <c r="F125" s="616">
        <f t="shared" si="35"/>
        <v>489211267.94999999</v>
      </c>
      <c r="G125" s="616">
        <f t="shared" si="35"/>
        <v>5158936157.0599995</v>
      </c>
      <c r="H125" s="616">
        <f t="shared" si="35"/>
        <v>5489673026.5600538</v>
      </c>
      <c r="I125" s="616">
        <f>G125-H125</f>
        <v>-330736869.50005436</v>
      </c>
      <c r="J125" s="616">
        <f>IF(I125=0,"",I125/H125)</f>
        <v>-6.0247098124039118E-2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1405319174.0330372</v>
      </c>
      <c r="F128" s="605">
        <f t="shared" si="37"/>
        <v>92726432.679999977</v>
      </c>
      <c r="G128" s="605">
        <f t="shared" si="37"/>
        <v>808108168.59000003</v>
      </c>
      <c r="H128" s="605">
        <f t="shared" si="37"/>
        <v>1171099311.6941977</v>
      </c>
      <c r="I128" s="605">
        <f t="shared" ref="I128:I244" si="38">G128-H128</f>
        <v>-362991143.10419762</v>
      </c>
      <c r="J128" s="605">
        <f t="shared" ref="J128:J244" si="39">IF(I128=0,"",I128/H128)</f>
        <v>-0.30995760946957451</v>
      </c>
      <c r="K128" s="606">
        <f>K129+K132+K146</f>
        <v>1405319174.0330372</v>
      </c>
      <c r="L128" s="100"/>
    </row>
    <row r="129" spans="1:12" x14ac:dyDescent="0.25">
      <c r="A129" s="607" t="str">
        <f t="shared" si="36"/>
        <v>Executive and council</v>
      </c>
      <c r="B129" s="620"/>
      <c r="C129" s="608">
        <f t="shared" ref="C129:K129" si="40">SUM(C130:C131)</f>
        <v>0</v>
      </c>
      <c r="D129" s="608">
        <f t="shared" si="40"/>
        <v>137732466.40184778</v>
      </c>
      <c r="E129" s="608">
        <f t="shared" si="40"/>
        <v>138609982.7278536</v>
      </c>
      <c r="F129" s="608">
        <f t="shared" si="40"/>
        <v>8377862.3999999966</v>
      </c>
      <c r="G129" s="608">
        <f t="shared" si="40"/>
        <v>85508946.12000002</v>
      </c>
      <c r="H129" s="608">
        <f t="shared" si="40"/>
        <v>115508318.93987799</v>
      </c>
      <c r="I129" s="608">
        <f t="shared" si="38"/>
        <v>-29999372.819877967</v>
      </c>
      <c r="J129" s="608">
        <f t="shared" si="39"/>
        <v>-0.25971612343776401</v>
      </c>
      <c r="K129" s="610">
        <f t="shared" si="40"/>
        <v>138609982.7278536</v>
      </c>
      <c r="L129" s="100"/>
    </row>
    <row r="130" spans="1:12" x14ac:dyDescent="0.25">
      <c r="A130" s="695" t="str">
        <f t="shared" si="36"/>
        <v>Mayor and Council</v>
      </c>
      <c r="B130" s="620"/>
      <c r="C130" s="733"/>
      <c r="D130" s="733">
        <v>86039675.165266603</v>
      </c>
      <c r="E130" s="733">
        <v>88752895.165266603</v>
      </c>
      <c r="F130" s="733">
        <v>6146539.9099999974</v>
      </c>
      <c r="G130" s="733">
        <v>62679426.340000011</v>
      </c>
      <c r="H130" s="733">
        <f t="shared" ref="H130:H131" si="41">E130/12*10</f>
        <v>73960745.971055508</v>
      </c>
      <c r="I130" s="408">
        <f t="shared" si="38"/>
        <v>-11281319.631055497</v>
      </c>
      <c r="J130" s="408">
        <f t="shared" si="39"/>
        <v>-0.15253117694987059</v>
      </c>
      <c r="K130" s="735">
        <f t="shared" ref="K130:K143" si="42">E130</f>
        <v>88752895.165266603</v>
      </c>
      <c r="L130" s="100"/>
    </row>
    <row r="131" spans="1:12" ht="18.600000000000001" customHeight="1" x14ac:dyDescent="0.25">
      <c r="A131" s="695" t="str">
        <f t="shared" si="36"/>
        <v>Municipal Manager, Town Secretary and Chief Executive</v>
      </c>
      <c r="B131" s="620"/>
      <c r="C131" s="733"/>
      <c r="D131" s="733">
        <v>51692791.236581177</v>
      </c>
      <c r="E131" s="733">
        <v>49857087.562586986</v>
      </c>
      <c r="F131" s="733">
        <v>2231322.4899999998</v>
      </c>
      <c r="G131" s="733">
        <v>22829519.780000005</v>
      </c>
      <c r="H131" s="733">
        <f t="shared" si="41"/>
        <v>41547572.968822487</v>
      </c>
      <c r="I131" s="408">
        <f t="shared" si="38"/>
        <v>-18718053.188822482</v>
      </c>
      <c r="J131" s="408">
        <f t="shared" si="39"/>
        <v>-0.4505209775518923</v>
      </c>
      <c r="K131" s="735">
        <f t="shared" si="42"/>
        <v>49857087.562586986</v>
      </c>
      <c r="L131" s="100"/>
    </row>
    <row r="132" spans="1:12" x14ac:dyDescent="0.25">
      <c r="A132" s="607" t="str">
        <f t="shared" si="36"/>
        <v>Finance and administration</v>
      </c>
      <c r="B132" s="620"/>
      <c r="C132" s="608">
        <f t="shared" ref="C132:H132" si="43">SUM(C133:C145)</f>
        <v>0</v>
      </c>
      <c r="D132" s="608">
        <f t="shared" si="43"/>
        <v>1194545745.0547059</v>
      </c>
      <c r="E132" s="608">
        <f t="shared" si="43"/>
        <v>1244452658.5200856</v>
      </c>
      <c r="F132" s="608">
        <f t="shared" si="43"/>
        <v>83459777.399999991</v>
      </c>
      <c r="G132" s="608">
        <f t="shared" si="43"/>
        <v>709645899.10000002</v>
      </c>
      <c r="H132" s="608">
        <f t="shared" si="43"/>
        <v>1037043882.1000714</v>
      </c>
      <c r="I132" s="608">
        <f t="shared" si="38"/>
        <v>-327397983.00007141</v>
      </c>
      <c r="J132" s="608">
        <f t="shared" si="39"/>
        <v>-0.3157031140640571</v>
      </c>
      <c r="K132" s="608">
        <f>SUM(K133:K145)</f>
        <v>1244452658.5200856</v>
      </c>
      <c r="L132" s="100"/>
    </row>
    <row r="133" spans="1:12" x14ac:dyDescent="0.25">
      <c r="A133" s="695" t="str">
        <f t="shared" si="36"/>
        <v>Administrative and Corporate Support</v>
      </c>
      <c r="B133" s="415"/>
      <c r="C133" s="733"/>
      <c r="D133" s="733">
        <v>63311187.597137183</v>
      </c>
      <c r="E133" s="733">
        <v>62649554.597137183</v>
      </c>
      <c r="F133" s="733">
        <v>3678478.850000001</v>
      </c>
      <c r="G133" s="733">
        <v>40984428.030000001</v>
      </c>
      <c r="H133" s="733">
        <f t="shared" ref="H133:H135" si="44">E133/12*10</f>
        <v>52207962.164280981</v>
      </c>
      <c r="I133" s="408">
        <f t="shared" si="38"/>
        <v>-11223534.13428098</v>
      </c>
      <c r="J133" s="408">
        <f t="shared" si="39"/>
        <v>-0.21497744154357673</v>
      </c>
      <c r="K133" s="735">
        <f t="shared" si="42"/>
        <v>62649554.597137183</v>
      </c>
      <c r="L133" s="100"/>
    </row>
    <row r="134" spans="1:12" x14ac:dyDescent="0.25">
      <c r="A134" s="695" t="str">
        <f t="shared" si="36"/>
        <v>Asset Management</v>
      </c>
      <c r="B134" s="415"/>
      <c r="C134" s="733"/>
      <c r="D134" s="733">
        <v>114851325.40861207</v>
      </c>
      <c r="E134" s="733">
        <v>116354060.40861207</v>
      </c>
      <c r="F134" s="733">
        <v>5012886.0600000005</v>
      </c>
      <c r="G134" s="733">
        <v>48664573.789999992</v>
      </c>
      <c r="H134" s="733">
        <f t="shared" si="44"/>
        <v>96961717.007176727</v>
      </c>
      <c r="I134" s="408">
        <f t="shared" si="38"/>
        <v>-48297143.217176735</v>
      </c>
      <c r="J134" s="408">
        <f t="shared" si="39"/>
        <v>-0.49810528018601374</v>
      </c>
      <c r="K134" s="735">
        <f t="shared" si="42"/>
        <v>116354060.40861207</v>
      </c>
      <c r="L134" s="100"/>
    </row>
    <row r="135" spans="1:12" x14ac:dyDescent="0.25">
      <c r="A135" s="695" t="str">
        <f t="shared" si="36"/>
        <v>Finance</v>
      </c>
      <c r="B135" s="415"/>
      <c r="C135" s="733"/>
      <c r="D135" s="733">
        <v>527291938.10809231</v>
      </c>
      <c r="E135" s="733">
        <v>536010051.81119955</v>
      </c>
      <c r="F135" s="733">
        <v>17190175.789999995</v>
      </c>
      <c r="G135" s="733">
        <v>248998050.42999998</v>
      </c>
      <c r="H135" s="733">
        <f t="shared" si="44"/>
        <v>446675043.17599958</v>
      </c>
      <c r="I135" s="408">
        <f t="shared" si="38"/>
        <v>-197676992.7459996</v>
      </c>
      <c r="J135" s="408">
        <f t="shared" si="39"/>
        <v>-0.44255213217298689</v>
      </c>
      <c r="K135" s="735">
        <f t="shared" si="42"/>
        <v>536010051.81119955</v>
      </c>
      <c r="L135" s="100"/>
    </row>
    <row r="136" spans="1:12" x14ac:dyDescent="0.25">
      <c r="A136" s="695" t="str">
        <f t="shared" si="36"/>
        <v>Fleet Management</v>
      </c>
      <c r="B136" s="415"/>
      <c r="C136" s="733"/>
      <c r="D136" s="733"/>
      <c r="E136" s="733">
        <v>0</v>
      </c>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177750164.40260589</v>
      </c>
      <c r="F137" s="733">
        <v>19603239.630000003</v>
      </c>
      <c r="G137" s="733">
        <v>65653244.38000001</v>
      </c>
      <c r="H137" s="733">
        <f t="shared" ref="H137:H141" si="45">E137/12*10</f>
        <v>148125137.00217158</v>
      </c>
      <c r="I137" s="408">
        <f t="shared" si="38"/>
        <v>-82471892.622171566</v>
      </c>
      <c r="J137" s="408">
        <f t="shared" si="39"/>
        <v>-0.55677175590367556</v>
      </c>
      <c r="K137" s="735">
        <f t="shared" si="42"/>
        <v>177750164.40260589</v>
      </c>
      <c r="L137" s="100"/>
    </row>
    <row r="138" spans="1:12" x14ac:dyDescent="0.25">
      <c r="A138" s="695" t="str">
        <f t="shared" si="36"/>
        <v>Information Technology</v>
      </c>
      <c r="B138" s="415"/>
      <c r="C138" s="733"/>
      <c r="D138" s="733">
        <v>36645394.820353068</v>
      </c>
      <c r="E138" s="733">
        <v>47436872.820353068</v>
      </c>
      <c r="F138" s="733">
        <v>2809189.3500000006</v>
      </c>
      <c r="G138" s="733">
        <v>30319860.829999998</v>
      </c>
      <c r="H138" s="733">
        <f t="shared" si="45"/>
        <v>39530727.350294225</v>
      </c>
      <c r="I138" s="408">
        <f t="shared" si="38"/>
        <v>-9210866.5202942267</v>
      </c>
      <c r="J138" s="408">
        <f t="shared" si="39"/>
        <v>-0.23300523763890904</v>
      </c>
      <c r="K138" s="735">
        <f t="shared" si="42"/>
        <v>47436872.820353068</v>
      </c>
      <c r="L138" s="100"/>
    </row>
    <row r="139" spans="1:12" x14ac:dyDescent="0.25">
      <c r="A139" s="695" t="str">
        <f t="shared" si="36"/>
        <v>Legal Services</v>
      </c>
      <c r="B139" s="415"/>
      <c r="C139" s="733"/>
      <c r="D139" s="733">
        <v>11011185.169427564</v>
      </c>
      <c r="E139" s="733">
        <v>10482390.169427564</v>
      </c>
      <c r="F139" s="733">
        <v>1095063.4799999997</v>
      </c>
      <c r="G139" s="733">
        <v>10145104.48</v>
      </c>
      <c r="H139" s="733">
        <f t="shared" si="45"/>
        <v>8735325.1411896367</v>
      </c>
      <c r="I139" s="408">
        <f t="shared" si="38"/>
        <v>1409779.3388103638</v>
      </c>
      <c r="J139" s="408">
        <f t="shared" si="39"/>
        <v>0.16138830736395124</v>
      </c>
      <c r="K139" s="735">
        <f t="shared" si="42"/>
        <v>10482390.169427564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1326742.9399999997</v>
      </c>
      <c r="G140" s="733">
        <v>13757920.539999999</v>
      </c>
      <c r="H140" s="733">
        <f t="shared" si="45"/>
        <v>17365221.936956666</v>
      </c>
      <c r="I140" s="408">
        <f t="shared" si="38"/>
        <v>-3607301.3969566673</v>
      </c>
      <c r="J140" s="408">
        <f t="shared" si="39"/>
        <v>-0.20773137308885228</v>
      </c>
      <c r="K140" s="735">
        <f t="shared" si="42"/>
        <v>20838266.324347999</v>
      </c>
      <c r="L140" s="100"/>
    </row>
    <row r="141" spans="1:12" x14ac:dyDescent="0.25">
      <c r="A141" s="695" t="str">
        <f t="shared" si="36"/>
        <v>Property Services</v>
      </c>
      <c r="B141" s="415"/>
      <c r="C141" s="733"/>
      <c r="D141" s="733">
        <v>57794332.631016083</v>
      </c>
      <c r="E141" s="733">
        <v>59124332.631016083</v>
      </c>
      <c r="F141" s="733">
        <v>4729015.3500000006</v>
      </c>
      <c r="G141" s="733">
        <v>55143249.009999976</v>
      </c>
      <c r="H141" s="733">
        <f t="shared" si="45"/>
        <v>49270277.192513406</v>
      </c>
      <c r="I141" s="408">
        <f t="shared" si="38"/>
        <v>5872971.8174865693</v>
      </c>
      <c r="J141" s="408">
        <f t="shared" si="39"/>
        <v>0.11919908212692103</v>
      </c>
      <c r="K141" s="735">
        <f t="shared" si="42"/>
        <v>59124332.631016083</v>
      </c>
      <c r="L141" s="100"/>
    </row>
    <row r="142" spans="1:12" x14ac:dyDescent="0.25">
      <c r="A142" s="695" t="str">
        <f t="shared" si="36"/>
        <v>Risk Management</v>
      </c>
      <c r="B142" s="415"/>
      <c r="C142" s="733"/>
      <c r="D142" s="733"/>
      <c r="E142" s="733">
        <v>0</v>
      </c>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128844216.00984205</v>
      </c>
      <c r="F143" s="733">
        <v>15121404.919999998</v>
      </c>
      <c r="G143" s="733">
        <v>151041174.26999992</v>
      </c>
      <c r="H143" s="733">
        <f t="shared" ref="H143:H144" si="46">E143/12*10</f>
        <v>107370180.00820172</v>
      </c>
      <c r="I143" s="408">
        <f t="shared" si="38"/>
        <v>43670994.261798203</v>
      </c>
      <c r="J143" s="408">
        <f t="shared" si="39"/>
        <v>0.40673298916386558</v>
      </c>
      <c r="K143" s="735">
        <f t="shared" si="42"/>
        <v>128844216.00984205</v>
      </c>
      <c r="L143" s="100"/>
    </row>
    <row r="144" spans="1:12" x14ac:dyDescent="0.25">
      <c r="A144" s="695" t="str">
        <f t="shared" si="36"/>
        <v xml:space="preserve">Supply Chain Management </v>
      </c>
      <c r="B144" s="415"/>
      <c r="C144" s="733"/>
      <c r="D144" s="733">
        <v>63645857.888706505</v>
      </c>
      <c r="E144" s="733">
        <v>84962749.34554404</v>
      </c>
      <c r="F144" s="733">
        <v>12893581.030000001</v>
      </c>
      <c r="G144" s="733">
        <v>44938293.340000004</v>
      </c>
      <c r="H144" s="733">
        <f t="shared" si="46"/>
        <v>70802291.121286705</v>
      </c>
      <c r="I144" s="408">
        <f t="shared" si="38"/>
        <v>-25863997.781286702</v>
      </c>
      <c r="J144" s="408">
        <f t="shared" si="39"/>
        <v>-0.36529888188195497</v>
      </c>
      <c r="K144" s="735">
        <f t="shared" ref="K144" si="47">E144</f>
        <v>84962749.34554404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8">SUM(C147:C147)</f>
        <v>0</v>
      </c>
      <c r="D146" s="608">
        <f t="shared" si="48"/>
        <v>21986532.785097998</v>
      </c>
      <c r="E146" s="608">
        <f t="shared" si="48"/>
        <v>22256532.785097998</v>
      </c>
      <c r="F146" s="608">
        <f t="shared" si="48"/>
        <v>888792.87999999977</v>
      </c>
      <c r="G146" s="608">
        <f t="shared" si="48"/>
        <v>12953323.370000001</v>
      </c>
      <c r="H146" s="608">
        <f t="shared" si="48"/>
        <v>18547110.654248331</v>
      </c>
      <c r="I146" s="608">
        <f t="shared" si="38"/>
        <v>-5593787.2842483297</v>
      </c>
      <c r="J146" s="608">
        <f t="shared" si="39"/>
        <v>-0.30159885216229287</v>
      </c>
      <c r="K146" s="610">
        <f>SUM(K147:K147)</f>
        <v>22256532.785097998</v>
      </c>
      <c r="L146" s="100"/>
    </row>
    <row r="147" spans="1:12" x14ac:dyDescent="0.25">
      <c r="A147" s="695" t="str">
        <f t="shared" si="36"/>
        <v>Governance Function</v>
      </c>
      <c r="B147" s="620"/>
      <c r="C147" s="733"/>
      <c r="D147" s="733">
        <v>21986532.785097998</v>
      </c>
      <c r="E147" s="733">
        <v>22256532.785097998</v>
      </c>
      <c r="F147" s="733">
        <v>888792.87999999977</v>
      </c>
      <c r="G147" s="733">
        <v>12953323.370000001</v>
      </c>
      <c r="H147" s="733">
        <f>E147/12*10</f>
        <v>18547110.654248331</v>
      </c>
      <c r="I147" s="408">
        <f t="shared" si="38"/>
        <v>-5593787.2842483297</v>
      </c>
      <c r="J147" s="408">
        <f t="shared" si="39"/>
        <v>-0.30159885216229287</v>
      </c>
      <c r="K147" s="735">
        <f t="shared" ref="K147" si="49">E147</f>
        <v>22256532.785097998</v>
      </c>
      <c r="L147" s="100"/>
    </row>
    <row r="148" spans="1:12" x14ac:dyDescent="0.25">
      <c r="A148" s="414" t="str">
        <f t="shared" si="36"/>
        <v>Community and public safety</v>
      </c>
      <c r="B148" s="620"/>
      <c r="C148" s="605">
        <f t="shared" ref="C148:H148" si="50">C149+C171+C177+C186+C189</f>
        <v>0</v>
      </c>
      <c r="D148" s="605">
        <f t="shared" si="50"/>
        <v>440067727.15977156</v>
      </c>
      <c r="E148" s="605">
        <f t="shared" si="50"/>
        <v>533334006.71673155</v>
      </c>
      <c r="F148" s="605">
        <f t="shared" si="50"/>
        <v>43590915.409999996</v>
      </c>
      <c r="G148" s="605">
        <f t="shared" si="50"/>
        <v>398262742.6699999</v>
      </c>
      <c r="H148" s="605">
        <f t="shared" si="50"/>
        <v>444445005.59727633</v>
      </c>
      <c r="I148" s="605">
        <f t="shared" si="38"/>
        <v>-46182262.927276433</v>
      </c>
      <c r="J148" s="605">
        <f t="shared" si="39"/>
        <v>-0.10390996039029277</v>
      </c>
      <c r="K148" s="606">
        <f>K149+K171+K177+K186+K189</f>
        <v>533334006.71673155</v>
      </c>
      <c r="L148" s="100"/>
    </row>
    <row r="149" spans="1:12" x14ac:dyDescent="0.25">
      <c r="A149" s="607" t="str">
        <f t="shared" si="36"/>
        <v>Community and social services</v>
      </c>
      <c r="B149" s="620"/>
      <c r="C149" s="611">
        <f t="shared" ref="C149:H149" si="51">SUM(C150:C170)</f>
        <v>0</v>
      </c>
      <c r="D149" s="611">
        <f t="shared" si="51"/>
        <v>128373725.79885694</v>
      </c>
      <c r="E149" s="611">
        <f t="shared" si="51"/>
        <v>130889937.79885694</v>
      </c>
      <c r="F149" s="611">
        <f t="shared" si="51"/>
        <v>14941577.949999997</v>
      </c>
      <c r="G149" s="611">
        <f t="shared" si="51"/>
        <v>129710686.13999997</v>
      </c>
      <c r="H149" s="611">
        <f t="shared" si="51"/>
        <v>109074948.16571411</v>
      </c>
      <c r="I149" s="611">
        <f t="shared" si="38"/>
        <v>20635737.974285856</v>
      </c>
      <c r="J149" s="611">
        <f t="shared" si="39"/>
        <v>0.18918861132929105</v>
      </c>
      <c r="K149" s="614">
        <f>SUM(K150:K170)</f>
        <v>130889937.79885694</v>
      </c>
      <c r="L149" s="100"/>
    </row>
    <row r="150" spans="1:12" x14ac:dyDescent="0.25">
      <c r="A150" s="695" t="str">
        <f t="shared" si="36"/>
        <v>Aged Care</v>
      </c>
      <c r="B150" s="620"/>
      <c r="C150" s="733"/>
      <c r="D150" s="733">
        <v>4431.0612499999997</v>
      </c>
      <c r="E150" s="733">
        <v>4431.0612499999997</v>
      </c>
      <c r="F150" s="733">
        <v>47.11</v>
      </c>
      <c r="G150" s="733">
        <v>481.3</v>
      </c>
      <c r="H150" s="733">
        <f>E150/12*10</f>
        <v>3692.5510416666662</v>
      </c>
      <c r="I150" s="408">
        <f t="shared" si="38"/>
        <v>-3211.251041666666</v>
      </c>
      <c r="J150" s="408">
        <f t="shared" si="39"/>
        <v>-0.86965650723063237</v>
      </c>
      <c r="K150" s="735">
        <f t="shared" ref="K150" si="52">E150</f>
        <v>4431.0612499999997</v>
      </c>
      <c r="L150" s="100"/>
    </row>
    <row r="151" spans="1:12" x14ac:dyDescent="0.25">
      <c r="A151" s="695" t="str">
        <f t="shared" si="36"/>
        <v>Agricultural</v>
      </c>
      <c r="B151" s="620"/>
      <c r="C151" s="733"/>
      <c r="D151" s="733"/>
      <c r="E151" s="733">
        <v>0</v>
      </c>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690137.28</v>
      </c>
      <c r="H152" s="733">
        <f>E152/12*10</f>
        <v>819117.05</v>
      </c>
      <c r="I152" s="408">
        <f t="shared" si="38"/>
        <v>-128979.77000000002</v>
      </c>
      <c r="J152" s="408">
        <f t="shared" si="39"/>
        <v>-0.15746195247675532</v>
      </c>
      <c r="K152" s="735">
        <f t="shared" ref="K152:K153" si="53">E152</f>
        <v>982940.46</v>
      </c>
      <c r="L152" s="100"/>
    </row>
    <row r="153" spans="1:12" ht="22.5" x14ac:dyDescent="0.25">
      <c r="A153" s="695" t="str">
        <f t="shared" si="36"/>
        <v>Cemeteries, Funeral Parlours and Crematoriums</v>
      </c>
      <c r="B153" s="620"/>
      <c r="C153" s="733"/>
      <c r="D153" s="733">
        <v>26579168.830668706</v>
      </c>
      <c r="E153" s="733">
        <v>26593168.830668706</v>
      </c>
      <c r="F153" s="733">
        <v>2130366.0199999996</v>
      </c>
      <c r="G153" s="733">
        <v>22063438.119999997</v>
      </c>
      <c r="H153" s="733">
        <f>E153/12*10</f>
        <v>22160974.025557257</v>
      </c>
      <c r="I153" s="408">
        <f t="shared" si="38"/>
        <v>-97535.905557259917</v>
      </c>
      <c r="J153" s="408">
        <f t="shared" si="39"/>
        <v>-4.4012463281070651E-3</v>
      </c>
      <c r="K153" s="735">
        <f t="shared" si="53"/>
        <v>26593168.830668706</v>
      </c>
      <c r="L153" s="100"/>
    </row>
    <row r="154" spans="1:12" x14ac:dyDescent="0.25">
      <c r="A154" s="695" t="str">
        <f t="shared" si="36"/>
        <v>Child Care Facilities</v>
      </c>
      <c r="B154" s="620"/>
      <c r="C154" s="733"/>
      <c r="D154" s="733"/>
      <c r="E154" s="733">
        <v>0</v>
      </c>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6298287.830000001</v>
      </c>
      <c r="G155" s="733">
        <v>43012170.060000002</v>
      </c>
      <c r="H155" s="733">
        <f>E155/12*10</f>
        <v>13122468.304028336</v>
      </c>
      <c r="I155" s="408">
        <f t="shared" si="38"/>
        <v>29889701.755971666</v>
      </c>
      <c r="J155" s="408">
        <f t="shared" si="39"/>
        <v>2.2777499677249078</v>
      </c>
      <c r="K155" s="735">
        <f t="shared" ref="K155" si="54">E155</f>
        <v>15746961.964834005</v>
      </c>
      <c r="L155" s="100"/>
    </row>
    <row r="156" spans="1:12" x14ac:dyDescent="0.25">
      <c r="A156" s="695" t="str">
        <f t="shared" si="36"/>
        <v>Consumer Protection</v>
      </c>
      <c r="B156" s="620"/>
      <c r="C156" s="733"/>
      <c r="D156" s="733"/>
      <c r="E156" s="733">
        <v>0</v>
      </c>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6"/>
        <v>Education</v>
      </c>
      <c r="B159" s="620"/>
      <c r="C159" s="733"/>
      <c r="D159" s="733"/>
      <c r="E159" s="733">
        <v>0</v>
      </c>
      <c r="F159" s="733"/>
      <c r="G159" s="733"/>
      <c r="H159" s="733"/>
      <c r="I159" s="408">
        <f t="shared" ref="I159:I164" si="55">G159-H159</f>
        <v>0</v>
      </c>
      <c r="J159" s="408" t="str">
        <f t="shared" ref="J159:J164" si="56">IF(I159=0,"",I159/H159)</f>
        <v/>
      </c>
      <c r="K159" s="735"/>
      <c r="L159" s="100"/>
    </row>
    <row r="160" spans="1:12" x14ac:dyDescent="0.25">
      <c r="A160" s="695" t="str">
        <f t="shared" ref="A160:A191" si="57">A38</f>
        <v>Indigenous and Customary Law</v>
      </c>
      <c r="B160" s="620"/>
      <c r="C160" s="733"/>
      <c r="D160" s="733"/>
      <c r="E160" s="733">
        <v>0</v>
      </c>
      <c r="F160" s="733"/>
      <c r="G160" s="733"/>
      <c r="H160" s="733"/>
      <c r="I160" s="408">
        <f t="shared" si="55"/>
        <v>0</v>
      </c>
      <c r="J160" s="408" t="str">
        <f t="shared" si="56"/>
        <v/>
      </c>
      <c r="K160" s="735"/>
      <c r="L160" s="100"/>
    </row>
    <row r="161" spans="1:12" x14ac:dyDescent="0.25">
      <c r="A161" s="695" t="str">
        <f t="shared" si="57"/>
        <v>Industrial Promotion</v>
      </c>
      <c r="B161" s="620"/>
      <c r="C161" s="733"/>
      <c r="D161" s="733"/>
      <c r="E161" s="733">
        <v>0</v>
      </c>
      <c r="F161" s="733"/>
      <c r="G161" s="733"/>
      <c r="H161" s="733"/>
      <c r="I161" s="408">
        <f t="shared" si="55"/>
        <v>0</v>
      </c>
      <c r="J161" s="408" t="str">
        <f t="shared" si="56"/>
        <v/>
      </c>
      <c r="K161" s="735"/>
      <c r="L161" s="100"/>
    </row>
    <row r="162" spans="1:12" x14ac:dyDescent="0.25">
      <c r="A162" s="695" t="str">
        <f t="shared" si="57"/>
        <v>Language Policy</v>
      </c>
      <c r="B162" s="620"/>
      <c r="C162" s="733"/>
      <c r="D162" s="733"/>
      <c r="E162" s="733">
        <v>0</v>
      </c>
      <c r="F162" s="733"/>
      <c r="G162" s="733"/>
      <c r="H162" s="733"/>
      <c r="I162" s="408">
        <f t="shared" si="55"/>
        <v>0</v>
      </c>
      <c r="J162" s="408" t="str">
        <f t="shared" si="56"/>
        <v/>
      </c>
      <c r="K162" s="735"/>
      <c r="L162" s="100"/>
    </row>
    <row r="163" spans="1:12" x14ac:dyDescent="0.25">
      <c r="A163" s="695" t="str">
        <f t="shared" si="57"/>
        <v>Libraries and Archives</v>
      </c>
      <c r="B163" s="620"/>
      <c r="C163" s="733"/>
      <c r="D163" s="733">
        <v>68987451.478751421</v>
      </c>
      <c r="E163" s="733">
        <v>71261116.478751421</v>
      </c>
      <c r="F163" s="733">
        <v>5635659.4899999965</v>
      </c>
      <c r="G163" s="733">
        <v>54318291.919999987</v>
      </c>
      <c r="H163" s="733">
        <f>E163/12*10</f>
        <v>59384263.732292846</v>
      </c>
      <c r="I163" s="408">
        <f t="shared" si="55"/>
        <v>-5065971.812292859</v>
      </c>
      <c r="J163" s="408">
        <f t="shared" si="56"/>
        <v>-8.5308320654281525E-2</v>
      </c>
      <c r="K163" s="735">
        <f t="shared" ref="K163" si="58">E163</f>
        <v>71261116.478751421</v>
      </c>
      <c r="L163" s="100"/>
    </row>
    <row r="164" spans="1:12" x14ac:dyDescent="0.25">
      <c r="A164" s="695" t="str">
        <f t="shared" si="57"/>
        <v>Literacy Programmes</v>
      </c>
      <c r="B164" s="620"/>
      <c r="C164" s="733"/>
      <c r="D164" s="733"/>
      <c r="E164" s="733">
        <v>0</v>
      </c>
      <c r="F164" s="733"/>
      <c r="G164" s="733"/>
      <c r="H164" s="733"/>
      <c r="I164" s="408">
        <f t="shared" si="55"/>
        <v>0</v>
      </c>
      <c r="J164" s="408" t="str">
        <f t="shared" si="56"/>
        <v/>
      </c>
      <c r="K164" s="735"/>
      <c r="L164" s="100"/>
    </row>
    <row r="165" spans="1:12" x14ac:dyDescent="0.25">
      <c r="A165" s="695" t="str">
        <f t="shared" si="57"/>
        <v>Media Services</v>
      </c>
      <c r="B165" s="620"/>
      <c r="C165" s="733"/>
      <c r="D165" s="733"/>
      <c r="E165" s="733">
        <v>0</v>
      </c>
      <c r="F165" s="733"/>
      <c r="G165" s="733"/>
      <c r="H165" s="733"/>
      <c r="I165" s="408">
        <f t="shared" si="38"/>
        <v>0</v>
      </c>
      <c r="J165" s="408" t="str">
        <f t="shared" si="39"/>
        <v/>
      </c>
      <c r="K165" s="735"/>
      <c r="L165" s="100"/>
    </row>
    <row r="166" spans="1:12" x14ac:dyDescent="0.25">
      <c r="A166" s="695" t="str">
        <f t="shared" si="57"/>
        <v>Museums and Art Galleries</v>
      </c>
      <c r="B166" s="620"/>
      <c r="C166" s="733"/>
      <c r="D166" s="733">
        <v>7907722.2016169671</v>
      </c>
      <c r="E166" s="733">
        <v>8165123.2016169671</v>
      </c>
      <c r="F166" s="733">
        <v>577219.15</v>
      </c>
      <c r="G166" s="733">
        <v>5632184.0899999999</v>
      </c>
      <c r="H166" s="733">
        <f t="shared" ref="H166:H167" si="59">E166/12*10</f>
        <v>6804269.3346808059</v>
      </c>
      <c r="I166" s="408">
        <f t="shared" si="38"/>
        <v>-1172085.2446808061</v>
      </c>
      <c r="J166" s="408">
        <f t="shared" si="39"/>
        <v>-0.1722573265444951</v>
      </c>
      <c r="K166" s="735">
        <f t="shared" ref="K166:K167" si="60">E166</f>
        <v>8165123.2016169671</v>
      </c>
      <c r="L166" s="100"/>
    </row>
    <row r="167" spans="1:12" x14ac:dyDescent="0.25">
      <c r="A167" s="695" t="str">
        <f t="shared" si="57"/>
        <v>Population Development</v>
      </c>
      <c r="B167" s="620"/>
      <c r="C167" s="733"/>
      <c r="D167" s="733">
        <v>8165049.8017358435</v>
      </c>
      <c r="E167" s="733">
        <v>8136195.8017358435</v>
      </c>
      <c r="F167" s="733">
        <v>299461.03000000003</v>
      </c>
      <c r="G167" s="733">
        <v>3988072.85</v>
      </c>
      <c r="H167" s="733">
        <f t="shared" si="59"/>
        <v>6780163.1681132028</v>
      </c>
      <c r="I167" s="408">
        <f t="shared" si="38"/>
        <v>-2792090.3181132027</v>
      </c>
      <c r="J167" s="408">
        <f t="shared" si="39"/>
        <v>-0.41180282079998837</v>
      </c>
      <c r="K167" s="735">
        <f t="shared" si="60"/>
        <v>8136195.8017358435</v>
      </c>
      <c r="L167" s="100"/>
    </row>
    <row r="168" spans="1:12" x14ac:dyDescent="0.25">
      <c r="A168" s="695" t="str">
        <f t="shared" si="57"/>
        <v>Provincial Cultural Matters</v>
      </c>
      <c r="B168" s="620"/>
      <c r="C168" s="733"/>
      <c r="D168" s="733"/>
      <c r="E168" s="733">
        <v>0</v>
      </c>
      <c r="F168" s="733"/>
      <c r="G168" s="733"/>
      <c r="H168" s="733"/>
      <c r="I168" s="408">
        <f t="shared" si="38"/>
        <v>0</v>
      </c>
      <c r="J168" s="408" t="str">
        <f t="shared" si="39"/>
        <v/>
      </c>
      <c r="K168" s="735"/>
      <c r="L168" s="100"/>
    </row>
    <row r="169" spans="1:12" x14ac:dyDescent="0.25">
      <c r="A169" s="695" t="str">
        <f t="shared" si="57"/>
        <v>Theatres</v>
      </c>
      <c r="B169" s="620"/>
      <c r="C169" s="733"/>
      <c r="D169" s="733"/>
      <c r="E169" s="733">
        <v>0</v>
      </c>
      <c r="F169" s="733">
        <v>537.32000000000005</v>
      </c>
      <c r="G169" s="733">
        <v>5910.5199999999995</v>
      </c>
      <c r="H169" s="733"/>
      <c r="I169" s="408">
        <f t="shared" si="38"/>
        <v>5910.5199999999995</v>
      </c>
      <c r="J169" s="408" t="e">
        <f t="shared" si="39"/>
        <v>#DIV/0!</v>
      </c>
      <c r="K169" s="735"/>
      <c r="L169" s="100"/>
    </row>
    <row r="170" spans="1:12" x14ac:dyDescent="0.25">
      <c r="A170" s="695" t="str">
        <f t="shared" si="57"/>
        <v>Zoo's</v>
      </c>
      <c r="B170" s="620"/>
      <c r="C170" s="733"/>
      <c r="D170" s="733"/>
      <c r="E170" s="733">
        <v>0</v>
      </c>
      <c r="F170" s="733"/>
      <c r="G170" s="733"/>
      <c r="H170" s="733"/>
      <c r="I170" s="408">
        <f t="shared" si="38"/>
        <v>0</v>
      </c>
      <c r="J170" s="408" t="str">
        <f t="shared" si="39"/>
        <v/>
      </c>
      <c r="K170" s="735"/>
      <c r="L170" s="100"/>
    </row>
    <row r="171" spans="1:12" x14ac:dyDescent="0.25">
      <c r="A171" s="607" t="str">
        <f t="shared" si="57"/>
        <v>Sport and recreation</v>
      </c>
      <c r="B171" s="620"/>
      <c r="C171" s="611">
        <f t="shared" ref="C171:K171" si="61">SUM(C172:C176)</f>
        <v>0</v>
      </c>
      <c r="D171" s="611">
        <f t="shared" si="61"/>
        <v>114418472.68896006</v>
      </c>
      <c r="E171" s="611">
        <f t="shared" si="61"/>
        <v>114548472.68896006</v>
      </c>
      <c r="F171" s="611">
        <f t="shared" si="61"/>
        <v>10441247.239999998</v>
      </c>
      <c r="G171" s="611">
        <f t="shared" si="61"/>
        <v>101279168.19999999</v>
      </c>
      <c r="H171" s="611">
        <f t="shared" si="61"/>
        <v>95457060.574133396</v>
      </c>
      <c r="I171" s="611">
        <f t="shared" ref="I171:I176" si="62">G171-H171</f>
        <v>5822107.6258665919</v>
      </c>
      <c r="J171" s="611">
        <f t="shared" ref="J171:J176" si="63">IF(I171=0,"",I171/H171)</f>
        <v>6.099190139366438E-2</v>
      </c>
      <c r="K171" s="614">
        <f t="shared" si="61"/>
        <v>114548472.68896006</v>
      </c>
      <c r="L171" s="100"/>
    </row>
    <row r="172" spans="1:12" x14ac:dyDescent="0.25">
      <c r="A172" s="695" t="str">
        <f t="shared" si="57"/>
        <v xml:space="preserve">Beaches and Jetties </v>
      </c>
      <c r="B172" s="620"/>
      <c r="C172" s="733"/>
      <c r="D172" s="733"/>
      <c r="E172" s="733"/>
      <c r="F172" s="733"/>
      <c r="G172" s="733"/>
      <c r="H172" s="733"/>
      <c r="I172" s="408">
        <f t="shared" si="62"/>
        <v>0</v>
      </c>
      <c r="J172" s="408" t="str">
        <f t="shared" si="63"/>
        <v/>
      </c>
      <c r="K172" s="735"/>
      <c r="L172" s="100"/>
    </row>
    <row r="173" spans="1:12" x14ac:dyDescent="0.25">
      <c r="A173" s="695" t="str">
        <f t="shared" si="57"/>
        <v>Casinos, Racing, Gambling, Wagering</v>
      </c>
      <c r="B173" s="620"/>
      <c r="C173" s="733"/>
      <c r="D173" s="733"/>
      <c r="E173" s="733"/>
      <c r="F173" s="733"/>
      <c r="G173" s="733"/>
      <c r="H173" s="733"/>
      <c r="I173" s="408">
        <f t="shared" si="62"/>
        <v>0</v>
      </c>
      <c r="J173" s="408" t="str">
        <f t="shared" si="63"/>
        <v/>
      </c>
      <c r="K173" s="735"/>
      <c r="L173" s="100"/>
    </row>
    <row r="174" spans="1:12" x14ac:dyDescent="0.25">
      <c r="A174" s="695" t="str">
        <f t="shared" si="57"/>
        <v>Community Parks (including Nurseries)</v>
      </c>
      <c r="B174" s="620"/>
      <c r="C174" s="733"/>
      <c r="D174" s="733">
        <v>48114791.713263765</v>
      </c>
      <c r="E174" s="733">
        <v>48294791.713263765</v>
      </c>
      <c r="F174" s="733">
        <v>4236473.9999999991</v>
      </c>
      <c r="G174" s="733">
        <v>41190804.119999982</v>
      </c>
      <c r="H174" s="733">
        <f t="shared" ref="H174:H175" si="64">E174/12*10</f>
        <v>40245659.761053137</v>
      </c>
      <c r="I174" s="408">
        <f t="shared" si="62"/>
        <v>945144.35894684494</v>
      </c>
      <c r="J174" s="408">
        <f t="shared" si="63"/>
        <v>2.3484379795445369E-2</v>
      </c>
      <c r="K174" s="735">
        <f t="shared" ref="K174:K175" si="65">E174</f>
        <v>48294791.713263765</v>
      </c>
      <c r="L174" s="100"/>
    </row>
    <row r="175" spans="1:12" x14ac:dyDescent="0.25">
      <c r="A175" s="695" t="str">
        <f t="shared" si="57"/>
        <v>Recreational Facilities</v>
      </c>
      <c r="B175" s="620"/>
      <c r="C175" s="733"/>
      <c r="D175" s="733">
        <v>66303680.975696295</v>
      </c>
      <c r="E175" s="733">
        <v>66253680.975696295</v>
      </c>
      <c r="F175" s="733">
        <v>6204773.2399999993</v>
      </c>
      <c r="G175" s="733">
        <v>60088364.079999998</v>
      </c>
      <c r="H175" s="733">
        <f t="shared" si="64"/>
        <v>55211400.813080251</v>
      </c>
      <c r="I175" s="408">
        <f t="shared" si="62"/>
        <v>4876963.266919747</v>
      </c>
      <c r="J175" s="408">
        <f t="shared" si="63"/>
        <v>8.8332539930128615E-2</v>
      </c>
      <c r="K175" s="735">
        <f t="shared" si="65"/>
        <v>66253680.975696295</v>
      </c>
      <c r="L175" s="100"/>
    </row>
    <row r="176" spans="1:12" x14ac:dyDescent="0.25">
      <c r="A176" s="695" t="str">
        <f t="shared" si="57"/>
        <v>Sports Grounds and Stadiums</v>
      </c>
      <c r="B176" s="620"/>
      <c r="C176" s="733"/>
      <c r="D176" s="733"/>
      <c r="E176" s="733">
        <v>0</v>
      </c>
      <c r="F176" s="733"/>
      <c r="G176" s="733"/>
      <c r="H176" s="733"/>
      <c r="I176" s="408">
        <f t="shared" si="62"/>
        <v>0</v>
      </c>
      <c r="J176" s="408" t="str">
        <f t="shared" si="63"/>
        <v/>
      </c>
      <c r="K176" s="735"/>
      <c r="L176" s="100"/>
    </row>
    <row r="177" spans="1:12" x14ac:dyDescent="0.25">
      <c r="A177" s="607" t="str">
        <f t="shared" si="57"/>
        <v>Public safety</v>
      </c>
      <c r="B177" s="620"/>
      <c r="C177" s="611">
        <f t="shared" ref="C177:K177" si="66">SUM(C178:C185)</f>
        <v>0</v>
      </c>
      <c r="D177" s="611">
        <f t="shared" si="66"/>
        <v>106871795.2822189</v>
      </c>
      <c r="E177" s="611">
        <f t="shared" si="66"/>
        <v>140511795.83917889</v>
      </c>
      <c r="F177" s="611">
        <f t="shared" si="66"/>
        <v>11823093.479999997</v>
      </c>
      <c r="G177" s="611">
        <f t="shared" si="66"/>
        <v>104271296.77999999</v>
      </c>
      <c r="H177" s="611">
        <f t="shared" si="66"/>
        <v>117093163.19931576</v>
      </c>
      <c r="I177" s="611">
        <f t="shared" si="38"/>
        <v>-12821866.41931577</v>
      </c>
      <c r="J177" s="611">
        <f t="shared" si="39"/>
        <v>-0.10950140955275428</v>
      </c>
      <c r="K177" s="614">
        <f t="shared" si="66"/>
        <v>140511795.83917889</v>
      </c>
      <c r="L177" s="100"/>
    </row>
    <row r="178" spans="1:12" x14ac:dyDescent="0.25">
      <c r="A178" s="695" t="str">
        <f t="shared" si="57"/>
        <v>Civil Defence</v>
      </c>
      <c r="B178" s="620"/>
      <c r="C178" s="733"/>
      <c r="D178" s="733">
        <v>12197113.976451974</v>
      </c>
      <c r="E178" s="733">
        <v>12197113.976451974</v>
      </c>
      <c r="F178" s="733">
        <v>3546057.49</v>
      </c>
      <c r="G178" s="733">
        <v>13993658.98</v>
      </c>
      <c r="H178" s="733">
        <f>E178/12*10</f>
        <v>10164261.647043312</v>
      </c>
      <c r="I178" s="408">
        <f t="shared" si="38"/>
        <v>3829397.3329566885</v>
      </c>
      <c r="J178" s="408">
        <f t="shared" si="39"/>
        <v>0.37675115674246973</v>
      </c>
      <c r="K178" s="735">
        <f t="shared" ref="K178" si="67">E178</f>
        <v>12197113.976451974</v>
      </c>
      <c r="L178" s="100"/>
    </row>
    <row r="179" spans="1:12" x14ac:dyDescent="0.25">
      <c r="A179" s="695" t="str">
        <f t="shared" si="57"/>
        <v>Cleansing</v>
      </c>
      <c r="B179" s="620"/>
      <c r="C179" s="733"/>
      <c r="D179" s="733"/>
      <c r="E179" s="733"/>
      <c r="F179" s="733"/>
      <c r="G179" s="733"/>
      <c r="H179" s="733"/>
      <c r="I179" s="408">
        <f t="shared" si="38"/>
        <v>0</v>
      </c>
      <c r="J179" s="408" t="str">
        <f t="shared" si="39"/>
        <v/>
      </c>
      <c r="K179" s="735"/>
      <c r="L179" s="100"/>
    </row>
    <row r="180" spans="1:12" x14ac:dyDescent="0.25">
      <c r="A180" s="695" t="str">
        <f t="shared" si="57"/>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7"/>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7"/>
        <v>Fire Fighting and Protection</v>
      </c>
      <c r="B182" s="620"/>
      <c r="C182" s="733"/>
      <c r="D182" s="733">
        <v>94674681.305766925</v>
      </c>
      <c r="E182" s="733">
        <v>128314681.86272693</v>
      </c>
      <c r="F182" s="733">
        <v>8277035.9899999974</v>
      </c>
      <c r="G182" s="733">
        <v>90277637.799999982</v>
      </c>
      <c r="H182" s="733">
        <f>E182/12*10</f>
        <v>106928901.55227244</v>
      </c>
      <c r="I182" s="408">
        <f t="shared" si="38"/>
        <v>-16651263.752272457</v>
      </c>
      <c r="J182" s="408">
        <f t="shared" si="39"/>
        <v>-0.15572276073679153</v>
      </c>
      <c r="K182" s="735">
        <f t="shared" ref="K182" si="68">E182</f>
        <v>128314681.86272693</v>
      </c>
      <c r="L182" s="100"/>
    </row>
    <row r="183" spans="1:12" x14ac:dyDescent="0.25">
      <c r="A183" s="695" t="str">
        <f t="shared" si="57"/>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7"/>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57"/>
        <v>Pounds</v>
      </c>
      <c r="B185" s="620"/>
      <c r="C185" s="733"/>
      <c r="D185" s="733"/>
      <c r="E185" s="733"/>
      <c r="F185" s="733"/>
      <c r="G185" s="733"/>
      <c r="H185" s="733"/>
      <c r="I185" s="408">
        <f t="shared" si="38"/>
        <v>0</v>
      </c>
      <c r="J185" s="408" t="str">
        <f t="shared" si="39"/>
        <v/>
      </c>
      <c r="K185" s="735"/>
      <c r="L185" s="100"/>
    </row>
    <row r="186" spans="1:12" x14ac:dyDescent="0.25">
      <c r="A186" s="607" t="str">
        <f t="shared" si="57"/>
        <v>Housing</v>
      </c>
      <c r="B186" s="620"/>
      <c r="C186" s="611">
        <f t="shared" ref="C186:H186" si="69">SUM(C187:C188)</f>
        <v>0</v>
      </c>
      <c r="D186" s="611">
        <f t="shared" si="69"/>
        <v>90129848.361797929</v>
      </c>
      <c r="E186" s="611">
        <f t="shared" si="69"/>
        <v>147109915.36179793</v>
      </c>
      <c r="F186" s="611">
        <f t="shared" si="69"/>
        <v>5641548.4699999997</v>
      </c>
      <c r="G186" s="611">
        <f t="shared" si="69"/>
        <v>55075153.469999984</v>
      </c>
      <c r="H186" s="611">
        <f t="shared" si="69"/>
        <v>122591596.13483161</v>
      </c>
      <c r="I186" s="611">
        <f>G186-H186</f>
        <v>-67516442.664831623</v>
      </c>
      <c r="J186" s="611">
        <f>IF(I186=0,"",I186/H186)</f>
        <v>-0.55074283061437657</v>
      </c>
      <c r="K186" s="611">
        <f>SUM(K187:K188)</f>
        <v>147109915.36179793</v>
      </c>
      <c r="L186" s="100"/>
    </row>
    <row r="187" spans="1:12" x14ac:dyDescent="0.25">
      <c r="A187" s="695" t="str">
        <f t="shared" si="57"/>
        <v>Housing</v>
      </c>
      <c r="B187" s="620"/>
      <c r="C187" s="733"/>
      <c r="D187" s="733">
        <v>90129848.361797929</v>
      </c>
      <c r="E187" s="733">
        <v>147109915.36179793</v>
      </c>
      <c r="F187" s="733">
        <v>5641548.4699999997</v>
      </c>
      <c r="G187" s="733">
        <v>55075153.469999984</v>
      </c>
      <c r="H187" s="733">
        <f>E187/12*10</f>
        <v>122591596.13483161</v>
      </c>
      <c r="I187" s="408">
        <f>G187-H187</f>
        <v>-67516442.664831623</v>
      </c>
      <c r="J187" s="408">
        <f>IF(I187=0,"",I187/H187)</f>
        <v>-0.55074283061437657</v>
      </c>
      <c r="K187" s="735">
        <f t="shared" ref="K187" si="70">E187</f>
        <v>147109915.36179793</v>
      </c>
      <c r="L187" s="100"/>
    </row>
    <row r="188" spans="1:12" x14ac:dyDescent="0.25">
      <c r="A188" s="695" t="str">
        <f t="shared" si="57"/>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7"/>
        <v>Health</v>
      </c>
      <c r="B189" s="620"/>
      <c r="C189" s="611">
        <f t="shared" ref="C189:K189" si="71">SUM(C190:C196)</f>
        <v>0</v>
      </c>
      <c r="D189" s="611">
        <f t="shared" si="71"/>
        <v>273885.02793777513</v>
      </c>
      <c r="E189" s="611">
        <f t="shared" si="71"/>
        <v>273885.02793777513</v>
      </c>
      <c r="F189" s="611">
        <f t="shared" si="71"/>
        <v>743448.27000000014</v>
      </c>
      <c r="G189" s="611">
        <f t="shared" si="71"/>
        <v>7926438.080000001</v>
      </c>
      <c r="H189" s="611">
        <f t="shared" si="71"/>
        <v>228237.52328147925</v>
      </c>
      <c r="I189" s="611">
        <f t="shared" si="38"/>
        <v>7698200.5567185218</v>
      </c>
      <c r="J189" s="611">
        <f t="shared" si="39"/>
        <v>33.728899814709855</v>
      </c>
      <c r="K189" s="614">
        <f t="shared" si="71"/>
        <v>273885.02793777513</v>
      </c>
      <c r="L189" s="100"/>
    </row>
    <row r="190" spans="1:12" x14ac:dyDescent="0.25">
      <c r="A190" s="695" t="str">
        <f t="shared" si="57"/>
        <v>Ambulance</v>
      </c>
      <c r="B190" s="620"/>
      <c r="C190" s="733"/>
      <c r="D190" s="733"/>
      <c r="E190" s="733"/>
      <c r="F190" s="733"/>
      <c r="G190" s="733"/>
      <c r="H190" s="733"/>
      <c r="I190" s="408">
        <f t="shared" si="38"/>
        <v>0</v>
      </c>
      <c r="J190" s="408" t="str">
        <f t="shared" si="39"/>
        <v/>
      </c>
      <c r="K190" s="735"/>
      <c r="L190" s="100"/>
    </row>
    <row r="191" spans="1:12" x14ac:dyDescent="0.25">
      <c r="A191" s="695" t="str">
        <f t="shared" si="57"/>
        <v>Health Services</v>
      </c>
      <c r="B191" s="620"/>
      <c r="C191" s="733"/>
      <c r="D191" s="733">
        <v>273885.02793777513</v>
      </c>
      <c r="E191" s="733">
        <v>273885.02793777513</v>
      </c>
      <c r="F191" s="733">
        <v>743448.27000000014</v>
      </c>
      <c r="G191" s="733">
        <v>7926438.080000001</v>
      </c>
      <c r="H191" s="733">
        <f>E191/12*10</f>
        <v>228237.52328147925</v>
      </c>
      <c r="I191" s="408">
        <f t="shared" si="38"/>
        <v>7698200.5567185218</v>
      </c>
      <c r="J191" s="408">
        <f t="shared" si="39"/>
        <v>33.728899814709855</v>
      </c>
      <c r="K191" s="735">
        <f t="shared" ref="K191" si="72">E191</f>
        <v>273885.02793777513</v>
      </c>
      <c r="L191" s="100"/>
    </row>
    <row r="192" spans="1:12" x14ac:dyDescent="0.25">
      <c r="A192" s="695" t="str">
        <f t="shared" ref="A192:A223" si="73">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73"/>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3"/>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3"/>
        <v>Vector Control</v>
      </c>
      <c r="B195" s="620"/>
      <c r="C195" s="733"/>
      <c r="D195" s="733"/>
      <c r="E195" s="733"/>
      <c r="F195" s="733"/>
      <c r="G195" s="733"/>
      <c r="H195" s="733"/>
      <c r="I195" s="408">
        <f t="shared" si="38"/>
        <v>0</v>
      </c>
      <c r="J195" s="408" t="str">
        <f t="shared" si="39"/>
        <v/>
      </c>
      <c r="K195" s="735"/>
      <c r="L195" s="100"/>
    </row>
    <row r="196" spans="1:12" x14ac:dyDescent="0.25">
      <c r="A196" s="695" t="str">
        <f t="shared" si="73"/>
        <v>Chemical Safety</v>
      </c>
      <c r="B196" s="620"/>
      <c r="C196" s="733"/>
      <c r="D196" s="733"/>
      <c r="E196" s="733"/>
      <c r="F196" s="733"/>
      <c r="G196" s="733"/>
      <c r="H196" s="733"/>
      <c r="I196" s="408">
        <f t="shared" si="38"/>
        <v>0</v>
      </c>
      <c r="J196" s="408" t="str">
        <f t="shared" si="39"/>
        <v/>
      </c>
      <c r="K196" s="735"/>
      <c r="L196" s="100"/>
    </row>
    <row r="197" spans="1:12" x14ac:dyDescent="0.25">
      <c r="A197" s="414" t="str">
        <f t="shared" si="73"/>
        <v>Economic and environmental services</v>
      </c>
      <c r="B197" s="620"/>
      <c r="C197" s="605">
        <f t="shared" ref="C197:H197" si="74">C198+C209+C214</f>
        <v>0</v>
      </c>
      <c r="D197" s="605">
        <f t="shared" si="74"/>
        <v>288173315.58344549</v>
      </c>
      <c r="E197" s="605">
        <f t="shared" si="74"/>
        <v>294605680.61754364</v>
      </c>
      <c r="F197" s="605">
        <f t="shared" si="74"/>
        <v>32910101.75</v>
      </c>
      <c r="G197" s="605">
        <f t="shared" si="74"/>
        <v>328107689.02000004</v>
      </c>
      <c r="H197" s="605">
        <f t="shared" si="74"/>
        <v>245504733.84795302</v>
      </c>
      <c r="I197" s="605">
        <f t="shared" si="38"/>
        <v>82602955.172047019</v>
      </c>
      <c r="J197" s="605">
        <f t="shared" si="39"/>
        <v>0.33646176135733907</v>
      </c>
      <c r="K197" s="606">
        <f>K198+K209+K214</f>
        <v>294605680.61754364</v>
      </c>
      <c r="L197" s="100"/>
    </row>
    <row r="198" spans="1:12" x14ac:dyDescent="0.25">
      <c r="A198" s="607" t="str">
        <f t="shared" si="73"/>
        <v>Planning and development</v>
      </c>
      <c r="B198" s="620"/>
      <c r="C198" s="611">
        <f t="shared" ref="C198:K198" si="75">SUM(C199:C208)</f>
        <v>0</v>
      </c>
      <c r="D198" s="611">
        <f t="shared" si="75"/>
        <v>92239503.875528902</v>
      </c>
      <c r="E198" s="611">
        <f t="shared" si="75"/>
        <v>94069123.875528887</v>
      </c>
      <c r="F198" s="611">
        <f t="shared" si="75"/>
        <v>5956475.0599999987</v>
      </c>
      <c r="G198" s="611">
        <f t="shared" si="75"/>
        <v>54757756.289999999</v>
      </c>
      <c r="H198" s="611">
        <f t="shared" si="75"/>
        <v>78390936.562940747</v>
      </c>
      <c r="I198" s="611">
        <f t="shared" si="38"/>
        <v>-23633180.272940747</v>
      </c>
      <c r="J198" s="611">
        <f t="shared" si="39"/>
        <v>-0.30147847836931335</v>
      </c>
      <c r="K198" s="614">
        <f t="shared" si="75"/>
        <v>94069123.875528887</v>
      </c>
      <c r="L198" s="100"/>
    </row>
    <row r="199" spans="1:12" x14ac:dyDescent="0.25">
      <c r="A199" s="695" t="str">
        <f t="shared" si="73"/>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73"/>
        <v>Corporate Wide Strategic Planning (IDPs, LEDs)</v>
      </c>
      <c r="B200" s="620"/>
      <c r="C200" s="733"/>
      <c r="D200" s="733">
        <v>12848610.792359998</v>
      </c>
      <c r="E200" s="733">
        <v>12930492.792359998</v>
      </c>
      <c r="F200" s="733">
        <v>773425.37999999989</v>
      </c>
      <c r="G200" s="733">
        <v>5499693.129999998</v>
      </c>
      <c r="H200" s="733">
        <f>E200/12*10</f>
        <v>10775410.660299998</v>
      </c>
      <c r="I200" s="408">
        <f t="shared" si="38"/>
        <v>-5275717.5302999998</v>
      </c>
      <c r="J200" s="408">
        <f t="shared" si="39"/>
        <v>-0.48960709680767922</v>
      </c>
      <c r="K200" s="735">
        <f t="shared" ref="K200" si="76">E200</f>
        <v>12930492.792359998</v>
      </c>
      <c r="L200" s="100"/>
    </row>
    <row r="201" spans="1:12" x14ac:dyDescent="0.25">
      <c r="A201" s="695" t="str">
        <f t="shared" si="73"/>
        <v>Central City Improvement District</v>
      </c>
      <c r="B201" s="620"/>
      <c r="C201" s="733"/>
      <c r="D201" s="733"/>
      <c r="E201" s="733">
        <v>0</v>
      </c>
      <c r="F201" s="733"/>
      <c r="G201" s="733"/>
      <c r="H201" s="733"/>
      <c r="I201" s="408">
        <f t="shared" si="38"/>
        <v>0</v>
      </c>
      <c r="J201" s="408" t="str">
        <f t="shared" si="39"/>
        <v/>
      </c>
      <c r="K201" s="735"/>
      <c r="L201" s="100"/>
    </row>
    <row r="202" spans="1:12" x14ac:dyDescent="0.25">
      <c r="A202" s="695" t="str">
        <f t="shared" si="73"/>
        <v>Development Facilitation</v>
      </c>
      <c r="B202" s="620"/>
      <c r="C202" s="733"/>
      <c r="D202" s="733"/>
      <c r="E202" s="733">
        <v>0</v>
      </c>
      <c r="F202" s="733"/>
      <c r="G202" s="733"/>
      <c r="H202" s="733"/>
      <c r="I202" s="408">
        <f>G202-H202</f>
        <v>0</v>
      </c>
      <c r="J202" s="408" t="str">
        <f>IF(I202=0,"",I202/H202)</f>
        <v/>
      </c>
      <c r="K202" s="735"/>
      <c r="L202" s="100"/>
    </row>
    <row r="203" spans="1:12" x14ac:dyDescent="0.25">
      <c r="A203" s="695" t="str">
        <f t="shared" si="73"/>
        <v>Economic Development/Planning</v>
      </c>
      <c r="B203" s="620"/>
      <c r="C203" s="733"/>
      <c r="D203" s="733">
        <v>12958288.606480801</v>
      </c>
      <c r="E203" s="733">
        <v>12958288.606480801</v>
      </c>
      <c r="F203" s="733">
        <v>734198.43</v>
      </c>
      <c r="G203" s="733">
        <v>6890565.9899999993</v>
      </c>
      <c r="H203" s="733">
        <f>E203/12*10</f>
        <v>10798573.838734001</v>
      </c>
      <c r="I203" s="408">
        <f>G203-H203</f>
        <v>-3908007.8487340016</v>
      </c>
      <c r="J203" s="408">
        <f>IF(I203=0,"",I203/H203)</f>
        <v>-0.36190036824271671</v>
      </c>
      <c r="K203" s="735">
        <f t="shared" ref="K203" si="77">E203</f>
        <v>12958288.606480801</v>
      </c>
      <c r="L203" s="100"/>
    </row>
    <row r="204" spans="1:12" x14ac:dyDescent="0.25">
      <c r="A204" s="695" t="str">
        <f t="shared" si="73"/>
        <v>Regional Planning and Development</v>
      </c>
      <c r="B204" s="620"/>
      <c r="C204" s="733"/>
      <c r="D204" s="733"/>
      <c r="E204" s="733">
        <v>0</v>
      </c>
      <c r="F204" s="733"/>
      <c r="G204" s="733"/>
      <c r="H204" s="733"/>
      <c r="I204" s="408">
        <f>G204-H204</f>
        <v>0</v>
      </c>
      <c r="J204" s="408" t="str">
        <f>IF(I204=0,"",I204/H204)</f>
        <v/>
      </c>
      <c r="K204" s="735"/>
      <c r="L204" s="100"/>
    </row>
    <row r="205" spans="1:12" ht="22.5" x14ac:dyDescent="0.25">
      <c r="A205" s="695" t="str">
        <f t="shared" si="73"/>
        <v>Town Planning, Building Regulations and Enforcement, and City Engineer</v>
      </c>
      <c r="B205" s="620"/>
      <c r="C205" s="733"/>
      <c r="D205" s="733">
        <v>66432604.476688094</v>
      </c>
      <c r="E205" s="733">
        <v>68180342.476688087</v>
      </c>
      <c r="F205" s="733">
        <v>4448851.2499999981</v>
      </c>
      <c r="G205" s="733">
        <v>42367497.170000002</v>
      </c>
      <c r="H205" s="733">
        <f>E205/12*10</f>
        <v>56816952.063906744</v>
      </c>
      <c r="I205" s="408">
        <f>G205-H205</f>
        <v>-14449454.893906742</v>
      </c>
      <c r="J205" s="408">
        <f>IF(I205=0,"",I205/H205)</f>
        <v>-0.25431591046373342</v>
      </c>
      <c r="K205" s="735">
        <f t="shared" ref="K205" si="78">E205</f>
        <v>68180342.476688087</v>
      </c>
      <c r="L205" s="100"/>
    </row>
    <row r="206" spans="1:12" x14ac:dyDescent="0.25">
      <c r="A206" s="695" t="str">
        <f t="shared" si="73"/>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3"/>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73"/>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73"/>
        <v>Road transport</v>
      </c>
      <c r="B209" s="620"/>
      <c r="C209" s="611">
        <f t="shared" ref="C209:H209" si="79">SUM(C210:C213)</f>
        <v>0</v>
      </c>
      <c r="D209" s="611">
        <f t="shared" si="79"/>
        <v>171068986.74871668</v>
      </c>
      <c r="E209" s="611">
        <f t="shared" si="79"/>
        <v>175671731.78281486</v>
      </c>
      <c r="F209" s="611">
        <f t="shared" si="79"/>
        <v>25337028.73</v>
      </c>
      <c r="G209" s="611">
        <f t="shared" si="79"/>
        <v>256298948.61000001</v>
      </c>
      <c r="H209" s="611">
        <f t="shared" si="79"/>
        <v>146393109.81901237</v>
      </c>
      <c r="I209" s="611">
        <f t="shared" si="38"/>
        <v>109905838.79098764</v>
      </c>
      <c r="J209" s="611">
        <f t="shared" si="39"/>
        <v>0.7507582763073043</v>
      </c>
      <c r="K209" s="614">
        <f>SUM(K210:K213)</f>
        <v>175671731.78281486</v>
      </c>
      <c r="L209" s="100"/>
    </row>
    <row r="210" spans="1:12" x14ac:dyDescent="0.25">
      <c r="A210" s="695" t="str">
        <f t="shared" si="73"/>
        <v>Public Transport</v>
      </c>
      <c r="B210" s="620"/>
      <c r="C210" s="733"/>
      <c r="D210" s="733">
        <v>6112737.5899952119</v>
      </c>
      <c r="E210" s="733">
        <v>12141552.624093361</v>
      </c>
      <c r="F210" s="733">
        <v>752830.56000000029</v>
      </c>
      <c r="G210" s="733">
        <v>6261864.7699999996</v>
      </c>
      <c r="H210" s="733">
        <f t="shared" ref="H210:H213" si="80">E210/12*10</f>
        <v>10117960.5200778</v>
      </c>
      <c r="I210" s="408">
        <f t="shared" si="38"/>
        <v>-3856095.7500778008</v>
      </c>
      <c r="J210" s="408">
        <f t="shared" si="39"/>
        <v>-0.38111393520718639</v>
      </c>
      <c r="K210" s="735">
        <f t="shared" ref="K210:K213" si="81">E210</f>
        <v>12141552.624093361</v>
      </c>
      <c r="L210" s="100"/>
    </row>
    <row r="211" spans="1:12" x14ac:dyDescent="0.25">
      <c r="A211" s="695" t="str">
        <f t="shared" si="73"/>
        <v>Road and Traffic Regulation</v>
      </c>
      <c r="B211" s="620"/>
      <c r="C211" s="733"/>
      <c r="D211" s="733">
        <v>75071897.514813796</v>
      </c>
      <c r="E211" s="733">
        <v>75071897.514813796</v>
      </c>
      <c r="F211" s="733">
        <v>5856592.2599999998</v>
      </c>
      <c r="G211" s="733">
        <v>59866874.879999995</v>
      </c>
      <c r="H211" s="733">
        <f t="shared" si="80"/>
        <v>62559914.595678158</v>
      </c>
      <c r="I211" s="408">
        <f>G211-H211</f>
        <v>-2693039.7156781629</v>
      </c>
      <c r="J211" s="408">
        <f>IF(I211=0,"",I211/H211)</f>
        <v>-4.3047368799704319E-2</v>
      </c>
      <c r="K211" s="735">
        <f t="shared" si="81"/>
        <v>75071897.514813796</v>
      </c>
      <c r="L211" s="100"/>
    </row>
    <row r="212" spans="1:12" x14ac:dyDescent="0.25">
      <c r="A212" s="695" t="str">
        <f t="shared" si="73"/>
        <v>Roads</v>
      </c>
      <c r="B212" s="620"/>
      <c r="C212" s="733"/>
      <c r="D212" s="733">
        <v>86766270.60115768</v>
      </c>
      <c r="E212" s="733">
        <v>84823952.60115768</v>
      </c>
      <c r="F212" s="733">
        <v>18515375.190000001</v>
      </c>
      <c r="G212" s="733">
        <v>188239797.34000003</v>
      </c>
      <c r="H212" s="733">
        <f t="shared" si="80"/>
        <v>70686627.167631403</v>
      </c>
      <c r="I212" s="408">
        <f t="shared" si="38"/>
        <v>117553170.17236863</v>
      </c>
      <c r="J212" s="408">
        <f t="shared" si="39"/>
        <v>1.663018521078881</v>
      </c>
      <c r="K212" s="735">
        <f t="shared" si="81"/>
        <v>84823952.60115768</v>
      </c>
      <c r="L212" s="100"/>
    </row>
    <row r="213" spans="1:12" x14ac:dyDescent="0.25">
      <c r="A213" s="695" t="str">
        <f t="shared" si="73"/>
        <v>Taxi Ranks</v>
      </c>
      <c r="B213" s="620"/>
      <c r="C213" s="733"/>
      <c r="D213" s="733">
        <v>3118081.04275</v>
      </c>
      <c r="E213" s="733">
        <v>3634329.04275</v>
      </c>
      <c r="F213" s="733">
        <v>212230.71999999997</v>
      </c>
      <c r="G213" s="733">
        <v>1930411.62</v>
      </c>
      <c r="H213" s="733">
        <f t="shared" si="80"/>
        <v>3028607.535625</v>
      </c>
      <c r="I213" s="408">
        <f t="shared" si="38"/>
        <v>-1098195.9156249999</v>
      </c>
      <c r="J213" s="408">
        <f t="shared" si="39"/>
        <v>-0.3626075358748555</v>
      </c>
      <c r="K213" s="735">
        <f t="shared" si="81"/>
        <v>3634329.04275</v>
      </c>
      <c r="L213" s="100"/>
    </row>
    <row r="214" spans="1:12" x14ac:dyDescent="0.25">
      <c r="A214" s="607" t="str">
        <f t="shared" si="73"/>
        <v>Environmental protection</v>
      </c>
      <c r="B214" s="620"/>
      <c r="C214" s="611">
        <f t="shared" ref="C214:K214" si="82">SUM(C215:C220)</f>
        <v>0</v>
      </c>
      <c r="D214" s="611">
        <f t="shared" si="82"/>
        <v>24864824.959199883</v>
      </c>
      <c r="E214" s="611">
        <f t="shared" si="82"/>
        <v>24864824.959199883</v>
      </c>
      <c r="F214" s="611">
        <f t="shared" si="82"/>
        <v>1616597.9600000002</v>
      </c>
      <c r="G214" s="611">
        <f t="shared" si="82"/>
        <v>17050984.120000001</v>
      </c>
      <c r="H214" s="611">
        <f t="shared" si="82"/>
        <v>20720687.465999901</v>
      </c>
      <c r="I214" s="611">
        <f t="shared" si="38"/>
        <v>-3669703.3459999003</v>
      </c>
      <c r="J214" s="611">
        <f t="shared" si="39"/>
        <v>-0.17710335875783234</v>
      </c>
      <c r="K214" s="614">
        <f t="shared" si="82"/>
        <v>24864824.959199883</v>
      </c>
      <c r="L214" s="100"/>
    </row>
    <row r="215" spans="1:12" x14ac:dyDescent="0.25">
      <c r="A215" s="695" t="str">
        <f t="shared" si="73"/>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73"/>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73"/>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73"/>
        <v>Nature Conservation</v>
      </c>
      <c r="B218" s="620"/>
      <c r="C218" s="733"/>
      <c r="D218" s="733">
        <v>7953351.9763347059</v>
      </c>
      <c r="E218" s="733">
        <v>7953351.9763347059</v>
      </c>
      <c r="F218" s="733">
        <v>349144.59000000008</v>
      </c>
      <c r="G218" s="733">
        <v>3572659.02</v>
      </c>
      <c r="H218" s="733">
        <f t="shared" ref="H218:H219" si="83">E218/12*10</f>
        <v>6627793.3136122543</v>
      </c>
      <c r="I218" s="408">
        <f>G218-H218</f>
        <v>-3055134.2936122543</v>
      </c>
      <c r="J218" s="408">
        <f>IF(I218=0,"",I218/H218)</f>
        <v>-0.4609579914535924</v>
      </c>
      <c r="K218" s="735">
        <f t="shared" ref="K218:K219" si="84">E218</f>
        <v>7953351.9763347059</v>
      </c>
      <c r="L218" s="100"/>
    </row>
    <row r="219" spans="1:12" x14ac:dyDescent="0.25">
      <c r="A219" s="695" t="str">
        <f t="shared" si="73"/>
        <v>Pollution Control</v>
      </c>
      <c r="B219" s="620"/>
      <c r="C219" s="733"/>
      <c r="D219" s="733">
        <v>16911472.982865177</v>
      </c>
      <c r="E219" s="733">
        <v>16911472.982865177</v>
      </c>
      <c r="F219" s="733">
        <v>1267453.3700000001</v>
      </c>
      <c r="G219" s="733">
        <v>13478325.100000001</v>
      </c>
      <c r="H219" s="733">
        <f t="shared" si="83"/>
        <v>14092894.152387649</v>
      </c>
      <c r="I219" s="408">
        <f>G219-H219</f>
        <v>-614569.05238764733</v>
      </c>
      <c r="J219" s="408">
        <f>IF(I219=0,"",I219/H219)</f>
        <v>-4.3608434558740063E-2</v>
      </c>
      <c r="K219" s="735">
        <f t="shared" si="84"/>
        <v>16911472.982865177</v>
      </c>
      <c r="L219" s="100"/>
    </row>
    <row r="220" spans="1:12" x14ac:dyDescent="0.25">
      <c r="A220" s="695" t="str">
        <f t="shared" si="73"/>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73"/>
        <v>Trading services</v>
      </c>
      <c r="B221" s="620"/>
      <c r="C221" s="605">
        <f>C222+C226+C230+C235</f>
        <v>0</v>
      </c>
      <c r="D221" s="605">
        <f t="shared" ref="D221:I221" si="85">D222+D226+D230+D235</f>
        <v>3353046546.6774907</v>
      </c>
      <c r="E221" s="605">
        <f t="shared" si="85"/>
        <v>3358591185.4474902</v>
      </c>
      <c r="F221" s="605">
        <f t="shared" si="85"/>
        <v>277987483.13999999</v>
      </c>
      <c r="G221" s="605">
        <f t="shared" si="85"/>
        <v>2847357905.1300001</v>
      </c>
      <c r="H221" s="605">
        <f t="shared" si="85"/>
        <v>2798825987.8729091</v>
      </c>
      <c r="I221" s="605">
        <f t="shared" si="85"/>
        <v>48531917.257091373</v>
      </c>
      <c r="J221" s="605">
        <f t="shared" si="39"/>
        <v>1.7340098122347127E-2</v>
      </c>
      <c r="K221" s="606">
        <f>K222+K226+K230+K235</f>
        <v>3358591185.4474902</v>
      </c>
      <c r="L221" s="100"/>
    </row>
    <row r="222" spans="1:12" x14ac:dyDescent="0.25">
      <c r="A222" s="607" t="str">
        <f t="shared" si="73"/>
        <v>Energy sources</v>
      </c>
      <c r="B222" s="620"/>
      <c r="C222" s="611">
        <f t="shared" ref="C222:K222" si="86">SUM(C223:C225)</f>
        <v>0</v>
      </c>
      <c r="D222" s="611">
        <f t="shared" si="86"/>
        <v>2291332272.7237678</v>
      </c>
      <c r="E222" s="611">
        <f t="shared" si="86"/>
        <v>2205525042.7237678</v>
      </c>
      <c r="F222" s="611">
        <f t="shared" si="86"/>
        <v>176196520.01999998</v>
      </c>
      <c r="G222" s="611">
        <f t="shared" si="86"/>
        <v>1798114379.8000004</v>
      </c>
      <c r="H222" s="611">
        <f t="shared" si="86"/>
        <v>1837937535.6031399</v>
      </c>
      <c r="I222" s="611">
        <f t="shared" si="38"/>
        <v>-39823155.803139448</v>
      </c>
      <c r="J222" s="611">
        <f t="shared" si="39"/>
        <v>-2.1667306440896553E-2</v>
      </c>
      <c r="K222" s="614">
        <f t="shared" si="86"/>
        <v>2205525042.7237678</v>
      </c>
      <c r="L222" s="100"/>
    </row>
    <row r="223" spans="1:12" x14ac:dyDescent="0.25">
      <c r="A223" s="695" t="str">
        <f t="shared" si="73"/>
        <v xml:space="preserve">Electricity </v>
      </c>
      <c r="B223" s="620"/>
      <c r="C223" s="733"/>
      <c r="D223" s="733">
        <v>2270836245.4232864</v>
      </c>
      <c r="E223" s="733">
        <v>2184302100.4232864</v>
      </c>
      <c r="F223" s="733">
        <v>174954192.86999997</v>
      </c>
      <c r="G223" s="733">
        <v>1776682125.4800005</v>
      </c>
      <c r="H223" s="733">
        <f t="shared" ref="H223:H224" si="87">E223/12*10</f>
        <v>1820251750.3527389</v>
      </c>
      <c r="I223" s="408">
        <f t="shared" si="38"/>
        <v>-43569624.872738361</v>
      </c>
      <c r="J223" s="408">
        <f t="shared" si="39"/>
        <v>-2.3936043387567236E-2</v>
      </c>
      <c r="K223" s="735">
        <f t="shared" ref="K223:K224" si="88">E223</f>
        <v>2184302100.4232864</v>
      </c>
      <c r="L223" s="100"/>
    </row>
    <row r="224" spans="1:12" x14ac:dyDescent="0.25">
      <c r="A224" s="695" t="str">
        <f t="shared" ref="A224:A246" si="89">A102</f>
        <v>Street Lighting and Signal Systems</v>
      </c>
      <c r="B224" s="620"/>
      <c r="C224" s="733"/>
      <c r="D224" s="733">
        <v>20496027.300481234</v>
      </c>
      <c r="E224" s="733">
        <v>21222942.300481234</v>
      </c>
      <c r="F224" s="733">
        <v>1242327.1500000001</v>
      </c>
      <c r="G224" s="733">
        <v>21432254.32</v>
      </c>
      <c r="H224" s="733">
        <f t="shared" si="87"/>
        <v>17685785.250401028</v>
      </c>
      <c r="I224" s="408">
        <f>G224-H224</f>
        <v>3746469.0695989728</v>
      </c>
      <c r="J224" s="408">
        <f>IF(I224=0,"",I224/H224)</f>
        <v>0.2118350424680194</v>
      </c>
      <c r="K224" s="735">
        <f t="shared" si="88"/>
        <v>21222942.300481234</v>
      </c>
      <c r="L224" s="100"/>
    </row>
    <row r="225" spans="1:12" x14ac:dyDescent="0.25">
      <c r="A225" s="695" t="str">
        <f t="shared" si="89"/>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89"/>
        <v>Water management</v>
      </c>
      <c r="B226" s="620"/>
      <c r="C226" s="611">
        <f t="shared" ref="C226:K226" si="90">SUM(C227:C229)</f>
        <v>0</v>
      </c>
      <c r="D226" s="611">
        <f t="shared" si="90"/>
        <v>0</v>
      </c>
      <c r="E226" s="611">
        <f t="shared" si="90"/>
        <v>31023406.77</v>
      </c>
      <c r="F226" s="611">
        <f t="shared" si="90"/>
        <v>73297641.689999983</v>
      </c>
      <c r="G226" s="611">
        <f t="shared" si="90"/>
        <v>750340424.49999976</v>
      </c>
      <c r="H226" s="611">
        <f t="shared" si="90"/>
        <v>25852838.975000001</v>
      </c>
      <c r="I226" s="611">
        <f t="shared" si="38"/>
        <v>724487585.52499974</v>
      </c>
      <c r="J226" s="611">
        <f t="shared" si="39"/>
        <v>28.023521371311976</v>
      </c>
      <c r="K226" s="614">
        <f t="shared" si="90"/>
        <v>31023406.77</v>
      </c>
      <c r="L226" s="100"/>
    </row>
    <row r="227" spans="1:12" x14ac:dyDescent="0.25">
      <c r="A227" s="695" t="str">
        <f t="shared" si="89"/>
        <v>Water Treatment</v>
      </c>
      <c r="B227" s="620"/>
      <c r="C227" s="733"/>
      <c r="D227" s="733"/>
      <c r="E227" s="733"/>
      <c r="F227" s="733"/>
      <c r="G227" s="733"/>
      <c r="H227" s="733"/>
      <c r="I227" s="408">
        <f t="shared" si="38"/>
        <v>0</v>
      </c>
      <c r="J227" s="408" t="str">
        <f t="shared" si="39"/>
        <v/>
      </c>
      <c r="K227" s="735"/>
      <c r="L227" s="100"/>
    </row>
    <row r="228" spans="1:12" x14ac:dyDescent="0.25">
      <c r="A228" s="695" t="str">
        <f t="shared" si="89"/>
        <v>Water Distribution</v>
      </c>
      <c r="B228" s="620"/>
      <c r="C228" s="733"/>
      <c r="D228" s="733"/>
      <c r="E228" s="733">
        <v>31023406.77</v>
      </c>
      <c r="F228" s="733">
        <v>73297641.689999983</v>
      </c>
      <c r="G228" s="733">
        <v>750340424.49999976</v>
      </c>
      <c r="H228" s="733">
        <f>E228/12*10</f>
        <v>25852838.975000001</v>
      </c>
      <c r="I228" s="408">
        <f>G228-H228</f>
        <v>724487585.52499974</v>
      </c>
      <c r="J228" s="408">
        <f>IF(I228=0,"",I228/H228)</f>
        <v>28.023521371311976</v>
      </c>
      <c r="K228" s="735">
        <f t="shared" ref="K228" si="91">E228</f>
        <v>31023406.77</v>
      </c>
      <c r="L228" s="100"/>
    </row>
    <row r="229" spans="1:12" x14ac:dyDescent="0.25">
      <c r="A229" s="695" t="str">
        <f t="shared" si="89"/>
        <v>Water Storage</v>
      </c>
      <c r="B229" s="620"/>
      <c r="C229" s="733"/>
      <c r="D229" s="733"/>
      <c r="E229" s="733"/>
      <c r="F229" s="733"/>
      <c r="G229" s="733"/>
      <c r="H229" s="733"/>
      <c r="I229" s="408">
        <f t="shared" si="38"/>
        <v>0</v>
      </c>
      <c r="J229" s="408" t="str">
        <f t="shared" si="39"/>
        <v/>
      </c>
      <c r="K229" s="735"/>
      <c r="L229" s="100"/>
    </row>
    <row r="230" spans="1:12" x14ac:dyDescent="0.25">
      <c r="A230" s="607" t="str">
        <f t="shared" si="89"/>
        <v>Waste water management</v>
      </c>
      <c r="B230" s="620"/>
      <c r="C230" s="611">
        <f t="shared" ref="C230:K230" si="92">SUM(C231:C234)</f>
        <v>0</v>
      </c>
      <c r="D230" s="611">
        <f t="shared" si="92"/>
        <v>931929869.0260967</v>
      </c>
      <c r="E230" s="611">
        <f t="shared" si="92"/>
        <v>995608331.02609658</v>
      </c>
      <c r="F230" s="611">
        <f t="shared" si="92"/>
        <v>18987240.730000008</v>
      </c>
      <c r="G230" s="611">
        <f t="shared" si="92"/>
        <v>201944501.97999996</v>
      </c>
      <c r="H230" s="611">
        <f t="shared" si="92"/>
        <v>829673609.18841386</v>
      </c>
      <c r="I230" s="611">
        <f t="shared" si="38"/>
        <v>-627729107.20841384</v>
      </c>
      <c r="J230" s="611">
        <f t="shared" si="39"/>
        <v>-0.75659765509771726</v>
      </c>
      <c r="K230" s="614">
        <f t="shared" si="92"/>
        <v>995608331.02609658</v>
      </c>
      <c r="L230" s="100"/>
    </row>
    <row r="231" spans="1:12" x14ac:dyDescent="0.25">
      <c r="A231" s="695" t="str">
        <f t="shared" si="89"/>
        <v>Public Toilets</v>
      </c>
      <c r="B231" s="620"/>
      <c r="C231" s="733"/>
      <c r="D231" s="733">
        <v>1325140.728374806</v>
      </c>
      <c r="E231" s="733">
        <v>1175140.728374806</v>
      </c>
      <c r="F231" s="733">
        <v>169099.91</v>
      </c>
      <c r="G231" s="733">
        <v>2512815.9500000002</v>
      </c>
      <c r="H231" s="733">
        <f t="shared" ref="H231:H234" si="93">E231/12*10</f>
        <v>979283.94031233841</v>
      </c>
      <c r="I231" s="408">
        <f t="shared" si="38"/>
        <v>1533532.0096876617</v>
      </c>
      <c r="J231" s="408">
        <f t="shared" si="39"/>
        <v>1.565972795590366</v>
      </c>
      <c r="K231" s="735">
        <f t="shared" ref="K231:K234" si="94">E231</f>
        <v>1175140.728374806</v>
      </c>
      <c r="L231" s="100"/>
    </row>
    <row r="232" spans="1:12" x14ac:dyDescent="0.25">
      <c r="A232" s="695" t="str">
        <f t="shared" si="89"/>
        <v>Sewerage</v>
      </c>
      <c r="B232" s="620"/>
      <c r="C232" s="733"/>
      <c r="D232" s="733">
        <v>225241153.38453153</v>
      </c>
      <c r="E232" s="733">
        <v>289082095.3845315</v>
      </c>
      <c r="F232" s="733">
        <v>16800613.220000006</v>
      </c>
      <c r="G232" s="733">
        <v>177250795.69999999</v>
      </c>
      <c r="H232" s="733">
        <f t="shared" si="93"/>
        <v>240901746.15377623</v>
      </c>
      <c r="I232" s="408">
        <f t="shared" si="38"/>
        <v>-63650950.45377624</v>
      </c>
      <c r="J232" s="408">
        <f t="shared" si="39"/>
        <v>-0.2642195478863219</v>
      </c>
      <c r="K232" s="735">
        <f t="shared" si="94"/>
        <v>289082095.3845315</v>
      </c>
      <c r="L232" s="100"/>
    </row>
    <row r="233" spans="1:12" x14ac:dyDescent="0.25">
      <c r="A233" s="695" t="str">
        <f t="shared" si="89"/>
        <v>Storm Water Management</v>
      </c>
      <c r="B233" s="620"/>
      <c r="C233" s="733"/>
      <c r="D233" s="733">
        <v>560143.7006000001</v>
      </c>
      <c r="E233" s="733">
        <v>547663.7006000001</v>
      </c>
      <c r="F233" s="733">
        <v>2017527.5999999999</v>
      </c>
      <c r="G233" s="733">
        <v>22180890.329999998</v>
      </c>
      <c r="H233" s="733">
        <f t="shared" si="93"/>
        <v>456386.41716666671</v>
      </c>
      <c r="I233" s="408">
        <f>G233-H233</f>
        <v>21724503.912833333</v>
      </c>
      <c r="J233" s="408">
        <f>IF(I233=0,"",I233/H233)</f>
        <v>47.601118472594273</v>
      </c>
      <c r="K233" s="735">
        <f t="shared" si="94"/>
        <v>547663.7006000001</v>
      </c>
      <c r="L233" s="100"/>
    </row>
    <row r="234" spans="1:12" x14ac:dyDescent="0.25">
      <c r="A234" s="695" t="str">
        <f t="shared" si="89"/>
        <v>Waste Water Treatment</v>
      </c>
      <c r="B234" s="620"/>
      <c r="C234" s="733"/>
      <c r="D234" s="733">
        <v>704803431.21259034</v>
      </c>
      <c r="E234" s="733">
        <v>704803431.21259034</v>
      </c>
      <c r="F234" s="733"/>
      <c r="G234" s="733"/>
      <c r="H234" s="733">
        <f t="shared" si="93"/>
        <v>587336192.67715859</v>
      </c>
      <c r="I234" s="408">
        <f t="shared" si="38"/>
        <v>-587336192.67715859</v>
      </c>
      <c r="J234" s="408">
        <f t="shared" si="39"/>
        <v>-1</v>
      </c>
      <c r="K234" s="735">
        <f t="shared" si="94"/>
        <v>704803431.21259034</v>
      </c>
      <c r="L234" s="100"/>
    </row>
    <row r="235" spans="1:12" x14ac:dyDescent="0.25">
      <c r="A235" s="607" t="str">
        <f t="shared" si="89"/>
        <v>Waste management</v>
      </c>
      <c r="B235" s="620"/>
      <c r="C235" s="611">
        <f t="shared" ref="C235:H235" si="95">SUM(C236:C239)</f>
        <v>0</v>
      </c>
      <c r="D235" s="611">
        <f t="shared" si="95"/>
        <v>129784404.92762612</v>
      </c>
      <c r="E235" s="611">
        <f t="shared" si="95"/>
        <v>126434404.92762612</v>
      </c>
      <c r="F235" s="611">
        <f t="shared" si="95"/>
        <v>9506080.6999999974</v>
      </c>
      <c r="G235" s="611">
        <f t="shared" si="95"/>
        <v>96958598.850000024</v>
      </c>
      <c r="H235" s="611">
        <f t="shared" si="95"/>
        <v>105362004.1063551</v>
      </c>
      <c r="I235" s="611">
        <f t="shared" si="38"/>
        <v>-8403405.256355077</v>
      </c>
      <c r="J235" s="611">
        <f t="shared" si="39"/>
        <v>-7.9757454574160003E-2</v>
      </c>
      <c r="K235" s="611">
        <f>SUM(K236:K239)</f>
        <v>126434404.92762612</v>
      </c>
      <c r="L235" s="100"/>
    </row>
    <row r="236" spans="1:12" x14ac:dyDescent="0.25">
      <c r="A236" s="695" t="str">
        <f t="shared" si="89"/>
        <v>Recycling</v>
      </c>
      <c r="B236" s="620"/>
      <c r="C236" s="733"/>
      <c r="D236" s="733"/>
      <c r="E236" s="733"/>
      <c r="F236" s="733"/>
      <c r="G236" s="733"/>
      <c r="H236" s="733"/>
      <c r="I236" s="408">
        <f>G236-H236</f>
        <v>0</v>
      </c>
      <c r="J236" s="408" t="str">
        <f>IF(I236=0,"",I236/H236)</f>
        <v/>
      </c>
      <c r="K236" s="735"/>
      <c r="L236" s="100"/>
    </row>
    <row r="237" spans="1:12" x14ac:dyDescent="0.25">
      <c r="A237" s="695" t="str">
        <f t="shared" si="89"/>
        <v>Solid Waste Disposal (Landfill Sites)</v>
      </c>
      <c r="B237" s="620"/>
      <c r="C237" s="733"/>
      <c r="D237" s="733">
        <v>13353688.704158884</v>
      </c>
      <c r="E237" s="733">
        <v>11797688.704158884</v>
      </c>
      <c r="F237" s="733">
        <v>355102.07000000007</v>
      </c>
      <c r="G237" s="733">
        <v>3985268.75</v>
      </c>
      <c r="H237" s="733">
        <f t="shared" ref="H237:H238" si="96">E237/12*10</f>
        <v>9831407.2534657363</v>
      </c>
      <c r="I237" s="408">
        <f>G237-H237</f>
        <v>-5846138.5034657363</v>
      </c>
      <c r="J237" s="408">
        <f>IF(I237=0,"",I237/H237)</f>
        <v>-0.59463903312568744</v>
      </c>
      <c r="K237" s="735">
        <f>E237</f>
        <v>11797688.704158884</v>
      </c>
      <c r="L237" s="100"/>
    </row>
    <row r="238" spans="1:12" x14ac:dyDescent="0.25">
      <c r="A238" s="695" t="str">
        <f t="shared" si="89"/>
        <v>Solid Waste Removal</v>
      </c>
      <c r="B238" s="620"/>
      <c r="C238" s="733"/>
      <c r="D238" s="733">
        <v>116430716.22346723</v>
      </c>
      <c r="E238" s="733">
        <v>114636716.22346723</v>
      </c>
      <c r="F238" s="733">
        <v>9150978.6299999971</v>
      </c>
      <c r="G238" s="733">
        <v>92973330.100000024</v>
      </c>
      <c r="H238" s="733">
        <f t="shared" si="96"/>
        <v>95530596.852889359</v>
      </c>
      <c r="I238" s="408">
        <f>G238-H238</f>
        <v>-2557266.7528893352</v>
      </c>
      <c r="J238" s="408">
        <f>IF(I238=0,"",I238/H238)</f>
        <v>-2.6769085896399796E-2</v>
      </c>
      <c r="K238" s="735">
        <f>E238</f>
        <v>114636716.22346723</v>
      </c>
      <c r="L238" s="100"/>
    </row>
    <row r="239" spans="1:12" x14ac:dyDescent="0.25">
      <c r="A239" s="695" t="str">
        <f t="shared" si="89"/>
        <v>Street Cleaning</v>
      </c>
      <c r="B239" s="415"/>
      <c r="C239" s="733"/>
      <c r="D239" s="733"/>
      <c r="E239" s="733"/>
      <c r="F239" s="733"/>
      <c r="G239" s="733"/>
      <c r="H239" s="733"/>
      <c r="I239" s="408">
        <f t="shared" si="38"/>
        <v>0</v>
      </c>
      <c r="J239" s="408" t="str">
        <f t="shared" si="39"/>
        <v/>
      </c>
      <c r="K239" s="735"/>
      <c r="L239" s="100"/>
    </row>
    <row r="240" spans="1:12" x14ac:dyDescent="0.25">
      <c r="A240" s="414" t="str">
        <f t="shared" si="89"/>
        <v>Other</v>
      </c>
      <c r="B240" s="415"/>
      <c r="C240" s="611">
        <f t="shared" ref="C240:K240" si="97">SUM(C241:C246)</f>
        <v>0</v>
      </c>
      <c r="D240" s="611">
        <f t="shared" si="97"/>
        <v>81300979.882271051</v>
      </c>
      <c r="E240" s="611">
        <f t="shared" si="97"/>
        <v>81300979.882271051</v>
      </c>
      <c r="F240" s="611">
        <f t="shared" si="97"/>
        <v>5391389.2999999998</v>
      </c>
      <c r="G240" s="611">
        <f t="shared" si="97"/>
        <v>54734423.480000004</v>
      </c>
      <c r="H240" s="611">
        <f t="shared" si="97"/>
        <v>67750816.568559214</v>
      </c>
      <c r="I240" s="611">
        <f t="shared" si="38"/>
        <v>-13016393.08855921</v>
      </c>
      <c r="J240" s="611">
        <f t="shared" si="39"/>
        <v>-0.19212156764763871</v>
      </c>
      <c r="K240" s="614">
        <f t="shared" si="97"/>
        <v>81300979.882271051</v>
      </c>
      <c r="L240" s="100"/>
    </row>
    <row r="241" spans="1:12" x14ac:dyDescent="0.25">
      <c r="A241" s="607" t="str">
        <f t="shared" si="89"/>
        <v>Abattoirs</v>
      </c>
      <c r="B241" s="415"/>
      <c r="C241" s="733"/>
      <c r="D241" s="733"/>
      <c r="E241" s="733"/>
      <c r="F241" s="733"/>
      <c r="G241" s="733"/>
      <c r="H241" s="733"/>
      <c r="I241" s="408">
        <f t="shared" si="38"/>
        <v>0</v>
      </c>
      <c r="J241" s="408" t="str">
        <f t="shared" si="39"/>
        <v/>
      </c>
      <c r="K241" s="735"/>
      <c r="L241" s="100"/>
    </row>
    <row r="242" spans="1:12" x14ac:dyDescent="0.25">
      <c r="A242" s="607" t="str">
        <f t="shared" si="89"/>
        <v>Air Transport</v>
      </c>
      <c r="B242" s="415"/>
      <c r="C242" s="733"/>
      <c r="D242" s="733">
        <v>30392698.58867228</v>
      </c>
      <c r="E242" s="733">
        <v>30392698.58867228</v>
      </c>
      <c r="F242" s="733">
        <v>2573229.4</v>
      </c>
      <c r="G242" s="733">
        <v>18923926.300000004</v>
      </c>
      <c r="H242" s="733">
        <f t="shared" ref="H242:H246" si="98">E242/12*10</f>
        <v>25327248.823893569</v>
      </c>
      <c r="I242" s="408">
        <f t="shared" si="38"/>
        <v>-6403322.5238935649</v>
      </c>
      <c r="J242" s="408">
        <f t="shared" si="39"/>
        <v>-0.25282345383888322</v>
      </c>
      <c r="K242" s="735">
        <f t="shared" ref="K242:K246" si="99">E242</f>
        <v>30392698.58867228</v>
      </c>
      <c r="L242" s="100"/>
    </row>
    <row r="243" spans="1:12" x14ac:dyDescent="0.25">
      <c r="A243" s="607" t="str">
        <f t="shared" si="89"/>
        <v xml:space="preserve">Forestry </v>
      </c>
      <c r="B243" s="415"/>
      <c r="C243" s="733"/>
      <c r="D243" s="733">
        <v>5026381.4873491293</v>
      </c>
      <c r="E243" s="733">
        <v>5026381.4873491293</v>
      </c>
      <c r="F243" s="733">
        <v>219679.37999999998</v>
      </c>
      <c r="G243" s="733">
        <v>7355821.5199999996</v>
      </c>
      <c r="H243" s="733">
        <f t="shared" si="98"/>
        <v>4188651.2394576077</v>
      </c>
      <c r="I243" s="408">
        <f>G243-H243</f>
        <v>3167170.2805423918</v>
      </c>
      <c r="J243" s="408">
        <f>IF(I243=0,"",I243/H243)</f>
        <v>0.75613129369837717</v>
      </c>
      <c r="K243" s="735">
        <f t="shared" si="99"/>
        <v>5026381.4873491293</v>
      </c>
      <c r="L243" s="100"/>
    </row>
    <row r="244" spans="1:12" x14ac:dyDescent="0.25">
      <c r="A244" s="607" t="str">
        <f t="shared" si="89"/>
        <v>Licensing and Regulation</v>
      </c>
      <c r="B244" s="415"/>
      <c r="C244" s="733"/>
      <c r="D244" s="733">
        <v>10803274.511466645</v>
      </c>
      <c r="E244" s="733">
        <v>10803274.511466645</v>
      </c>
      <c r="F244" s="733">
        <v>343508.81999999995</v>
      </c>
      <c r="G244" s="733">
        <v>3606261.7200000007</v>
      </c>
      <c r="H244" s="733">
        <f t="shared" si="98"/>
        <v>9002728.7595555373</v>
      </c>
      <c r="I244" s="408">
        <f t="shared" si="38"/>
        <v>-5396467.0395555366</v>
      </c>
      <c r="J244" s="408">
        <f t="shared" si="39"/>
        <v>-0.5994257056592649</v>
      </c>
      <c r="K244" s="735">
        <f t="shared" si="99"/>
        <v>10803274.511466645</v>
      </c>
      <c r="L244" s="100"/>
    </row>
    <row r="245" spans="1:12" x14ac:dyDescent="0.25">
      <c r="A245" s="607" t="str">
        <f t="shared" si="89"/>
        <v>Markets</v>
      </c>
      <c r="B245" s="415"/>
      <c r="C245" s="733"/>
      <c r="D245" s="733">
        <v>32893514.314352129</v>
      </c>
      <c r="E245" s="733">
        <v>32893514.314352129</v>
      </c>
      <c r="F245" s="733">
        <v>2183954.42</v>
      </c>
      <c r="G245" s="733">
        <v>23213800.239999998</v>
      </c>
      <c r="H245" s="733">
        <f t="shared" si="98"/>
        <v>27411261.928626776</v>
      </c>
      <c r="I245" s="408">
        <f>G245-H245</f>
        <v>-4197461.6886267774</v>
      </c>
      <c r="J245" s="408">
        <f>IF(I245=0,"",I245/H245)</f>
        <v>-0.15312909341992698</v>
      </c>
      <c r="K245" s="735">
        <f t="shared" si="99"/>
        <v>32893514.314352129</v>
      </c>
      <c r="L245" s="100"/>
    </row>
    <row r="246" spans="1:12" x14ac:dyDescent="0.25">
      <c r="A246" s="607" t="str">
        <f t="shared" si="89"/>
        <v>Tourism</v>
      </c>
      <c r="B246" s="415"/>
      <c r="C246" s="733"/>
      <c r="D246" s="733">
        <v>2185110.9804308736</v>
      </c>
      <c r="E246" s="733">
        <v>2185110.9804308736</v>
      </c>
      <c r="F246" s="733">
        <v>71017.279999999999</v>
      </c>
      <c r="G246" s="733">
        <v>1634613.7</v>
      </c>
      <c r="H246" s="733">
        <f t="shared" si="98"/>
        <v>1820925.8170257278</v>
      </c>
      <c r="I246" s="408">
        <f>G246-H246</f>
        <v>-186312.11702572787</v>
      </c>
      <c r="J246" s="408">
        <f>IF(I246=0,"",I246/H246)</f>
        <v>-0.1023172472396746</v>
      </c>
      <c r="K246" s="735">
        <f t="shared" si="99"/>
        <v>2185110.9804308736</v>
      </c>
      <c r="L246" s="100"/>
    </row>
    <row r="247" spans="1:12" x14ac:dyDescent="0.25">
      <c r="A247" s="615" t="str">
        <f>"Total "&amp;A127</f>
        <v>Total Expenditure - Functional</v>
      </c>
      <c r="B247" s="415">
        <v>3</v>
      </c>
      <c r="C247" s="545">
        <f t="shared" ref="C247:I247" si="100">C128+C148+C197+C221+C240</f>
        <v>0</v>
      </c>
      <c r="D247" s="545">
        <f t="shared" si="100"/>
        <v>5516853313.5446301</v>
      </c>
      <c r="E247" s="545">
        <f t="shared" si="100"/>
        <v>5673151026.697073</v>
      </c>
      <c r="F247" s="545">
        <f t="shared" si="100"/>
        <v>452606322.27999997</v>
      </c>
      <c r="G247" s="545">
        <f t="shared" si="100"/>
        <v>4436570928.8899994</v>
      </c>
      <c r="H247" s="545">
        <f t="shared" si="100"/>
        <v>4727625855.5808954</v>
      </c>
      <c r="I247" s="545">
        <f t="shared" si="100"/>
        <v>-291054926.6908949</v>
      </c>
      <c r="J247" s="545">
        <f>IF(I247=0,"",I247/H247)</f>
        <v>-6.156471251787167E-2</v>
      </c>
      <c r="K247" s="597">
        <f>K128+K148+K197+K221+K240</f>
        <v>5673151026.697073</v>
      </c>
      <c r="L247" s="100"/>
    </row>
    <row r="248" spans="1:12" x14ac:dyDescent="0.25">
      <c r="A248" s="621" t="str">
        <f>result</f>
        <v>Surplus/ (Deficit) for the year</v>
      </c>
      <c r="B248" s="622"/>
      <c r="C248" s="76">
        <f t="shared" ref="C248:H248" si="101">C125-C247</f>
        <v>0</v>
      </c>
      <c r="D248" s="76">
        <f t="shared" si="101"/>
        <v>927224369.32743168</v>
      </c>
      <c r="E248" s="76">
        <f t="shared" si="101"/>
        <v>914456605.17499161</v>
      </c>
      <c r="F248" s="76">
        <f t="shared" si="101"/>
        <v>36604945.670000017</v>
      </c>
      <c r="G248" s="76">
        <f t="shared" si="101"/>
        <v>722365228.17000008</v>
      </c>
      <c r="H248" s="76">
        <f t="shared" si="101"/>
        <v>762047170.9791584</v>
      </c>
      <c r="I248" s="634">
        <f>G248-H248</f>
        <v>-39681942.809158325</v>
      </c>
      <c r="J248" s="634">
        <f>IF(I248=0,"",I248/H248)</f>
        <v>-5.2072816907345498E-2</v>
      </c>
      <c r="K248" s="234">
        <f>K125-K247</f>
        <v>914456605.17499161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8" t="s">
        <v>1207</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-1296407.999997139</v>
      </c>
      <c r="F256" s="628">
        <f>F125-'C4-FinPerf RE'!F53</f>
        <v>0</v>
      </c>
      <c r="G256" s="628">
        <f>G125-'C4-FinPerf RE'!G53</f>
        <v>0</v>
      </c>
      <c r="H256" s="628">
        <f>H125-'C4-FinPerf RE'!H53</f>
        <v>-1080339.999997139</v>
      </c>
      <c r="I256" s="628">
        <f>I125-'C4-FinPerf RE'!I53</f>
        <v>-330736869.50005436</v>
      </c>
      <c r="J256" s="629"/>
      <c r="K256" s="628">
        <f>K125-'C4-FinPerf RE'!K53</f>
        <v>-1296407.999997139</v>
      </c>
    </row>
    <row r="257" spans="1:11" x14ac:dyDescent="0.25">
      <c r="A257" s="81" t="s">
        <v>179</v>
      </c>
      <c r="B257" s="64"/>
      <c r="C257" s="628">
        <f>C247-'C4-FinPerf RE'!C36</f>
        <v>0</v>
      </c>
      <c r="D257" s="628">
        <f>D247-'C4-FinPerf RE'!D36</f>
        <v>375844.00000190735</v>
      </c>
      <c r="E257" s="628">
        <f>E247-'C4-FinPerf RE'!E36</f>
        <v>-0.72423839569091797</v>
      </c>
      <c r="F257" s="628">
        <f>F247-'C4-FinPerf RE'!F36</f>
        <v>0</v>
      </c>
      <c r="G257" s="628">
        <f>G247-'C4-FinPerf RE'!G36</f>
        <v>0</v>
      </c>
      <c r="H257" s="628">
        <f>H247-'C4-FinPerf RE'!H36</f>
        <v>-0.60352897644042969</v>
      </c>
      <c r="I257" s="628">
        <f>I247-'C4-FinPerf RE'!I36</f>
        <v>0.6035272479057312</v>
      </c>
      <c r="J257" s="629"/>
      <c r="K257" s="628">
        <f>K247-'C4-FinPerf RE'!K36</f>
        <v>-0.72423839569091797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2021-05-10T09:39:28Z</dcterms:modified>
</cp:coreProperties>
</file>