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bonisom\Documents\C schedule S71\Feb2021\"/>
    </mc:Choice>
  </mc:AlternateContent>
  <workbookProtection workbookPassword="FB84" lockStructure="1"/>
  <bookViews>
    <workbookView xWindow="0" yWindow="0" windowWidth="28800" windowHeight="12300" tabRatio="792" firstSheet="7" activeTab="1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K173" i="324" l="1"/>
  <c r="H173" i="324"/>
  <c r="K96" i="242"/>
  <c r="H96" i="242"/>
  <c r="K158" i="326"/>
  <c r="H158" i="326"/>
  <c r="K144" i="326"/>
  <c r="H144" i="326"/>
  <c r="K132" i="326"/>
  <c r="H132" i="326"/>
  <c r="K108" i="326"/>
  <c r="H108" i="326"/>
  <c r="K77" i="326"/>
  <c r="H77" i="326"/>
  <c r="K41" i="326"/>
  <c r="K40" i="326"/>
  <c r="H41" i="326"/>
  <c r="H40" i="326"/>
  <c r="K30" i="326"/>
  <c r="H30" i="326"/>
  <c r="K18" i="326"/>
  <c r="H18" i="326"/>
  <c r="H144" i="335"/>
  <c r="K144" i="335"/>
  <c r="K132" i="335"/>
  <c r="H132" i="335"/>
  <c r="K101" i="335"/>
  <c r="H101" i="335"/>
  <c r="K56" i="270" l="1"/>
  <c r="K55" i="270"/>
  <c r="K54" i="270"/>
  <c r="K53" i="270"/>
  <c r="K52" i="270"/>
  <c r="K51" i="270"/>
  <c r="K50" i="270"/>
  <c r="K48" i="270"/>
  <c r="K47" i="270"/>
  <c r="H56" i="270"/>
  <c r="H55" i="270"/>
  <c r="H54" i="270"/>
  <c r="H53" i="270"/>
  <c r="H52" i="270"/>
  <c r="H51" i="270"/>
  <c r="H50" i="270"/>
  <c r="H48" i="270"/>
  <c r="H47" i="270"/>
  <c r="K38" i="270"/>
  <c r="H208" i="324" l="1"/>
  <c r="K208" i="324"/>
  <c r="H184" i="324"/>
  <c r="K184" i="324"/>
  <c r="K152" i="324"/>
  <c r="K151" i="324"/>
  <c r="H152" i="324"/>
  <c r="H151" i="324"/>
  <c r="K39" i="324"/>
  <c r="H39" i="324"/>
  <c r="H30" i="324"/>
  <c r="K30" i="324"/>
  <c r="K25" i="324"/>
  <c r="H25" i="324"/>
  <c r="K35" i="182"/>
  <c r="H35" i="182"/>
  <c r="K233" i="323"/>
  <c r="K232" i="323"/>
  <c r="H233" i="323"/>
  <c r="H232" i="323"/>
  <c r="K200" i="323"/>
  <c r="K199" i="323"/>
  <c r="H200" i="323"/>
  <c r="H199" i="323"/>
  <c r="K62" i="323"/>
  <c r="H62" i="323"/>
  <c r="K228" i="330"/>
  <c r="H228" i="330"/>
  <c r="K81" i="330"/>
  <c r="H81" i="330"/>
  <c r="F15" i="177" l="1"/>
  <c r="F177" i="330" l="1"/>
  <c r="G177" i="330"/>
  <c r="H158" i="335" l="1"/>
  <c r="H152" i="335"/>
  <c r="H149" i="335"/>
  <c r="H108" i="335"/>
  <c r="H77" i="335"/>
  <c r="H46" i="335"/>
  <c r="H30" i="335"/>
  <c r="H18" i="335"/>
  <c r="H9" i="335"/>
  <c r="H158" i="333"/>
  <c r="H155" i="333"/>
  <c r="H152" i="333"/>
  <c r="H149" i="333"/>
  <c r="H145" i="333"/>
  <c r="H144" i="333"/>
  <c r="H129" i="333"/>
  <c r="H122" i="333"/>
  <c r="H119" i="333"/>
  <c r="H102" i="333"/>
  <c r="H101" i="333"/>
  <c r="H100" i="333"/>
  <c r="H92" i="333"/>
  <c r="H89" i="333"/>
  <c r="H86" i="333"/>
  <c r="H81" i="333"/>
  <c r="H80" i="333"/>
  <c r="H77" i="333"/>
  <c r="H30" i="333"/>
  <c r="H22" i="333"/>
  <c r="H21" i="333"/>
  <c r="H20" i="333"/>
  <c r="H19" i="333"/>
  <c r="H12" i="333"/>
  <c r="H9" i="333"/>
  <c r="H105" i="325"/>
  <c r="H93" i="325"/>
  <c r="H90" i="325"/>
  <c r="H88" i="325"/>
  <c r="H86" i="325"/>
  <c r="H80" i="325"/>
  <c r="H77" i="325"/>
  <c r="H46" i="325"/>
  <c r="H41" i="325"/>
  <c r="H34" i="325"/>
  <c r="H18" i="325"/>
  <c r="H9" i="325"/>
  <c r="H155" i="326"/>
  <c r="H152" i="326"/>
  <c r="H46" i="326"/>
  <c r="H9" i="326"/>
  <c r="H161" i="242"/>
  <c r="H158" i="242"/>
  <c r="H155" i="242"/>
  <c r="H152" i="242"/>
  <c r="H149" i="242"/>
  <c r="H144" i="242"/>
  <c r="H119" i="242"/>
  <c r="H108" i="242"/>
  <c r="H88" i="242"/>
  <c r="H84" i="242"/>
  <c r="H77" i="242"/>
  <c r="H40" i="242"/>
  <c r="H18" i="242"/>
  <c r="H9" i="242"/>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H95" i="318"/>
  <c r="H93" i="318"/>
  <c r="H92" i="318"/>
  <c r="H91" i="318"/>
  <c r="H90" i="318"/>
  <c r="H89" i="318"/>
  <c r="H88" i="318"/>
  <c r="H87" i="318"/>
  <c r="H77" i="318"/>
  <c r="H76" i="318"/>
  <c r="H75"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H57" i="269"/>
  <c r="H55" i="269"/>
  <c r="H54" i="269"/>
  <c r="H52" i="269"/>
  <c r="H51" i="269"/>
  <c r="H50" i="269"/>
  <c r="H43" i="269"/>
  <c r="H39" i="269"/>
  <c r="H37" i="269"/>
  <c r="H28" i="269"/>
  <c r="H27" i="269"/>
  <c r="H26" i="269"/>
  <c r="H24" i="269"/>
  <c r="H23" i="269"/>
  <c r="H22" i="269"/>
  <c r="H21" i="269"/>
  <c r="H16" i="269"/>
  <c r="H12" i="269"/>
  <c r="H10" i="269"/>
  <c r="H9" i="269"/>
  <c r="H49" i="270"/>
  <c r="H43" i="270"/>
  <c r="H39" i="270"/>
  <c r="H37" i="270"/>
  <c r="H28" i="270"/>
  <c r="H27" i="270"/>
  <c r="H26" i="270"/>
  <c r="H23" i="270"/>
  <c r="H22" i="270"/>
  <c r="H21" i="270"/>
  <c r="H16" i="270"/>
  <c r="H12" i="270"/>
  <c r="H10" i="270"/>
  <c r="H9" i="270"/>
  <c r="H36" i="177"/>
  <c r="H27" i="177"/>
  <c r="H17" i="177"/>
  <c r="H16" i="177"/>
  <c r="H15" i="177"/>
  <c r="H12" i="177"/>
  <c r="H11" i="177"/>
  <c r="H10" i="177"/>
  <c r="H9" i="177"/>
  <c r="H8" i="177"/>
  <c r="H7" i="177"/>
  <c r="H207" i="324"/>
  <c r="H205" i="324"/>
  <c r="H197" i="324"/>
  <c r="H196" i="324"/>
  <c r="H194" i="324"/>
  <c r="H175" i="324"/>
  <c r="H174" i="324"/>
  <c r="H172" i="324"/>
  <c r="H165" i="324"/>
  <c r="H162" i="324"/>
  <c r="H161" i="324"/>
  <c r="H38" i="324"/>
  <c r="H37" i="324"/>
  <c r="H36" i="324"/>
  <c r="H22" i="324"/>
  <c r="H21" i="324"/>
  <c r="H14" i="324"/>
  <c r="H9" i="324"/>
  <c r="H73" i="268"/>
  <c r="H67" i="268"/>
  <c r="H66" i="268"/>
  <c r="H62" i="268"/>
  <c r="H61" i="268"/>
  <c r="H60" i="268"/>
  <c r="H59" i="268"/>
  <c r="H58" i="268"/>
  <c r="H55" i="268"/>
  <c r="H54" i="268"/>
  <c r="H51" i="268"/>
  <c r="H48" i="268"/>
  <c r="H45" i="268"/>
  <c r="H44" i="268"/>
  <c r="H39"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8"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G28" i="323" l="1"/>
  <c r="F28" i="323"/>
  <c r="F10" i="330"/>
  <c r="G10" i="330"/>
  <c r="K95" i="318" l="1"/>
  <c r="K165" i="324"/>
  <c r="K162" i="324"/>
  <c r="K77" i="335"/>
  <c r="K158" i="242"/>
  <c r="K196" i="324"/>
  <c r="K158" i="335" l="1"/>
  <c r="K152" i="335"/>
  <c r="K149" i="335"/>
  <c r="K108" i="335"/>
  <c r="K46" i="335"/>
  <c r="K30" i="335"/>
  <c r="K18" i="335"/>
  <c r="K9" i="335"/>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K105" i="325"/>
  <c r="K93" i="325"/>
  <c r="K90" i="325"/>
  <c r="K88" i="325"/>
  <c r="K86" i="325"/>
  <c r="K80" i="325"/>
  <c r="K77" i="325"/>
  <c r="K46" i="325"/>
  <c r="K41" i="325"/>
  <c r="K34" i="325"/>
  <c r="K18" i="325"/>
  <c r="K9" i="325"/>
  <c r="K155" i="326"/>
  <c r="K152" i="326"/>
  <c r="K46" i="326"/>
  <c r="K9" i="326"/>
  <c r="K9" i="242"/>
  <c r="K18" i="242"/>
  <c r="K40" i="242"/>
  <c r="K77" i="242"/>
  <c r="K84" i="242"/>
  <c r="K88" i="242"/>
  <c r="K108" i="242"/>
  <c r="K119" i="242"/>
  <c r="K144" i="242"/>
  <c r="K149" i="242"/>
  <c r="K152" i="242"/>
  <c r="K155" i="242"/>
  <c r="K161"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K57" i="269"/>
  <c r="K55" i="269"/>
  <c r="K54" i="269"/>
  <c r="K52" i="269"/>
  <c r="K51" i="269"/>
  <c r="K50" i="269"/>
  <c r="K43" i="269"/>
  <c r="K39" i="269"/>
  <c r="K37" i="269"/>
  <c r="K28" i="269"/>
  <c r="K27" i="269"/>
  <c r="K26" i="269"/>
  <c r="K24" i="269"/>
  <c r="K23" i="269"/>
  <c r="K22" i="269"/>
  <c r="K21" i="269"/>
  <c r="K16" i="269"/>
  <c r="K12" i="269"/>
  <c r="K10" i="269"/>
  <c r="K9" i="269"/>
  <c r="K49" i="270" l="1"/>
  <c r="K43" i="270"/>
  <c r="K39" i="270"/>
  <c r="K37" i="270"/>
  <c r="K27" i="270"/>
  <c r="K26" i="270"/>
  <c r="K23" i="270"/>
  <c r="K22" i="270"/>
  <c r="K16" i="270"/>
  <c r="K12" i="270"/>
  <c r="K10" i="270"/>
  <c r="K9" i="270"/>
  <c r="K36" i="177"/>
  <c r="K27" i="177"/>
  <c r="K17" i="177"/>
  <c r="K16" i="177"/>
  <c r="K15" i="177"/>
  <c r="K12" i="177"/>
  <c r="K11" i="177"/>
  <c r="K10" i="177"/>
  <c r="K9" i="177"/>
  <c r="K8" i="177"/>
  <c r="K7" i="177"/>
  <c r="G47" i="178"/>
  <c r="G46" i="178"/>
  <c r="G39" i="178"/>
  <c r="G38" i="178"/>
  <c r="G34" i="178"/>
  <c r="G33" i="178"/>
  <c r="G32" i="178"/>
  <c r="G31" i="178"/>
  <c r="G24" i="178"/>
  <c r="G23" i="178"/>
  <c r="G22" i="178"/>
  <c r="G20" i="178"/>
  <c r="G18" i="178"/>
  <c r="G12" i="178"/>
  <c r="G10" i="178"/>
  <c r="G9" i="178"/>
  <c r="G8" i="178"/>
  <c r="G7" i="178"/>
  <c r="K9" i="324"/>
  <c r="K14" i="324"/>
  <c r="K22" i="324"/>
  <c r="K21" i="324"/>
  <c r="K38" i="324"/>
  <c r="K37" i="324"/>
  <c r="K36" i="324"/>
  <c r="K161" i="324"/>
  <c r="K172" i="324"/>
  <c r="K175" i="324"/>
  <c r="K174" i="324"/>
  <c r="K194" i="324"/>
  <c r="K197" i="324"/>
  <c r="K206" i="324"/>
  <c r="K205" i="324"/>
  <c r="K207" i="324"/>
  <c r="K73" i="268"/>
  <c r="K67" i="268"/>
  <c r="K66" i="268"/>
  <c r="K62" i="268"/>
  <c r="K61" i="268"/>
  <c r="K60" i="268"/>
  <c r="K59" i="268"/>
  <c r="K58" i="268"/>
  <c r="K55" i="268"/>
  <c r="K54" i="268"/>
  <c r="K51" i="268"/>
  <c r="K48" i="268"/>
  <c r="K45" i="268"/>
  <c r="K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J12" i="267"/>
  <c r="D76"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I8" i="325" s="1"/>
  <c r="J8" i="325" s="1"/>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s="1"/>
  <c r="H99" i="335"/>
  <c r="I97" i="335"/>
  <c r="J97" i="335" s="1"/>
  <c r="I93" i="335"/>
  <c r="J93" i="335" s="1"/>
  <c r="I89" i="335"/>
  <c r="J89" i="335" s="1"/>
  <c r="I85" i="335"/>
  <c r="J85" i="335" s="1"/>
  <c r="I81" i="335"/>
  <c r="J81" i="335" s="1"/>
  <c r="I77" i="335"/>
  <c r="J77" i="335" s="1"/>
  <c r="H69" i="335"/>
  <c r="I69" i="335"/>
  <c r="J69" i="335"/>
  <c r="H63" i="335"/>
  <c r="I63" i="335"/>
  <c r="J63" i="335"/>
  <c r="I59" i="335"/>
  <c r="J59" i="335"/>
  <c r="H53" i="335"/>
  <c r="I53" i="335"/>
  <c r="J53" i="335"/>
  <c r="I51" i="335"/>
  <c r="J51" i="335" s="1"/>
  <c r="I47" i="335"/>
  <c r="J47" i="335" s="1"/>
  <c r="I46" i="335"/>
  <c r="J46" i="335" s="1"/>
  <c r="H38" i="335"/>
  <c r="I34" i="335"/>
  <c r="J34" i="335" s="1"/>
  <c r="I30" i="335"/>
  <c r="J30" i="335" s="1"/>
  <c r="I25" i="335"/>
  <c r="J25" i="335"/>
  <c r="H17" i="335"/>
  <c r="I14" i="335"/>
  <c r="J14" i="335"/>
  <c r="I39" i="324"/>
  <c r="J39" i="324" s="1"/>
  <c r="I38" i="324"/>
  <c r="J38" i="324" s="1"/>
  <c r="I34" i="324"/>
  <c r="J34" i="324" s="1"/>
  <c r="I33" i="324"/>
  <c r="J33" i="324" s="1"/>
  <c r="I32" i="324"/>
  <c r="J32" i="324" s="1"/>
  <c r="I30" i="324"/>
  <c r="J30" i="324" s="1"/>
  <c r="I28" i="324"/>
  <c r="J28" i="324" s="1"/>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22" i="241" s="1"/>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N12" i="238"/>
  <c r="N24" i="238" s="1"/>
  <c r="M12" i="238"/>
  <c r="K12" i="238"/>
  <c r="O21" i="238"/>
  <c r="O19" i="238"/>
  <c r="O17" i="238"/>
  <c r="O16" i="238"/>
  <c r="O15" i="238"/>
  <c r="O11" i="238"/>
  <c r="O10" i="238"/>
  <c r="O9" i="238"/>
  <c r="O8" i="238"/>
  <c r="O7" i="238"/>
  <c r="O12" i="238" s="1"/>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G26" i="178" s="1"/>
  <c r="H39" i="174" s="1"/>
  <c r="F25" i="178"/>
  <c r="E25" i="178"/>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F53" i="333"/>
  <c r="E53" i="333"/>
  <c r="D53" i="333"/>
  <c r="K53" i="335"/>
  <c r="G53" i="335"/>
  <c r="F53" i="335"/>
  <c r="E53" i="335"/>
  <c r="D53" i="335"/>
  <c r="K8" i="335"/>
  <c r="H8" i="335"/>
  <c r="G8" i="335"/>
  <c r="F8" i="335"/>
  <c r="E8" i="335"/>
  <c r="D8" i="335"/>
  <c r="K8" i="333"/>
  <c r="G8" i="333"/>
  <c r="F8" i="333"/>
  <c r="E8" i="333"/>
  <c r="D8" i="333"/>
  <c r="K53" i="325"/>
  <c r="H53" i="325"/>
  <c r="G53" i="325"/>
  <c r="I53" i="325" s="1"/>
  <c r="J53" i="325" s="1"/>
  <c r="F53" i="325"/>
  <c r="E53" i="325"/>
  <c r="D53" i="325"/>
  <c r="K8" i="325"/>
  <c r="G8" i="325"/>
  <c r="F8" i="325"/>
  <c r="E8" i="325"/>
  <c r="D8" i="325"/>
  <c r="K53" i="326"/>
  <c r="H53" i="326"/>
  <c r="G53" i="326"/>
  <c r="I53" i="326"/>
  <c r="J53" i="326"/>
  <c r="F53" i="326"/>
  <c r="E53" i="326"/>
  <c r="D53" i="326"/>
  <c r="K8" i="326"/>
  <c r="G8" i="326"/>
  <c r="F8" i="326"/>
  <c r="E8" i="326"/>
  <c r="D8" i="326"/>
  <c r="K53" i="242"/>
  <c r="H53" i="242"/>
  <c r="G53" i="242"/>
  <c r="F53" i="242"/>
  <c r="E53" i="242"/>
  <c r="D53" i="242"/>
  <c r="K8" i="242"/>
  <c r="G8" i="242"/>
  <c r="F8" i="242"/>
  <c r="F7" i="242" s="1"/>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I140" i="335" s="1"/>
  <c r="J140" i="335" s="1"/>
  <c r="H138" i="335"/>
  <c r="G140" i="335"/>
  <c r="F140" i="335"/>
  <c r="F138" i="335" s="1"/>
  <c r="E140" i="335"/>
  <c r="E138" i="335" s="1"/>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s="1"/>
  <c r="I131" i="335"/>
  <c r="J131" i="335"/>
  <c r="K130" i="335"/>
  <c r="H130" i="335"/>
  <c r="G130" i="335"/>
  <c r="F130" i="335"/>
  <c r="E130" i="335"/>
  <c r="E117" i="335" s="1"/>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s="1"/>
  <c r="I105" i="335"/>
  <c r="J105" i="335" s="1"/>
  <c r="I104" i="335"/>
  <c r="J104" i="335" s="1"/>
  <c r="K103" i="335"/>
  <c r="G103" i="335"/>
  <c r="F103" i="335"/>
  <c r="E103" i="335"/>
  <c r="D103" i="335"/>
  <c r="C103" i="335"/>
  <c r="I102" i="335"/>
  <c r="J102" i="335" s="1"/>
  <c r="I100" i="335"/>
  <c r="J100" i="335"/>
  <c r="K99" i="335"/>
  <c r="G99" i="335"/>
  <c r="I99" i="335" s="1"/>
  <c r="J99" i="335" s="1"/>
  <c r="F99" i="335"/>
  <c r="E99" i="335"/>
  <c r="D99" i="335"/>
  <c r="C99" i="335"/>
  <c r="I98" i="335"/>
  <c r="J98" i="335" s="1"/>
  <c r="I96" i="335"/>
  <c r="J96" i="335" s="1"/>
  <c r="I95" i="335"/>
  <c r="J95" i="335" s="1"/>
  <c r="I94" i="335"/>
  <c r="J94" i="335" s="1"/>
  <c r="I92" i="335"/>
  <c r="J92" i="335" s="1"/>
  <c r="I91" i="335"/>
  <c r="J91" i="335" s="1"/>
  <c r="I90" i="335"/>
  <c r="J90" i="335" s="1"/>
  <c r="I88" i="335"/>
  <c r="J88" i="335" s="1"/>
  <c r="I87" i="335"/>
  <c r="J87" i="335" s="1"/>
  <c r="I86" i="335"/>
  <c r="J86" i="335" s="1"/>
  <c r="I84" i="335"/>
  <c r="J84" i="335" s="1"/>
  <c r="I83" i="335"/>
  <c r="J83" i="335" s="1"/>
  <c r="I82" i="335"/>
  <c r="J82" i="335" s="1"/>
  <c r="I80" i="335"/>
  <c r="J80" i="335" s="1"/>
  <c r="I79" i="335"/>
  <c r="J79" i="335" s="1"/>
  <c r="I78" i="335"/>
  <c r="J78" i="335" s="1"/>
  <c r="K76" i="335"/>
  <c r="K75" i="335" s="1"/>
  <c r="G76" i="335"/>
  <c r="F76" i="335"/>
  <c r="E76" i="335"/>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s="1"/>
  <c r="I50" i="335"/>
  <c r="J50" i="335" s="1"/>
  <c r="I49" i="335"/>
  <c r="J49" i="335" s="1"/>
  <c r="I48" i="335"/>
  <c r="J48" i="335" s="1"/>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I154" i="333" s="1"/>
  <c r="J154" i="333" s="1"/>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s="1"/>
  <c r="I82" i="333"/>
  <c r="J82" i="333" s="1"/>
  <c r="I80" i="333"/>
  <c r="J80" i="333" s="1"/>
  <c r="I78" i="333"/>
  <c r="J78" i="333" s="1"/>
  <c r="K76" i="333"/>
  <c r="G76" i="333"/>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I38" i="333" s="1"/>
  <c r="J38" i="333" s="1"/>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c r="I120" i="325"/>
  <c r="J120" i="325" s="1"/>
  <c r="I119" i="325"/>
  <c r="J119" i="325" s="1"/>
  <c r="K118" i="325"/>
  <c r="K117" i="325"/>
  <c r="H118" i="325"/>
  <c r="G118" i="325"/>
  <c r="I118" i="325" s="1"/>
  <c r="J118" i="325" s="1"/>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s="1"/>
  <c r="I61" i="325"/>
  <c r="J61" i="325" s="1"/>
  <c r="I60" i="325"/>
  <c r="J60" i="325" s="1"/>
  <c r="I59" i="325"/>
  <c r="J59" i="325" s="1"/>
  <c r="I58" i="325"/>
  <c r="J58" i="325"/>
  <c r="I57" i="325"/>
  <c r="J57" i="325" s="1"/>
  <c r="I56" i="325"/>
  <c r="J56" i="325" s="1"/>
  <c r="I55" i="325"/>
  <c r="J55" i="325"/>
  <c r="I54" i="325"/>
  <c r="J54" i="325" s="1"/>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s="1"/>
  <c r="I30" i="325"/>
  <c r="J30" i="325"/>
  <c r="I29" i="325"/>
  <c r="J29" i="325"/>
  <c r="I28" i="325"/>
  <c r="J28" i="325"/>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s="1"/>
  <c r="I143" i="326"/>
  <c r="J143" i="326"/>
  <c r="I142" i="326"/>
  <c r="J142" i="326"/>
  <c r="I141" i="326"/>
  <c r="J141" i="326"/>
  <c r="K140" i="326"/>
  <c r="K138" i="326" s="1"/>
  <c r="H140" i="326"/>
  <c r="G140" i="326"/>
  <c r="G138" i="326"/>
  <c r="F140" i="326"/>
  <c r="F138" i="326"/>
  <c r="E140" i="326"/>
  <c r="E138" i="326" s="1"/>
  <c r="D140" i="326"/>
  <c r="D138" i="326"/>
  <c r="C140" i="326"/>
  <c r="C138" i="326"/>
  <c r="I139" i="326"/>
  <c r="J139" i="326"/>
  <c r="J137" i="326"/>
  <c r="I136" i="326"/>
  <c r="J136" i="326"/>
  <c r="K135" i="326"/>
  <c r="H135" i="326"/>
  <c r="G135" i="326"/>
  <c r="F135" i="326"/>
  <c r="E135" i="326"/>
  <c r="D135" i="326"/>
  <c r="C135" i="326"/>
  <c r="J134" i="326"/>
  <c r="I133" i="326"/>
  <c r="J133" i="326"/>
  <c r="I132" i="326"/>
  <c r="J132" i="326" s="1"/>
  <c r="I131" i="326"/>
  <c r="J131" i="326"/>
  <c r="K130" i="326"/>
  <c r="H130" i="326"/>
  <c r="I130" i="326" s="1"/>
  <c r="J130" i="326" s="1"/>
  <c r="G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K75" i="326" s="1"/>
  <c r="H76" i="326"/>
  <c r="G76" i="326"/>
  <c r="G75" i="326" s="1"/>
  <c r="F76" i="326"/>
  <c r="F75" i="326" s="1"/>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H45" i="326"/>
  <c r="G45" i="326"/>
  <c r="F45" i="326"/>
  <c r="E45" i="326"/>
  <c r="D45" i="326"/>
  <c r="D7"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c r="I35" i="326"/>
  <c r="J35" i="326" s="1"/>
  <c r="I34" i="326"/>
  <c r="J34" i="326" s="1"/>
  <c r="I33" i="326"/>
  <c r="J33" i="326" s="1"/>
  <c r="I32" i="326"/>
  <c r="J32" i="326" s="1"/>
  <c r="I31" i="326"/>
  <c r="J31" i="326" s="1"/>
  <c r="I30" i="326"/>
  <c r="J30" i="326" s="1"/>
  <c r="I29" i="326"/>
  <c r="J29" i="326"/>
  <c r="I28" i="326"/>
  <c r="J28" i="326" s="1"/>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s="1"/>
  <c r="K17" i="326"/>
  <c r="H17" i="326"/>
  <c r="G17" i="326"/>
  <c r="F17" i="326"/>
  <c r="E17" i="326"/>
  <c r="D17" i="326"/>
  <c r="C17" i="326"/>
  <c r="I16" i="326"/>
  <c r="J16" i="326"/>
  <c r="I15" i="326"/>
  <c r="J15" i="326"/>
  <c r="I14" i="326"/>
  <c r="J14" i="326"/>
  <c r="K13" i="326"/>
  <c r="H13" i="326"/>
  <c r="G13" i="326"/>
  <c r="F13" i="326"/>
  <c r="E13" i="326"/>
  <c r="D13" i="326"/>
  <c r="C13" i="326"/>
  <c r="I12" i="326"/>
  <c r="J12" i="326" s="1"/>
  <c r="I11" i="326"/>
  <c r="J11" i="326"/>
  <c r="I10" i="326"/>
  <c r="J10" i="326" s="1"/>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E130" i="242"/>
  <c r="D130" i="242"/>
  <c r="K118" i="242"/>
  <c r="K117" i="242" s="1"/>
  <c r="H118" i="242"/>
  <c r="H117" i="242" s="1"/>
  <c r="G118" i="242"/>
  <c r="F118" i="242"/>
  <c r="E118" i="242"/>
  <c r="E117" i="242" s="1"/>
  <c r="D118" i="242"/>
  <c r="D117" i="242"/>
  <c r="C118" i="242"/>
  <c r="I122" i="242"/>
  <c r="J122" i="242" s="1"/>
  <c r="I121" i="242"/>
  <c r="J121" i="242" s="1"/>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F75" i="242" s="1"/>
  <c r="E76" i="242"/>
  <c r="D76" i="242"/>
  <c r="C99" i="242"/>
  <c r="C76" i="242"/>
  <c r="I87" i="242"/>
  <c r="J87" i="242" s="1"/>
  <c r="I86" i="242"/>
  <c r="J86" i="242" s="1"/>
  <c r="I83" i="242"/>
  <c r="J83" i="242" s="1"/>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c r="C8" i="242"/>
  <c r="I10" i="242"/>
  <c r="J10" i="242" s="1"/>
  <c r="I9" i="242"/>
  <c r="J9" i="242" s="1"/>
  <c r="I243" i="330"/>
  <c r="J243" i="330" s="1"/>
  <c r="A243" i="330"/>
  <c r="A239" i="330"/>
  <c r="K235" i="330"/>
  <c r="K47" i="241" s="1"/>
  <c r="G235" i="330"/>
  <c r="G47" i="241" s="1"/>
  <c r="F235" i="330"/>
  <c r="F47" i="241" s="1"/>
  <c r="E235" i="330"/>
  <c r="E47" i="241" s="1"/>
  <c r="D235" i="330"/>
  <c r="D47" i="241" s="1"/>
  <c r="C235" i="330"/>
  <c r="C47" i="241" s="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H37" i="241" s="1"/>
  <c r="G186" i="330"/>
  <c r="G37" i="241" s="1"/>
  <c r="F186" i="330"/>
  <c r="F37" i="241" s="1"/>
  <c r="E186" i="330"/>
  <c r="E37" i="241" s="1"/>
  <c r="D186" i="330"/>
  <c r="D37" i="241" s="1"/>
  <c r="C186" i="330"/>
  <c r="C37" i="241" s="1"/>
  <c r="I188" i="330"/>
  <c r="J188" i="330" s="1"/>
  <c r="I187" i="330"/>
  <c r="J187" i="330" s="1"/>
  <c r="A176" i="330"/>
  <c r="A175" i="330"/>
  <c r="A174" i="330"/>
  <c r="K171" i="330"/>
  <c r="K35" i="241" s="1"/>
  <c r="G171" i="330"/>
  <c r="G35" i="241" s="1"/>
  <c r="F171" i="330"/>
  <c r="F35" i="241" s="1"/>
  <c r="E171" i="330"/>
  <c r="E35" i="241" s="1"/>
  <c r="D171" i="330"/>
  <c r="D35" i="241" s="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s="1"/>
  <c r="F132" i="330"/>
  <c r="F31" i="241" s="1"/>
  <c r="E132" i="330"/>
  <c r="D132" i="330"/>
  <c r="D31" i="241"/>
  <c r="D29" i="241" s="1"/>
  <c r="K27" i="330"/>
  <c r="K11" i="241" s="1"/>
  <c r="H27" i="330"/>
  <c r="H11" i="241" s="1"/>
  <c r="G27" i="330"/>
  <c r="G11" i="241" s="1"/>
  <c r="F27" i="330"/>
  <c r="F11" i="241" s="1"/>
  <c r="E27" i="330"/>
  <c r="E11" i="241" s="1"/>
  <c r="D27" i="330"/>
  <c r="D11" i="241" s="1"/>
  <c r="C27" i="330"/>
  <c r="C11" i="241" s="1"/>
  <c r="C10" i="241" s="1"/>
  <c r="K10" i="330"/>
  <c r="G8" i="241"/>
  <c r="E10" i="330"/>
  <c r="D10" i="330"/>
  <c r="D6" i="330" s="1"/>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H146" i="330"/>
  <c r="H32" i="241" s="1"/>
  <c r="K146" i="330"/>
  <c r="K32" i="241" s="1"/>
  <c r="I147" i="330"/>
  <c r="J147" i="330" s="1"/>
  <c r="A148" i="330"/>
  <c r="A149" i="330"/>
  <c r="C149" i="330"/>
  <c r="C34" i="241" s="1"/>
  <c r="C33" i="241" s="1"/>
  <c r="D149" i="330"/>
  <c r="D34" i="241" s="1"/>
  <c r="D33" i="241" s="1"/>
  <c r="E149" i="330"/>
  <c r="E34" i="241" s="1"/>
  <c r="F149" i="330"/>
  <c r="F34" i="241" s="1"/>
  <c r="G149" i="330"/>
  <c r="G34" i="241" s="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s="1"/>
  <c r="I77" i="330"/>
  <c r="J77" i="330" s="1"/>
  <c r="I81" i="330"/>
  <c r="J81" i="330" s="1"/>
  <c r="I80" i="330"/>
  <c r="J80" i="330" s="1"/>
  <c r="I79" i="330"/>
  <c r="J79" i="330" s="1"/>
  <c r="I78" i="330"/>
  <c r="J78" i="330" s="1"/>
  <c r="I83" i="330"/>
  <c r="J83" i="330" s="1"/>
  <c r="I82" i="330"/>
  <c r="J82" i="330" s="1"/>
  <c r="K67" i="330"/>
  <c r="K15" i="241" s="1"/>
  <c r="H67" i="330"/>
  <c r="H15" i="241" s="1"/>
  <c r="I15" i="241" s="1"/>
  <c r="J15" i="241" s="1"/>
  <c r="G67" i="330"/>
  <c r="F67" i="330"/>
  <c r="F15" i="241"/>
  <c r="E67" i="330"/>
  <c r="E15" i="241" s="1"/>
  <c r="D67" i="330"/>
  <c r="C67" i="330"/>
  <c r="C15" i="241"/>
  <c r="H64" i="330"/>
  <c r="H14" i="241" s="1"/>
  <c r="G64" i="330"/>
  <c r="G14" i="241" s="1"/>
  <c r="F64" i="330"/>
  <c r="F14" i="241" s="1"/>
  <c r="E64" i="330"/>
  <c r="E14" i="241" s="1"/>
  <c r="D64" i="330"/>
  <c r="D14" i="241"/>
  <c r="K64" i="330"/>
  <c r="K14" i="241" s="1"/>
  <c r="C64" i="330"/>
  <c r="C14" i="241"/>
  <c r="I69" i="330"/>
  <c r="J69" i="330"/>
  <c r="I68" i="330"/>
  <c r="J68" i="330" s="1"/>
  <c r="I71" i="330"/>
  <c r="J71" i="330"/>
  <c r="I70" i="330"/>
  <c r="J70" i="330"/>
  <c r="I66" i="330"/>
  <c r="J66" i="330" s="1"/>
  <c r="I65" i="330"/>
  <c r="J65" i="330" s="1"/>
  <c r="K49" i="330"/>
  <c r="K12" i="241" s="1"/>
  <c r="G49" i="330"/>
  <c r="G12" i="241" s="1"/>
  <c r="F49" i="330"/>
  <c r="F12" i="241" s="1"/>
  <c r="E49" i="330"/>
  <c r="E12" i="241" s="1"/>
  <c r="D49" i="330"/>
  <c r="D12" i="241" s="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c r="I60" i="318"/>
  <c r="J60" i="318"/>
  <c r="I59" i="318"/>
  <c r="J59" i="318"/>
  <c r="I58" i="318"/>
  <c r="J58" i="318"/>
  <c r="I57" i="318"/>
  <c r="J57" i="318"/>
  <c r="I41" i="318"/>
  <c r="J41" i="318" s="1"/>
  <c r="I39" i="318"/>
  <c r="J39"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s="1"/>
  <c r="K57" i="268"/>
  <c r="G57" i="268"/>
  <c r="F57" i="268"/>
  <c r="E57" i="268"/>
  <c r="D57" i="268"/>
  <c r="C57" i="268"/>
  <c r="C118" i="330"/>
  <c r="C25" i="241" s="1"/>
  <c r="E31" i="241"/>
  <c r="C8" i="241"/>
  <c r="J13" i="267"/>
  <c r="J14" i="267"/>
  <c r="J15" i="267"/>
  <c r="J17" i="267"/>
  <c r="G12" i="267"/>
  <c r="G13" i="267"/>
  <c r="G14" i="267"/>
  <c r="G15" i="267"/>
  <c r="F12" i="267"/>
  <c r="F13" i="267"/>
  <c r="F14" i="267"/>
  <c r="F15" i="267"/>
  <c r="F16" i="267"/>
  <c r="F17" i="267"/>
  <c r="H17" i="267" s="1"/>
  <c r="I17" i="267" s="1"/>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59" i="270"/>
  <c r="C45" i="270"/>
  <c r="C31" i="270"/>
  <c r="H18" i="177"/>
  <c r="G43" i="267" s="1"/>
  <c r="K185" i="323"/>
  <c r="K25" i="272" s="1"/>
  <c r="K196" i="323"/>
  <c r="K26" i="272" s="1"/>
  <c r="K207" i="323"/>
  <c r="K27" i="272" s="1"/>
  <c r="K218" i="323"/>
  <c r="K28" i="272"/>
  <c r="K229" i="323"/>
  <c r="K29" i="272" s="1"/>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25" i="272" s="1"/>
  <c r="G196" i="323"/>
  <c r="G26" i="272" s="1"/>
  <c r="G207" i="323"/>
  <c r="G218" i="323"/>
  <c r="G229" i="323"/>
  <c r="G29" i="272" s="1"/>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9" i="272" s="1"/>
  <c r="F240" i="323"/>
  <c r="F30" i="272"/>
  <c r="F251" i="323"/>
  <c r="F31" i="272"/>
  <c r="F262" i="323"/>
  <c r="F32" i="272"/>
  <c r="F273" i="323"/>
  <c r="F284" i="323"/>
  <c r="F34" i="272"/>
  <c r="F295" i="323"/>
  <c r="F35" i="272"/>
  <c r="F306" i="323"/>
  <c r="F36" i="272"/>
  <c r="F317" i="323"/>
  <c r="F37" i="272"/>
  <c r="F328" i="323"/>
  <c r="E185" i="323"/>
  <c r="E25" i="272" s="1"/>
  <c r="E196" i="323"/>
  <c r="E26" i="272" s="1"/>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s="1"/>
  <c r="K171" i="324"/>
  <c r="K26" i="268" s="1"/>
  <c r="K160" i="324"/>
  <c r="K25" i="268" s="1"/>
  <c r="K149" i="324"/>
  <c r="K24" i="268" s="1"/>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s="1"/>
  <c r="H182" i="324"/>
  <c r="H27" i="268" s="1"/>
  <c r="F182" i="324"/>
  <c r="F27" i="268" s="1"/>
  <c r="E182" i="324"/>
  <c r="E27" i="268" s="1"/>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c r="F149" i="324"/>
  <c r="F24" i="268" s="1"/>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s="1"/>
  <c r="K29" i="324"/>
  <c r="K10" i="268"/>
  <c r="K23" i="324"/>
  <c r="K9" i="268" s="1"/>
  <c r="K18" i="324"/>
  <c r="K8" i="268" s="1"/>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s="1"/>
  <c r="D35" i="324"/>
  <c r="D11" i="268"/>
  <c r="G29" i="324"/>
  <c r="G10" i="268" s="1"/>
  <c r="F29" i="324"/>
  <c r="F10" i="268" s="1"/>
  <c r="E29" i="324"/>
  <c r="E10" i="268" s="1"/>
  <c r="D29" i="324"/>
  <c r="D10" i="268"/>
  <c r="G23" i="324"/>
  <c r="G9" i="268" s="1"/>
  <c r="F23" i="324"/>
  <c r="F9" i="268" s="1"/>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s="1"/>
  <c r="O3" i="317" s="1"/>
  <c r="F77" i="100"/>
  <c r="B27" i="322"/>
  <c r="B73" i="100"/>
  <c r="C7" i="330"/>
  <c r="C6" i="330" s="1"/>
  <c r="C24" i="330"/>
  <c r="C9" i="241"/>
  <c r="C87" i="330"/>
  <c r="C18" i="241" s="1"/>
  <c r="C92" i="330"/>
  <c r="C75" i="330" s="1"/>
  <c r="C19" i="241"/>
  <c r="C100" i="330"/>
  <c r="C104" i="330"/>
  <c r="C22" i="241" s="1"/>
  <c r="C20" i="241" s="1"/>
  <c r="C108" i="330"/>
  <c r="C23" i="241"/>
  <c r="K7" i="330"/>
  <c r="K24" i="330"/>
  <c r="K9" i="241" s="1"/>
  <c r="K87" i="330"/>
  <c r="K18" i="241" s="1"/>
  <c r="K92" i="330"/>
  <c r="K19" i="241"/>
  <c r="K100" i="330"/>
  <c r="K21" i="241" s="1"/>
  <c r="K104" i="330"/>
  <c r="K22" i="241" s="1"/>
  <c r="K108" i="330"/>
  <c r="K23" i="241" s="1"/>
  <c r="K118" i="330"/>
  <c r="K25" i="241" s="1"/>
  <c r="K129" i="330"/>
  <c r="K30" i="241" s="1"/>
  <c r="K177" i="330"/>
  <c r="K36" i="241" s="1"/>
  <c r="K189" i="330"/>
  <c r="K38" i="241" s="1"/>
  <c r="K198" i="330"/>
  <c r="K209" i="330"/>
  <c r="K41" i="241"/>
  <c r="K214" i="330"/>
  <c r="K42" i="241" s="1"/>
  <c r="K222" i="330"/>
  <c r="K44" i="241" s="1"/>
  <c r="K226" i="330"/>
  <c r="K45" i="241" s="1"/>
  <c r="K230" i="330"/>
  <c r="K46" i="241" s="1"/>
  <c r="K240" i="330"/>
  <c r="K48" i="241" s="1"/>
  <c r="H7" i="330"/>
  <c r="H7" i="241" s="1"/>
  <c r="H24" i="330"/>
  <c r="H9" i="241" s="1"/>
  <c r="H92" i="330"/>
  <c r="H19" i="241" s="1"/>
  <c r="H100" i="330"/>
  <c r="H21" i="241" s="1"/>
  <c r="H129" i="330"/>
  <c r="H189" i="330"/>
  <c r="H38" i="241" s="1"/>
  <c r="H209" i="330"/>
  <c r="H41" i="241" s="1"/>
  <c r="H226" i="330"/>
  <c r="H45" i="241"/>
  <c r="G7" i="330"/>
  <c r="G7" i="241" s="1"/>
  <c r="G24" i="330"/>
  <c r="G87" i="330"/>
  <c r="G18" i="241" s="1"/>
  <c r="G92" i="330"/>
  <c r="G100" i="330"/>
  <c r="G21" i="241" s="1"/>
  <c r="G104" i="330"/>
  <c r="G22" i="241" s="1"/>
  <c r="G108" i="330"/>
  <c r="G118" i="330"/>
  <c r="G25" i="241" s="1"/>
  <c r="G129" i="330"/>
  <c r="G30" i="241" s="1"/>
  <c r="G36" i="241"/>
  <c r="G189" i="330"/>
  <c r="G38" i="241"/>
  <c r="G198" i="330"/>
  <c r="G40" i="241" s="1"/>
  <c r="G209" i="330"/>
  <c r="G41" i="241" s="1"/>
  <c r="G214" i="330"/>
  <c r="G42" i="241" s="1"/>
  <c r="G222" i="330"/>
  <c r="G44" i="241" s="1"/>
  <c r="G226" i="330"/>
  <c r="G45" i="241" s="1"/>
  <c r="G230" i="330"/>
  <c r="G46" i="241" s="1"/>
  <c r="G240" i="330"/>
  <c r="F7" i="330"/>
  <c r="F24" i="330"/>
  <c r="F87" i="330"/>
  <c r="F18" i="241" s="1"/>
  <c r="F92" i="330"/>
  <c r="F19" i="241" s="1"/>
  <c r="F100" i="330"/>
  <c r="F104" i="330"/>
  <c r="F22" i="241" s="1"/>
  <c r="F108" i="330"/>
  <c r="F23" i="241" s="1"/>
  <c r="F118" i="330"/>
  <c r="F25" i="241" s="1"/>
  <c r="F129" i="330"/>
  <c r="F30" i="241" s="1"/>
  <c r="F36" i="241"/>
  <c r="F189" i="330"/>
  <c r="F38" i="241" s="1"/>
  <c r="F198" i="330"/>
  <c r="F40" i="241" s="1"/>
  <c r="F209" i="330"/>
  <c r="F41" i="241" s="1"/>
  <c r="F214" i="330"/>
  <c r="F42" i="241" s="1"/>
  <c r="F222" i="330"/>
  <c r="F44" i="241" s="1"/>
  <c r="F226" i="330"/>
  <c r="F45" i="241" s="1"/>
  <c r="F230" i="330"/>
  <c r="F46" i="241" s="1"/>
  <c r="F240" i="330"/>
  <c r="F48" i="241" s="1"/>
  <c r="E7" i="330"/>
  <c r="E7" i="241" s="1"/>
  <c r="E24" i="330"/>
  <c r="E9" i="241" s="1"/>
  <c r="E87" i="330"/>
  <c r="E18" i="241" s="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s="1"/>
  <c r="E230" i="330"/>
  <c r="E46" i="241" s="1"/>
  <c r="E240" i="330"/>
  <c r="E48" i="241" s="1"/>
  <c r="D7" i="330"/>
  <c r="D7" i="241"/>
  <c r="D6" i="241" s="1"/>
  <c r="D24" i="330"/>
  <c r="D9" i="241" s="1"/>
  <c r="D87" i="330"/>
  <c r="D75" i="330" s="1"/>
  <c r="D92" i="330"/>
  <c r="D19" i="241"/>
  <c r="D100" i="330"/>
  <c r="D21" i="241" s="1"/>
  <c r="D20" i="241" s="1"/>
  <c r="D104" i="330"/>
  <c r="D22" i="241"/>
  <c r="D108" i="330"/>
  <c r="D23" i="241"/>
  <c r="D118" i="330"/>
  <c r="D25" i="241"/>
  <c r="D129" i="330"/>
  <c r="D32" i="241"/>
  <c r="D177" i="330"/>
  <c r="D189" i="330"/>
  <c r="D148" i="330" s="1"/>
  <c r="D198" i="330"/>
  <c r="D197" i="330" s="1"/>
  <c r="D40" i="241"/>
  <c r="D209" i="330"/>
  <c r="D41" i="241"/>
  <c r="D214" i="330"/>
  <c r="D42" i="241"/>
  <c r="D222" i="330"/>
  <c r="D44" i="241"/>
  <c r="D43" i="241" s="1"/>
  <c r="D226" i="330"/>
  <c r="D45" i="241"/>
  <c r="D230" i="330"/>
  <c r="D46" i="241"/>
  <c r="D240" i="330"/>
  <c r="D48" i="241"/>
  <c r="C240" i="330"/>
  <c r="C48" i="241"/>
  <c r="C230" i="330"/>
  <c r="C46" i="241"/>
  <c r="C226" i="330"/>
  <c r="C45" i="241"/>
  <c r="C222" i="330"/>
  <c r="C44" i="241"/>
  <c r="C214" i="330"/>
  <c r="C42" i="241"/>
  <c r="C209" i="330"/>
  <c r="C197" i="330" s="1"/>
  <c r="C41" i="241"/>
  <c r="C39" i="241" s="1"/>
  <c r="C198" i="330"/>
  <c r="C40" i="241"/>
  <c r="C189" i="330"/>
  <c r="C38" i="241"/>
  <c r="C177" i="330"/>
  <c r="C148" i="330" s="1"/>
  <c r="C247" i="330" s="1"/>
  <c r="C257" i="330" s="1"/>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s="1"/>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O2" i="317"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H37" i="177"/>
  <c r="G45" i="267" s="1"/>
  <c r="G37" i="177"/>
  <c r="F37" i="177"/>
  <c r="E45" i="267"/>
  <c r="E37" i="177"/>
  <c r="D45" i="267"/>
  <c r="D37" i="177"/>
  <c r="C45" i="267"/>
  <c r="C37" i="177"/>
  <c r="B45" i="267"/>
  <c r="K28" i="177"/>
  <c r="J44" i="267" s="1"/>
  <c r="H28" i="177"/>
  <c r="G44" i="267" s="1"/>
  <c r="G28" i="177"/>
  <c r="F28" i="177"/>
  <c r="E44" i="267" s="1"/>
  <c r="E28" i="177"/>
  <c r="D44" i="267" s="1"/>
  <c r="C28" i="177"/>
  <c r="B44" i="267"/>
  <c r="K18" i="177"/>
  <c r="J43" i="267" s="1"/>
  <c r="G18" i="177"/>
  <c r="F43" i="267" s="1"/>
  <c r="F18" i="177"/>
  <c r="E43" i="267" s="1"/>
  <c r="E18" i="177"/>
  <c r="D43" i="267" s="1"/>
  <c r="E77" i="100"/>
  <c r="E46" i="267"/>
  <c r="G48" i="178"/>
  <c r="H49" i="174" s="1"/>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G45" i="174" s="1"/>
  <c r="F36" i="182"/>
  <c r="E36" i="182"/>
  <c r="E38" i="182" s="1"/>
  <c r="E42" i="182" s="1"/>
  <c r="E44" i="182" s="1"/>
  <c r="E46" i="182" s="1"/>
  <c r="E48" i="182" s="1"/>
  <c r="D36" i="182"/>
  <c r="C18" i="267"/>
  <c r="C36" i="182"/>
  <c r="F6" i="267"/>
  <c r="H6" i="267" s="1"/>
  <c r="I6" i="267" s="1"/>
  <c r="F9" i="267"/>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C14" i="175"/>
  <c r="B50" i="267" s="1"/>
  <c r="D14" i="175"/>
  <c r="C53" i="172" s="1"/>
  <c r="E14" i="175"/>
  <c r="D50" i="267" s="1"/>
  <c r="F14" i="175"/>
  <c r="E50" i="267" s="1"/>
  <c r="G14" i="175"/>
  <c r="F53" i="172" s="1"/>
  <c r="H14" i="175"/>
  <c r="G53" i="172" s="1"/>
  <c r="I14" i="175"/>
  <c r="H53" i="172" s="1"/>
  <c r="J14" i="175"/>
  <c r="I53" i="172" s="1"/>
  <c r="K40" i="177"/>
  <c r="B29" i="267"/>
  <c r="C6" i="323"/>
  <c r="C17" i="323"/>
  <c r="C7" i="272"/>
  <c r="C28" i="323"/>
  <c r="C8" i="272"/>
  <c r="C39" i="323"/>
  <c r="C9" i="272"/>
  <c r="C50" i="323"/>
  <c r="C10" i="272"/>
  <c r="C61" i="323"/>
  <c r="C11" i="272"/>
  <c r="C72" i="323"/>
  <c r="C83" i="323"/>
  <c r="C13" i="272"/>
  <c r="C94" i="323"/>
  <c r="C14" i="272"/>
  <c r="C105" i="323"/>
  <c r="C15" i="272"/>
  <c r="H6" i="323"/>
  <c r="H28" i="323"/>
  <c r="H8" i="272" s="1"/>
  <c r="H39" i="323"/>
  <c r="H9" i="272" s="1"/>
  <c r="H50" i="323"/>
  <c r="H10" i="272" s="1"/>
  <c r="H61" i="323"/>
  <c r="H11" i="272" s="1"/>
  <c r="H72" i="323"/>
  <c r="H12" i="272"/>
  <c r="H83" i="323"/>
  <c r="H13" i="272"/>
  <c r="H94" i="323"/>
  <c r="I94" i="323"/>
  <c r="J94" i="323"/>
  <c r="G6" i="323"/>
  <c r="G6" i="272" s="1"/>
  <c r="G17" i="323"/>
  <c r="G7" i="272" s="1"/>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8" i="272"/>
  <c r="F39" i="323"/>
  <c r="F9" i="272" s="1"/>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s="1"/>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30" i="272"/>
  <c r="I30" i="272"/>
  <c r="J30" i="272"/>
  <c r="G31" i="272"/>
  <c r="G32" i="272"/>
  <c r="I32" i="272"/>
  <c r="J32" i="272"/>
  <c r="H32" i="272"/>
  <c r="K30" i="272"/>
  <c r="K32"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F13" i="178"/>
  <c r="G52" i="174" s="1"/>
  <c r="F48" i="178"/>
  <c r="G49" i="174" s="1"/>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G6" i="180"/>
  <c r="C28" i="172"/>
  <c r="F6" i="180"/>
  <c r="F7" i="180" s="1"/>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s="1"/>
  <c r="B78" i="172" s="1"/>
  <c r="I54" i="172"/>
  <c r="H54" i="172"/>
  <c r="G54" i="172"/>
  <c r="F54" i="172"/>
  <c r="E54" i="172"/>
  <c r="D54" i="172"/>
  <c r="C54" i="172"/>
  <c r="B54"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c r="I20" i="181"/>
  <c r="J20" i="181" s="1"/>
  <c r="I19" i="181"/>
  <c r="J19" i="181" s="1"/>
  <c r="I18" i="181"/>
  <c r="J18" i="181" s="1"/>
  <c r="I17" i="181"/>
  <c r="J17" i="181" s="1"/>
  <c r="I15" i="181"/>
  <c r="J15" i="181" s="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s="1"/>
  <c r="I131" i="242"/>
  <c r="J131" i="242" s="1"/>
  <c r="I129" i="242"/>
  <c r="J129" i="242" s="1"/>
  <c r="I128" i="242"/>
  <c r="J128" i="242" s="1"/>
  <c r="I127" i="242"/>
  <c r="J127" i="242"/>
  <c r="I126" i="242"/>
  <c r="J126" i="242" s="1"/>
  <c r="I125" i="242"/>
  <c r="J125" i="242" s="1"/>
  <c r="I124" i="242"/>
  <c r="J124" i="242"/>
  <c r="I123" i="242"/>
  <c r="J123" i="242" s="1"/>
  <c r="I119" i="242"/>
  <c r="J119" i="242" s="1"/>
  <c r="I102" i="242"/>
  <c r="J102" i="242" s="1"/>
  <c r="I100" i="242"/>
  <c r="J100" i="242"/>
  <c r="I98" i="242"/>
  <c r="J98" i="242" s="1"/>
  <c r="I97" i="242"/>
  <c r="J97" i="242" s="1"/>
  <c r="I95" i="242"/>
  <c r="J95" i="242" s="1"/>
  <c r="I94" i="242"/>
  <c r="J94" i="242" s="1"/>
  <c r="I93" i="242"/>
  <c r="J93" i="242" s="1"/>
  <c r="I91" i="242"/>
  <c r="J91" i="242" s="1"/>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7" i="174" s="1"/>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G21" i="175"/>
  <c r="F21" i="175"/>
  <c r="E21" i="175"/>
  <c r="D21" i="175"/>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F36" i="270"/>
  <c r="F61" i="270" s="1"/>
  <c r="E36" i="270"/>
  <c r="D36" i="270"/>
  <c r="G29" i="270"/>
  <c r="H29" i="270"/>
  <c r="I30" i="270"/>
  <c r="J30" i="270"/>
  <c r="G31" i="270"/>
  <c r="H31" i="270"/>
  <c r="I32" i="270"/>
  <c r="J32" i="270"/>
  <c r="K8" i="270"/>
  <c r="K17" i="270"/>
  <c r="K29" i="270"/>
  <c r="K31" i="270"/>
  <c r="G8" i="270"/>
  <c r="G17" i="270"/>
  <c r="F8" i="270"/>
  <c r="F17" i="270"/>
  <c r="F29" i="270"/>
  <c r="F31" i="270"/>
  <c r="E8" i="270"/>
  <c r="E17" i="270"/>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H83" i="318"/>
  <c r="G30" i="318"/>
  <c r="G46" i="318"/>
  <c r="G83" i="318"/>
  <c r="G99" i="318"/>
  <c r="F30" i="318"/>
  <c r="F46" i="318"/>
  <c r="F83" i="318"/>
  <c r="F99" i="318"/>
  <c r="G14" i="318"/>
  <c r="G67" i="318"/>
  <c r="I67" i="318" s="1"/>
  <c r="J67" i="318" s="1"/>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s="1"/>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c r="I65" i="318"/>
  <c r="J65" i="318"/>
  <c r="I64" i="318"/>
  <c r="J64" i="318"/>
  <c r="I62" i="318"/>
  <c r="J62" i="318"/>
  <c r="I56" i="318"/>
  <c r="J56" i="318"/>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A2" i="317"/>
  <c r="N53" i="317"/>
  <c r="N35" i="317"/>
  <c r="N34" i="317"/>
  <c r="B13" i="100"/>
  <c r="P3" i="317" s="1"/>
  <c r="B2" i="317"/>
  <c r="B46" i="317"/>
  <c r="B52" i="317"/>
  <c r="B54" i="317"/>
  <c r="A57" i="317"/>
  <c r="I24" i="267"/>
  <c r="I16" i="272"/>
  <c r="J16" i="272"/>
  <c r="F9" i="241"/>
  <c r="G15"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D7" i="272"/>
  <c r="E39" i="177"/>
  <c r="E41" i="177" s="1"/>
  <c r="D46" i="267" s="1"/>
  <c r="A83" i="323"/>
  <c r="A127" i="323"/>
  <c r="A33" i="268"/>
  <c r="A29" i="268"/>
  <c r="A25" i="268"/>
  <c r="G19" i="241"/>
  <c r="B81" i="100"/>
  <c r="A31" i="268"/>
  <c r="A61" i="323"/>
  <c r="A27" i="268"/>
  <c r="A35" i="324"/>
  <c r="B4" i="100"/>
  <c r="B103" i="100"/>
  <c r="A26" i="172" s="1"/>
  <c r="F8" i="334"/>
  <c r="G9" i="334"/>
  <c r="F25" i="334"/>
  <c r="G25" i="334"/>
  <c r="F41" i="334"/>
  <c r="G45" i="334"/>
  <c r="F22" i="334"/>
  <c r="I16" i="183"/>
  <c r="J16" i="183"/>
  <c r="C28" i="272"/>
  <c r="D17" i="272"/>
  <c r="I72" i="323"/>
  <c r="J72" i="323"/>
  <c r="C31" i="183"/>
  <c r="F45" i="267"/>
  <c r="H15" i="272"/>
  <c r="I105" i="323"/>
  <c r="J105" i="323"/>
  <c r="J29" i="267"/>
  <c r="B100" i="100"/>
  <c r="K117" i="326"/>
  <c r="G110" i="335"/>
  <c r="I130" i="335"/>
  <c r="J130" i="335" s="1"/>
  <c r="H110" i="333"/>
  <c r="E117" i="333"/>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F110" i="325"/>
  <c r="E110" i="325"/>
  <c r="D7" i="325"/>
  <c r="I63" i="325"/>
  <c r="J63" i="325"/>
  <c r="H117" i="325"/>
  <c r="I157" i="325"/>
  <c r="J157" i="325"/>
  <c r="E7" i="325"/>
  <c r="E166" i="325" s="1"/>
  <c r="I99" i="325"/>
  <c r="J99" i="325"/>
  <c r="F110" i="326"/>
  <c r="E110" i="326"/>
  <c r="J63" i="326"/>
  <c r="I135" i="326"/>
  <c r="J135" i="326"/>
  <c r="I17" i="326"/>
  <c r="J17" i="326" s="1"/>
  <c r="I69" i="326"/>
  <c r="J69" i="326"/>
  <c r="I114" i="326"/>
  <c r="J114" i="326"/>
  <c r="I157" i="326"/>
  <c r="J157" i="326" s="1"/>
  <c r="I27" i="326"/>
  <c r="J27" i="326" s="1"/>
  <c r="C117" i="326"/>
  <c r="G117" i="326"/>
  <c r="I160" i="326"/>
  <c r="J160" i="326"/>
  <c r="I99" i="326"/>
  <c r="J99" i="326"/>
  <c r="H110" i="326"/>
  <c r="D117" i="326"/>
  <c r="H117" i="326"/>
  <c r="I117" i="326" s="1"/>
  <c r="J117" i="326" s="1"/>
  <c r="I148" i="326"/>
  <c r="J148" i="326"/>
  <c r="I13" i="326"/>
  <c r="J13" i="326"/>
  <c r="E7" i="326"/>
  <c r="J163" i="326"/>
  <c r="E117" i="326"/>
  <c r="J118" i="326"/>
  <c r="I140" i="326"/>
  <c r="J140" i="326" s="1"/>
  <c r="I38" i="326"/>
  <c r="J38" i="326" s="1"/>
  <c r="E75" i="326"/>
  <c r="I103" i="326"/>
  <c r="J103" i="326" s="1"/>
  <c r="I151" i="326"/>
  <c r="J151" i="326" s="1"/>
  <c r="H138" i="326"/>
  <c r="I138" i="326" s="1"/>
  <c r="J138" i="326" s="1"/>
  <c r="C75" i="242"/>
  <c r="H110" i="242"/>
  <c r="I110" i="242"/>
  <c r="J110" i="242" s="1"/>
  <c r="E110" i="242"/>
  <c r="G110" i="242"/>
  <c r="C117" i="242"/>
  <c r="I135" i="242"/>
  <c r="J135" i="242"/>
  <c r="I69" i="242"/>
  <c r="J69" i="242" s="1"/>
  <c r="K110" i="242"/>
  <c r="G117" i="242"/>
  <c r="F110" i="242"/>
  <c r="D75" i="242"/>
  <c r="I130" i="242"/>
  <c r="J130" i="242" s="1"/>
  <c r="J45" i="242"/>
  <c r="I111" i="242"/>
  <c r="J111" i="242"/>
  <c r="I63" i="242"/>
  <c r="J63" i="242" s="1"/>
  <c r="E7" i="242"/>
  <c r="I99" i="242"/>
  <c r="J99" i="242"/>
  <c r="G32" i="241"/>
  <c r="I24" i="330"/>
  <c r="J24" i="330" s="1"/>
  <c r="I67" i="330"/>
  <c r="J67" i="330" s="1"/>
  <c r="C21" i="241"/>
  <c r="I226" i="330"/>
  <c r="J226" i="330" s="1"/>
  <c r="G9" i="241"/>
  <c r="I9" i="241" s="1"/>
  <c r="J9" i="241" s="1"/>
  <c r="E8" i="241"/>
  <c r="C53" i="182"/>
  <c r="D28" i="174"/>
  <c r="D11" i="267"/>
  <c r="I53" i="242"/>
  <c r="J53" i="242"/>
  <c r="I114" i="242"/>
  <c r="J114" i="242" s="1"/>
  <c r="D36" i="241"/>
  <c r="C221" i="330"/>
  <c r="C128" i="330"/>
  <c r="C99" i="330"/>
  <c r="D39" i="174"/>
  <c r="O52" i="317"/>
  <c r="O54" i="317"/>
  <c r="O56" i="317"/>
  <c r="P55" i="317"/>
  <c r="P56" i="317"/>
  <c r="Q55" i="317"/>
  <c r="Q56" i="317"/>
  <c r="D31" i="183"/>
  <c r="E7" i="272"/>
  <c r="G8" i="334"/>
  <c r="C49" i="318"/>
  <c r="C104" i="318"/>
  <c r="G65" i="317"/>
  <c r="G52" i="317"/>
  <c r="F38" i="334"/>
  <c r="G38" i="334"/>
  <c r="G39" i="334"/>
  <c r="C6" i="272"/>
  <c r="C36" i="267"/>
  <c r="E52" i="174"/>
  <c r="E49" i="174"/>
  <c r="E10" i="174"/>
  <c r="G48" i="241"/>
  <c r="H35" i="272"/>
  <c r="I295" i="323"/>
  <c r="J295" i="323"/>
  <c r="H52" i="317"/>
  <c r="H54" i="317"/>
  <c r="H66" i="317"/>
  <c r="H65" i="317"/>
  <c r="D13" i="174"/>
  <c r="A20" i="268"/>
  <c r="A160" i="323"/>
  <c r="A38" i="272"/>
  <c r="A303" i="324"/>
  <c r="A38" i="268"/>
  <c r="A328" i="323"/>
  <c r="G18" i="334"/>
  <c r="G117" i="335"/>
  <c r="I117" i="335"/>
  <c r="J117" i="335" s="1"/>
  <c r="I118" i="335"/>
  <c r="J118" i="335"/>
  <c r="P65" i="317"/>
  <c r="P52" i="317"/>
  <c r="P54" i="317"/>
  <c r="H14" i="272"/>
  <c r="D45" i="174"/>
  <c r="D7" i="174"/>
  <c r="B18" i="267"/>
  <c r="B19" i="267"/>
  <c r="J36" i="267"/>
  <c r="H52" i="174"/>
  <c r="E22" i="241"/>
  <c r="A207" i="323"/>
  <c r="A23" i="324"/>
  <c r="A27" i="272"/>
  <c r="A182" i="324"/>
  <c r="C28" i="334"/>
  <c r="G32" i="334"/>
  <c r="F31" i="334"/>
  <c r="G138" i="242"/>
  <c r="H75"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s="1"/>
  <c r="I13" i="242"/>
  <c r="J13" i="242" s="1"/>
  <c r="B3" i="100"/>
  <c r="D2" i="326" s="1"/>
  <c r="A39" i="323"/>
  <c r="B98" i="100"/>
  <c r="A149" i="324"/>
  <c r="A28" i="268"/>
  <c r="A13" i="268"/>
  <c r="A6" i="268"/>
  <c r="A7" i="324"/>
  <c r="A32" i="272"/>
  <c r="A9" i="272"/>
  <c r="A138" i="323"/>
  <c r="A50" i="323"/>
  <c r="B77" i="100"/>
  <c r="B93" i="100"/>
  <c r="E31" i="183"/>
  <c r="C63" i="268"/>
  <c r="C29" i="267"/>
  <c r="C33" i="267"/>
  <c r="D18" i="267"/>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C29" i="241"/>
  <c r="D30" i="241"/>
  <c r="D128" i="330"/>
  <c r="I28" i="177"/>
  <c r="J28" i="177" s="1"/>
  <c r="P66" i="317"/>
  <c r="K68" i="318"/>
  <c r="I29" i="183"/>
  <c r="I31" i="183"/>
  <c r="G31" i="183"/>
  <c r="D2" i="269"/>
  <c r="I65" i="317"/>
  <c r="G22" i="334"/>
  <c r="C54" i="317"/>
  <c r="C56" i="317"/>
  <c r="D55" i="317"/>
  <c r="D56" i="317"/>
  <c r="E55" i="317"/>
  <c r="L52" i="317"/>
  <c r="L54" i="317"/>
  <c r="L66" i="317"/>
  <c r="L65" i="317"/>
  <c r="D2" i="241"/>
  <c r="D2" i="183"/>
  <c r="C2" i="317"/>
  <c r="D2" i="177"/>
  <c r="E47" i="318"/>
  <c r="J65" i="317"/>
  <c r="G18" i="272"/>
  <c r="H20" i="272"/>
  <c r="I116" i="323"/>
  <c r="J116" i="323"/>
  <c r="A196" i="323"/>
  <c r="A8" i="268"/>
  <c r="B33" i="267"/>
  <c r="A12" i="268"/>
  <c r="A240" i="323"/>
  <c r="G110" i="325"/>
  <c r="D110" i="333"/>
  <c r="C7" i="326"/>
  <c r="F75" i="325"/>
  <c r="I138" i="325"/>
  <c r="J138" i="325"/>
  <c r="G75" i="325"/>
  <c r="I148" i="335"/>
  <c r="J148" i="335" s="1"/>
  <c r="J29" i="183"/>
  <c r="J31" i="183"/>
  <c r="B102" i="100"/>
  <c r="A1" i="172"/>
  <c r="D2" i="272"/>
  <c r="D2" i="182"/>
  <c r="D2" i="178"/>
  <c r="C2" i="173"/>
  <c r="D2" i="335"/>
  <c r="E2" i="174"/>
  <c r="B14" i="100"/>
  <c r="Q3" i="317"/>
  <c r="D2" i="325"/>
  <c r="C2" i="180"/>
  <c r="A53" i="172"/>
  <c r="A104" i="172" s="1"/>
  <c r="D2" i="324"/>
  <c r="C2" i="334"/>
  <c r="B2" i="100"/>
  <c r="C2" i="324" s="1"/>
  <c r="B2" i="267"/>
  <c r="X38" i="329"/>
  <c r="A15" i="175"/>
  <c r="B2" i="180"/>
  <c r="B2" i="172" s="1"/>
  <c r="C2" i="178"/>
  <c r="C2" i="318"/>
  <c r="C2" i="335"/>
  <c r="B77" i="172"/>
  <c r="C2" i="270"/>
  <c r="C2" i="177"/>
  <c r="C2" i="242"/>
  <c r="C2" i="326"/>
  <c r="A54" i="172"/>
  <c r="A103" i="172" s="1"/>
  <c r="C2" i="182"/>
  <c r="C2" i="325"/>
  <c r="C2" i="183"/>
  <c r="C3" i="334"/>
  <c r="C2" i="181"/>
  <c r="C2" i="241"/>
  <c r="C2" i="272"/>
  <c r="C2" i="330"/>
  <c r="G14" i="272"/>
  <c r="I14" i="272"/>
  <c r="J14" i="272"/>
  <c r="B43" i="267"/>
  <c r="C39" i="177"/>
  <c r="C41" i="177"/>
  <c r="B46" i="267"/>
  <c r="D2" i="174"/>
  <c r="C2" i="268"/>
  <c r="C2" i="269"/>
  <c r="H34" i="272"/>
  <c r="I34" i="272"/>
  <c r="J34" i="272"/>
  <c r="I110" i="325"/>
  <c r="J110" i="325"/>
  <c r="E100" i="318"/>
  <c r="E102" i="318"/>
  <c r="C49" i="334"/>
  <c r="G36" i="272"/>
  <c r="I306" i="323"/>
  <c r="J306" i="323"/>
  <c r="G41" i="334"/>
  <c r="F47" i="334"/>
  <c r="G47" i="334"/>
  <c r="B20" i="267"/>
  <c r="B23" i="267"/>
  <c r="B25" i="267"/>
  <c r="E12" i="272"/>
  <c r="D2" i="242"/>
  <c r="C77" i="172"/>
  <c r="D2" i="323"/>
  <c r="C2" i="267"/>
  <c r="D2" i="333"/>
  <c r="F16" i="334"/>
  <c r="K52" i="317"/>
  <c r="K65" i="317"/>
  <c r="E106" i="318"/>
  <c r="E49" i="318"/>
  <c r="E104" i="318" s="1"/>
  <c r="E105" i="318" s="1"/>
  <c r="F31" i="183"/>
  <c r="G9" i="272"/>
  <c r="C47" i="334"/>
  <c r="I38" i="272"/>
  <c r="J38" i="272"/>
  <c r="K7" i="333"/>
  <c r="E75" i="325"/>
  <c r="I114" i="333"/>
  <c r="J114" i="333"/>
  <c r="G110" i="333"/>
  <c r="I110" i="333"/>
  <c r="J110" i="333"/>
  <c r="E110" i="335"/>
  <c r="C110" i="333"/>
  <c r="C166" i="333"/>
  <c r="G138" i="335"/>
  <c r="E7" i="335"/>
  <c r="E50" i="318"/>
  <c r="G16" i="334"/>
  <c r="F28" i="334"/>
  <c r="F49" i="334"/>
  <c r="G49" i="334"/>
  <c r="G28" i="334"/>
  <c r="D63" i="268"/>
  <c r="I37" i="272"/>
  <c r="J37" i="272"/>
  <c r="I273" i="323"/>
  <c r="J273" i="323"/>
  <c r="D339" i="323"/>
  <c r="C339" i="323"/>
  <c r="W340" i="323"/>
  <c r="C25" i="272"/>
  <c r="C39" i="272"/>
  <c r="P340" i="323"/>
  <c r="R340" i="323"/>
  <c r="T340" i="323"/>
  <c r="L340" i="323"/>
  <c r="O340" i="323"/>
  <c r="G20" i="272"/>
  <c r="I20" i="272"/>
  <c r="J20" i="272"/>
  <c r="H19" i="272"/>
  <c r="I19" i="272"/>
  <c r="J19" i="272"/>
  <c r="H18" i="272"/>
  <c r="I18" i="272"/>
  <c r="J18" i="272"/>
  <c r="C21" i="272"/>
  <c r="C171" i="323"/>
  <c r="C341" i="323"/>
  <c r="A218" i="323"/>
  <c r="A28" i="272"/>
  <c r="A10" i="272"/>
  <c r="A10" i="268"/>
  <c r="D39" i="272"/>
  <c r="D171" i="323"/>
  <c r="D8" i="272"/>
  <c r="D38" i="241"/>
  <c r="D15" i="24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K145" i="324"/>
  <c r="S315" i="324"/>
  <c r="C21" i="268"/>
  <c r="D21" i="268"/>
  <c r="H18" i="324"/>
  <c r="H19" i="268"/>
  <c r="I19" i="268"/>
  <c r="J19" i="268"/>
  <c r="I281" i="324"/>
  <c r="I17" i="268"/>
  <c r="J17" i="268"/>
  <c r="C314" i="324"/>
  <c r="T315" i="324"/>
  <c r="D39" i="268"/>
  <c r="U315" i="324"/>
  <c r="H34" i="268"/>
  <c r="I259" i="324"/>
  <c r="C39" i="268"/>
  <c r="D314" i="324"/>
  <c r="C145" i="324"/>
  <c r="G16" i="268"/>
  <c r="I16" i="268"/>
  <c r="J16" i="268"/>
  <c r="G30" i="268"/>
  <c r="I215" i="324"/>
  <c r="H35" i="268"/>
  <c r="I270" i="324"/>
  <c r="H15" i="268"/>
  <c r="I15" i="268"/>
  <c r="J15" i="268"/>
  <c r="H7" i="324"/>
  <c r="H6" i="268" s="1"/>
  <c r="H12" i="324"/>
  <c r="I14" i="324"/>
  <c r="J14" i="324" s="1"/>
  <c r="H32" i="268"/>
  <c r="I237" i="324"/>
  <c r="H37" i="268"/>
  <c r="I292" i="324"/>
  <c r="G20" i="268"/>
  <c r="I20" i="268"/>
  <c r="J20" i="268"/>
  <c r="G24" i="268"/>
  <c r="I149" i="324"/>
  <c r="J149" i="324" s="1"/>
  <c r="G33" i="268"/>
  <c r="I248" i="324"/>
  <c r="G38" i="268"/>
  <c r="I303" i="324"/>
  <c r="H23" i="324"/>
  <c r="H9" i="268" s="1"/>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H76" i="335"/>
  <c r="H75" i="335" s="1"/>
  <c r="I55" i="335"/>
  <c r="J55" i="335"/>
  <c r="I41" i="335"/>
  <c r="J41" i="335" s="1"/>
  <c r="I21" i="335"/>
  <c r="J21" i="335"/>
  <c r="H35" i="324"/>
  <c r="H11" i="268" s="1"/>
  <c r="I27" i="324"/>
  <c r="J27" i="324" s="1"/>
  <c r="H57" i="268"/>
  <c r="I57" i="268" s="1"/>
  <c r="J57" i="268" s="1"/>
  <c r="I49" i="268"/>
  <c r="J49" i="268" s="1"/>
  <c r="I45" i="268"/>
  <c r="J45" i="268" s="1"/>
  <c r="H235" i="330"/>
  <c r="H47" i="241" s="1"/>
  <c r="I223" i="330"/>
  <c r="J223" i="330" s="1"/>
  <c r="I179" i="330"/>
  <c r="J179" i="330" s="1"/>
  <c r="H171" i="330"/>
  <c r="H118" i="330"/>
  <c r="H25" i="241" s="1"/>
  <c r="I88" i="330"/>
  <c r="J88" i="330" s="1"/>
  <c r="C316" i="324"/>
  <c r="C40" i="268"/>
  <c r="B28" i="267"/>
  <c r="D316" i="324"/>
  <c r="I31" i="268"/>
  <c r="J31" i="268"/>
  <c r="D40" i="268"/>
  <c r="J281" i="324"/>
  <c r="I36" i="268"/>
  <c r="J36" i="268"/>
  <c r="I38" i="268"/>
  <c r="J38" i="268"/>
  <c r="J303" i="324"/>
  <c r="I30" i="268"/>
  <c r="J30" i="268"/>
  <c r="J215" i="324"/>
  <c r="J248" i="324"/>
  <c r="I33" i="268"/>
  <c r="J33" i="268"/>
  <c r="I32" i="268"/>
  <c r="J32" i="268"/>
  <c r="J237" i="324"/>
  <c r="J292" i="324"/>
  <c r="I37" i="268"/>
  <c r="J37" i="268"/>
  <c r="I35" i="268"/>
  <c r="J35" i="268"/>
  <c r="J270" i="324"/>
  <c r="I34" i="268"/>
  <c r="J34" i="268"/>
  <c r="J259" i="324"/>
  <c r="D86" i="268"/>
  <c r="E46" i="174"/>
  <c r="E8" i="174"/>
  <c r="C86" i="268"/>
  <c r="D46" i="174"/>
  <c r="D8" i="174"/>
  <c r="C28" i="267"/>
  <c r="G8" i="272"/>
  <c r="D43" i="178"/>
  <c r="D54" i="178"/>
  <c r="C37" i="267"/>
  <c r="H45" i="335"/>
  <c r="H27" i="335"/>
  <c r="I17" i="335"/>
  <c r="J17" i="335" s="1"/>
  <c r="D7" i="335"/>
  <c r="D166" i="335"/>
  <c r="I149" i="333"/>
  <c r="J149" i="333" s="1"/>
  <c r="H118" i="333"/>
  <c r="H117" i="333" s="1"/>
  <c r="H99" i="333"/>
  <c r="H76" i="333"/>
  <c r="D7" i="333"/>
  <c r="D166" i="333"/>
  <c r="H8" i="333"/>
  <c r="H103" i="325"/>
  <c r="I103" i="325" s="1"/>
  <c r="J103" i="325" s="1"/>
  <c r="D166" i="325"/>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F33" i="269"/>
  <c r="C33" i="269"/>
  <c r="I59" i="270"/>
  <c r="J59" i="270"/>
  <c r="I31" i="270"/>
  <c r="J31" i="270"/>
  <c r="I29" i="270"/>
  <c r="J29" i="270"/>
  <c r="C33" i="270"/>
  <c r="A31" i="334"/>
  <c r="C61" i="270"/>
  <c r="A60" i="269"/>
  <c r="D61" i="270"/>
  <c r="D63" i="270" s="1"/>
  <c r="A58" i="269"/>
  <c r="I37" i="270"/>
  <c r="J37" i="270" s="1"/>
  <c r="K33" i="270"/>
  <c r="D33" i="270"/>
  <c r="H8" i="270"/>
  <c r="A45" i="269"/>
  <c r="C43" i="267"/>
  <c r="E45" i="174"/>
  <c r="E7" i="174"/>
  <c r="I33" i="182"/>
  <c r="J33" i="182" s="1"/>
  <c r="H22" i="181"/>
  <c r="G10" i="267"/>
  <c r="E55" i="174"/>
  <c r="D38" i="182"/>
  <c r="D42" i="182"/>
  <c r="D44" i="182"/>
  <c r="D46" i="182"/>
  <c r="D48" i="182"/>
  <c r="E11" i="174"/>
  <c r="D341" i="323"/>
  <c r="D21" i="272"/>
  <c r="D40" i="272"/>
  <c r="I113" i="330"/>
  <c r="J113" i="330" s="1"/>
  <c r="H18" i="241"/>
  <c r="I60" i="330"/>
  <c r="J60" i="330" s="1"/>
  <c r="H49" i="330"/>
  <c r="H12" i="241" s="1"/>
  <c r="K8" i="241"/>
  <c r="A1" i="331"/>
  <c r="B4" i="331"/>
  <c r="B8" i="331"/>
  <c r="A1" i="328"/>
  <c r="H50" i="267"/>
  <c r="I157" i="335"/>
  <c r="J157" i="335" s="1"/>
  <c r="H6" i="180"/>
  <c r="I6" i="180" s="1"/>
  <c r="C31" i="172"/>
  <c r="G10" i="180"/>
  <c r="N56" i="317"/>
  <c r="N66" i="317"/>
  <c r="C64" i="269"/>
  <c r="D64" i="269"/>
  <c r="C63" i="270"/>
  <c r="E17" i="174"/>
  <c r="E26" i="174"/>
  <c r="E28" i="174"/>
  <c r="E27" i="174"/>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I75" i="326" l="1"/>
  <c r="J75" i="326" s="1"/>
  <c r="E166" i="326"/>
  <c r="K7" i="326"/>
  <c r="I138" i="335"/>
  <c r="J138" i="335" s="1"/>
  <c r="E75" i="335"/>
  <c r="E33" i="270"/>
  <c r="K39" i="177"/>
  <c r="K41" i="177" s="1"/>
  <c r="J46" i="267" s="1"/>
  <c r="H11" i="174"/>
  <c r="J40" i="267"/>
  <c r="J37" i="267"/>
  <c r="E26" i="178"/>
  <c r="I182" i="324"/>
  <c r="K314" i="324"/>
  <c r="K316" i="324" s="1"/>
  <c r="D33" i="267"/>
  <c r="K63" i="268"/>
  <c r="H7" i="174"/>
  <c r="D19" i="267"/>
  <c r="C16" i="241"/>
  <c r="D10" i="241"/>
  <c r="D26" i="241" s="1"/>
  <c r="D26" i="330"/>
  <c r="D125" i="330" s="1"/>
  <c r="D256" i="330" s="1"/>
  <c r="D99" i="330"/>
  <c r="I45" i="241"/>
  <c r="J45" i="241" s="1"/>
  <c r="C26" i="330"/>
  <c r="C125" i="330" s="1"/>
  <c r="D221" i="330"/>
  <c r="C7" i="241"/>
  <c r="C6" i="241" s="1"/>
  <c r="C26" i="241" s="1"/>
  <c r="K221" i="330"/>
  <c r="D18" i="241"/>
  <c r="D16" i="241" s="1"/>
  <c r="D39" i="241"/>
  <c r="I171" i="330"/>
  <c r="J171" i="330" s="1"/>
  <c r="E99" i="330"/>
  <c r="F6" i="330"/>
  <c r="C43" i="241"/>
  <c r="C49" i="241" s="1"/>
  <c r="D49" i="241"/>
  <c r="D247" i="330"/>
  <c r="K43" i="241"/>
  <c r="K26" i="330"/>
  <c r="E6" i="330"/>
  <c r="J14" i="180"/>
  <c r="G50" i="267"/>
  <c r="G14" i="174"/>
  <c r="I50" i="267"/>
  <c r="E26" i="175"/>
  <c r="E27" i="175" s="1"/>
  <c r="J26" i="175"/>
  <c r="J27" i="175" s="1"/>
  <c r="D53" i="172"/>
  <c r="F39" i="177"/>
  <c r="F75" i="335"/>
  <c r="G117" i="325"/>
  <c r="I117" i="325" s="1"/>
  <c r="J117" i="325" s="1"/>
  <c r="F7" i="326"/>
  <c r="F166" i="326" s="1"/>
  <c r="F117" i="242"/>
  <c r="F166" i="242" s="1"/>
  <c r="F62" i="269"/>
  <c r="K24" i="238"/>
  <c r="C2" i="333"/>
  <c r="C2" i="323"/>
  <c r="D2" i="268"/>
  <c r="D2" i="330"/>
  <c r="B47" i="100"/>
  <c r="D2" i="181"/>
  <c r="C2" i="175"/>
  <c r="D2" i="318"/>
  <c r="D2" i="270"/>
  <c r="I157" i="242"/>
  <c r="J157" i="242" s="1"/>
  <c r="I189" i="330"/>
  <c r="J189" i="330" s="1"/>
  <c r="I37" i="241"/>
  <c r="J37" i="241" s="1"/>
  <c r="F33" i="270"/>
  <c r="F63" i="270" s="1"/>
  <c r="G33" i="270"/>
  <c r="I154" i="326"/>
  <c r="J154" i="326" s="1"/>
  <c r="F128" i="330"/>
  <c r="I87" i="330"/>
  <c r="J87" i="330" s="1"/>
  <c r="G39" i="177"/>
  <c r="G41" i="177" s="1"/>
  <c r="F46" i="267" s="1"/>
  <c r="I27" i="325"/>
  <c r="J27" i="325" s="1"/>
  <c r="I76" i="326"/>
  <c r="J76" i="326" s="1"/>
  <c r="F26" i="175"/>
  <c r="F27" i="175" s="1"/>
  <c r="I45" i="335"/>
  <c r="J45" i="335" s="1"/>
  <c r="G7" i="325"/>
  <c r="I14" i="180"/>
  <c r="B36" i="172"/>
  <c r="G33" i="269"/>
  <c r="G61" i="270"/>
  <c r="I24" i="268"/>
  <c r="J24" i="268" s="1"/>
  <c r="I9" i="268"/>
  <c r="J9" i="268" s="1"/>
  <c r="H13" i="267"/>
  <c r="I13" i="267" s="1"/>
  <c r="I6" i="323"/>
  <c r="J6" i="323" s="1"/>
  <c r="I12" i="241"/>
  <c r="J12" i="241" s="1"/>
  <c r="G6" i="241"/>
  <c r="F7" i="241"/>
  <c r="I100" i="330"/>
  <c r="J100" i="330" s="1"/>
  <c r="I118" i="242"/>
  <c r="J118" i="242" s="1"/>
  <c r="H6" i="272"/>
  <c r="I6" i="272" s="1"/>
  <c r="J6" i="272" s="1"/>
  <c r="H15" i="180"/>
  <c r="I103" i="335"/>
  <c r="J103" i="335" s="1"/>
  <c r="G7" i="335"/>
  <c r="G75" i="333"/>
  <c r="I45" i="326"/>
  <c r="J45" i="326" s="1"/>
  <c r="G7" i="326"/>
  <c r="G166" i="326" s="1"/>
  <c r="B28" i="172"/>
  <c r="I30" i="318"/>
  <c r="J30" i="318" s="1"/>
  <c r="D26" i="175"/>
  <c r="D27" i="175" s="1"/>
  <c r="C50" i="267"/>
  <c r="H26" i="175"/>
  <c r="H27" i="175" s="1"/>
  <c r="I18" i="324"/>
  <c r="J18" i="324" s="1"/>
  <c r="F197" i="330"/>
  <c r="G6" i="330"/>
  <c r="I76" i="335"/>
  <c r="J76" i="335" s="1"/>
  <c r="H7" i="333"/>
  <c r="H45" i="267"/>
  <c r="I45" i="267" s="1"/>
  <c r="I171" i="324"/>
  <c r="I26" i="268" s="1"/>
  <c r="J26" i="268" s="1"/>
  <c r="G29" i="267"/>
  <c r="G33" i="267" s="1"/>
  <c r="I47" i="268"/>
  <c r="J47" i="268" s="1"/>
  <c r="H12" i="267"/>
  <c r="I12" i="267" s="1"/>
  <c r="H9" i="267"/>
  <c r="I9" i="267" s="1"/>
  <c r="I218" i="323"/>
  <c r="J218" i="323" s="1"/>
  <c r="I209" i="330"/>
  <c r="J209" i="330" s="1"/>
  <c r="F102" i="318"/>
  <c r="M22" i="238"/>
  <c r="M24" i="238" s="1"/>
  <c r="O18" i="238"/>
  <c r="J13"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H10" i="174"/>
  <c r="H13" i="174"/>
  <c r="G43" i="178"/>
  <c r="G54" i="178" s="1"/>
  <c r="K21" i="268"/>
  <c r="K39" i="268"/>
  <c r="J33" i="267"/>
  <c r="J18" i="267"/>
  <c r="J19" i="267" s="1"/>
  <c r="J11" i="267"/>
  <c r="H55" i="174"/>
  <c r="H27" i="174" s="1"/>
  <c r="K38" i="182"/>
  <c r="K42" i="182" s="1"/>
  <c r="K44" i="182" s="1"/>
  <c r="K46" i="182" s="1"/>
  <c r="K48" i="182" s="1"/>
  <c r="H15" i="267"/>
  <c r="I15" i="267" s="1"/>
  <c r="K339" i="323"/>
  <c r="K39" i="272"/>
  <c r="K171" i="323"/>
  <c r="K21" i="272"/>
  <c r="I229" i="323"/>
  <c r="J229" i="323" s="1"/>
  <c r="I39" i="323"/>
  <c r="J39" i="323" s="1"/>
  <c r="I27" i="335"/>
  <c r="J27" i="335" s="1"/>
  <c r="I151" i="242"/>
  <c r="J151" i="242" s="1"/>
  <c r="F8" i="180"/>
  <c r="B29" i="172"/>
  <c r="B37" i="172"/>
  <c r="J15" i="180"/>
  <c r="F106" i="318"/>
  <c r="F49" i="318"/>
  <c r="G49" i="318"/>
  <c r="L21" i="175"/>
  <c r="L14" i="175"/>
  <c r="G26" i="175"/>
  <c r="G27" i="175" s="1"/>
  <c r="F50" i="267"/>
  <c r="F63" i="268"/>
  <c r="E29" i="267"/>
  <c r="E33" i="267" s="1"/>
  <c r="G339" i="323"/>
  <c r="I28" i="272"/>
  <c r="J28" i="272" s="1"/>
  <c r="G24" i="272"/>
  <c r="G39" i="272" s="1"/>
  <c r="I9" i="272"/>
  <c r="J9" i="272" s="1"/>
  <c r="F75" i="330"/>
  <c r="F8" i="241"/>
  <c r="I104" i="330"/>
  <c r="J104" i="330" s="1"/>
  <c r="G99" i="330"/>
  <c r="K197" i="330"/>
  <c r="K40" i="241"/>
  <c r="K39" i="241" s="1"/>
  <c r="K148" i="330"/>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E43" i="178" s="1"/>
  <c r="E54" i="178" s="1"/>
  <c r="F53" i="174"/>
  <c r="F39" i="174"/>
  <c r="D37" i="267"/>
  <c r="E39" i="268"/>
  <c r="E314" i="324"/>
  <c r="E21" i="268"/>
  <c r="E145" i="324"/>
  <c r="E74" i="268"/>
  <c r="E63" i="268"/>
  <c r="D20" i="267"/>
  <c r="D23" i="267" s="1"/>
  <c r="D25" i="267" s="1"/>
  <c r="F28" i="174"/>
  <c r="F26" i="174"/>
  <c r="F17" i="174"/>
  <c r="E339" i="323"/>
  <c r="E39" i="272"/>
  <c r="E21" i="272"/>
  <c r="E40" i="272" s="1"/>
  <c r="E171" i="323"/>
  <c r="E221" i="330"/>
  <c r="E43" i="241"/>
  <c r="E39" i="241"/>
  <c r="E197" i="330"/>
  <c r="D257"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G74" i="268"/>
  <c r="I74" i="268" s="1"/>
  <c r="J74" i="268" s="1"/>
  <c r="F29" i="267"/>
  <c r="B61" i="100"/>
  <c r="A1" i="175" s="1"/>
  <c r="O20" i="238"/>
  <c r="O22" i="238" s="1"/>
  <c r="O24" i="238" s="1"/>
  <c r="G7" i="174"/>
  <c r="K21" i="175"/>
  <c r="G62" i="269"/>
  <c r="F64" i="269"/>
  <c r="G75" i="335"/>
  <c r="I75" i="335" s="1"/>
  <c r="J75" i="335" s="1"/>
  <c r="I99" i="333"/>
  <c r="J99" i="333" s="1"/>
  <c r="I17" i="325"/>
  <c r="J17" i="325" s="1"/>
  <c r="I38" i="242"/>
  <c r="J38" i="242" s="1"/>
  <c r="I17" i="180"/>
  <c r="J17" i="180"/>
  <c r="J16" i="180"/>
  <c r="I16" i="180"/>
  <c r="K15" i="173"/>
  <c r="J52" i="267" s="1"/>
  <c r="E53" i="172"/>
  <c r="K14" i="175"/>
  <c r="K26" i="175" s="1"/>
  <c r="K27" i="175" s="1"/>
  <c r="F44" i="267"/>
  <c r="H44" i="267" s="1"/>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23" i="241" s="1"/>
  <c r="J23" i="241" s="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G10" i="174"/>
  <c r="F38" i="182"/>
  <c r="F42" i="182" s="1"/>
  <c r="F44" i="182" s="1"/>
  <c r="F46" i="182" s="1"/>
  <c r="F48" i="182" s="1"/>
  <c r="D104" i="172"/>
  <c r="C79" i="172"/>
  <c r="B79" i="172" s="1"/>
  <c r="C171" i="335"/>
  <c r="D166" i="242"/>
  <c r="I76" i="242"/>
  <c r="J76" i="242" s="1"/>
  <c r="D171" i="326"/>
  <c r="D171" i="335"/>
  <c r="D171" i="242"/>
  <c r="C171" i="326"/>
  <c r="I152" i="242"/>
  <c r="J152" i="242" s="1"/>
  <c r="E75" i="242"/>
  <c r="E166" i="242" s="1"/>
  <c r="I117" i="242"/>
  <c r="J117" i="242" s="1"/>
  <c r="I148" i="242"/>
  <c r="J148" i="242" s="1"/>
  <c r="I103" i="242"/>
  <c r="J103" i="242" s="1"/>
  <c r="F7" i="335"/>
  <c r="F117" i="333"/>
  <c r="G7" i="333"/>
  <c r="I27" i="333"/>
  <c r="J27" i="333" s="1"/>
  <c r="F7" i="333"/>
  <c r="F75" i="333"/>
  <c r="I157" i="333"/>
  <c r="J157" i="333" s="1"/>
  <c r="G138" i="333"/>
  <c r="I138" i="333" s="1"/>
  <c r="J138" i="333" s="1"/>
  <c r="G117" i="333"/>
  <c r="I117" i="333" s="1"/>
  <c r="J117" i="333" s="1"/>
  <c r="I17" i="333"/>
  <c r="J17" i="333" s="1"/>
  <c r="F166" i="325"/>
  <c r="I154" i="242"/>
  <c r="J154" i="242" s="1"/>
  <c r="H7" i="180"/>
  <c r="I7" i="180" s="1"/>
  <c r="J7" i="180"/>
  <c r="H13" i="180"/>
  <c r="I13" i="180" s="1"/>
  <c r="H17" i="180"/>
  <c r="F38" i="181"/>
  <c r="F42" i="181" s="1"/>
  <c r="F44" i="181" s="1"/>
  <c r="G38" i="181"/>
  <c r="G42" i="181" s="1"/>
  <c r="G44" i="181" s="1"/>
  <c r="I36" i="181"/>
  <c r="J36" i="181" s="1"/>
  <c r="G102" i="318"/>
  <c r="G106" i="318"/>
  <c r="I83" i="318"/>
  <c r="J83" i="318" s="1"/>
  <c r="I46" i="318"/>
  <c r="J46" i="318" s="1"/>
  <c r="I45" i="269"/>
  <c r="J45" i="269" s="1"/>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2" i="241"/>
  <c r="J22" i="241" s="1"/>
  <c r="I21" i="241"/>
  <c r="J21" i="241" s="1"/>
  <c r="G16" i="241"/>
  <c r="I18" i="241"/>
  <c r="J18" i="241" s="1"/>
  <c r="F16" i="241"/>
  <c r="I14" i="241"/>
  <c r="J14" i="241" s="1"/>
  <c r="I13" i="241"/>
  <c r="J13" i="241" s="1"/>
  <c r="F10" i="241"/>
  <c r="G10" i="241"/>
  <c r="I11" i="241"/>
  <c r="J11" i="241" s="1"/>
  <c r="I27" i="330"/>
  <c r="J27" i="330" s="1"/>
  <c r="G26" i="330"/>
  <c r="B95" i="100"/>
  <c r="H7" i="335"/>
  <c r="H75" i="333"/>
  <c r="I76" i="333"/>
  <c r="J76" i="333" s="1"/>
  <c r="H75" i="325"/>
  <c r="I75" i="325" s="1"/>
  <c r="J75" i="325" s="1"/>
  <c r="H7" i="325"/>
  <c r="I8" i="326"/>
  <c r="J8" i="326" s="1"/>
  <c r="H7" i="326"/>
  <c r="H75" i="242"/>
  <c r="I29" i="181"/>
  <c r="J29" i="181" s="1"/>
  <c r="H38" i="181"/>
  <c r="H42" i="181" s="1"/>
  <c r="I22" i="181"/>
  <c r="J22" i="181" s="1"/>
  <c r="H102" i="318"/>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39" i="268"/>
  <c r="I160" i="324"/>
  <c r="H314" i="324"/>
  <c r="I23" i="324"/>
  <c r="J23" i="324" s="1"/>
  <c r="H7" i="268"/>
  <c r="I7" i="268" s="1"/>
  <c r="J7" i="268" s="1"/>
  <c r="H145" i="324"/>
  <c r="I6" i="268"/>
  <c r="I7" i="324"/>
  <c r="J7" i="324" s="1"/>
  <c r="H53" i="268"/>
  <c r="I53" i="268" s="1"/>
  <c r="J53" i="268" s="1"/>
  <c r="H36" i="182"/>
  <c r="I30" i="182"/>
  <c r="J30" i="182" s="1"/>
  <c r="G11" i="267"/>
  <c r="I207" i="323"/>
  <c r="J207" i="323" s="1"/>
  <c r="H25" i="272"/>
  <c r="I25" i="272" s="1"/>
  <c r="J25" i="272" s="1"/>
  <c r="I185" i="323"/>
  <c r="J185" i="323" s="1"/>
  <c r="H339" i="323"/>
  <c r="I186" i="323"/>
  <c r="J186" i="323" s="1"/>
  <c r="I17" i="323"/>
  <c r="J17" i="323" s="1"/>
  <c r="H7" i="272"/>
  <c r="H171" i="323"/>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178"/>
  <c r="A1" i="251"/>
  <c r="A1" i="323"/>
  <c r="A1" i="177"/>
  <c r="A1" i="182"/>
  <c r="A1" i="268"/>
  <c r="A1" i="272"/>
  <c r="A1" i="267"/>
  <c r="A1" i="324"/>
  <c r="A1" i="330"/>
  <c r="D64" i="100"/>
  <c r="J182" i="324" l="1"/>
  <c r="I27" i="268"/>
  <c r="J27" i="268" s="1"/>
  <c r="H17" i="174"/>
  <c r="E341" i="323"/>
  <c r="C248" i="330"/>
  <c r="C256" i="330"/>
  <c r="C50" i="241"/>
  <c r="D248" i="330"/>
  <c r="D50" i="241"/>
  <c r="F6" i="241"/>
  <c r="K247" i="330"/>
  <c r="K257" i="330" s="1"/>
  <c r="I24" i="272"/>
  <c r="I39" i="272" s="1"/>
  <c r="H46" i="267"/>
  <c r="I46" i="267" s="1"/>
  <c r="F166" i="335"/>
  <c r="G166" i="325"/>
  <c r="G63" i="270"/>
  <c r="G20" i="241"/>
  <c r="G26" i="241" s="1"/>
  <c r="A1" i="269"/>
  <c r="A1" i="333"/>
  <c r="A1" i="318"/>
  <c r="A1" i="238"/>
  <c r="G166" i="335"/>
  <c r="I7" i="325"/>
  <c r="J7" i="325" s="1"/>
  <c r="G64" i="269"/>
  <c r="I7" i="333"/>
  <c r="J7" i="333" s="1"/>
  <c r="A1" i="326"/>
  <c r="A1" i="183"/>
  <c r="A1" i="270"/>
  <c r="A1" i="173"/>
  <c r="A1" i="335"/>
  <c r="A1" i="334"/>
  <c r="I7" i="335"/>
  <c r="J7" i="335" s="1"/>
  <c r="I75" i="333"/>
  <c r="J75" i="333" s="1"/>
  <c r="I102" i="318"/>
  <c r="J102" i="318" s="1"/>
  <c r="F104" i="318"/>
  <c r="J171" i="324"/>
  <c r="H29" i="267"/>
  <c r="I29" i="267" s="1"/>
  <c r="A1" i="180"/>
  <c r="G341" i="323"/>
  <c r="K40" i="268"/>
  <c r="J28" i="267" s="1"/>
  <c r="J20" i="267"/>
  <c r="J23" i="267" s="1"/>
  <c r="J25" i="267" s="1"/>
  <c r="H26" i="174"/>
  <c r="H28" i="174"/>
  <c r="K341" i="323"/>
  <c r="K40" i="272"/>
  <c r="B30" i="172"/>
  <c r="F9" i="180"/>
  <c r="F10" i="180" s="1"/>
  <c r="F11" i="180" s="1"/>
  <c r="F12" i="180" s="1"/>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I16" i="241"/>
  <c r="J16" i="241" s="1"/>
  <c r="F26" i="241"/>
  <c r="I10" i="241"/>
  <c r="J10" i="241" s="1"/>
  <c r="H166" i="335"/>
  <c r="H166" i="325"/>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J24" i="272"/>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E171" i="242" l="1"/>
  <c r="E171" i="335"/>
  <c r="E171" i="326"/>
  <c r="I166" i="325"/>
  <c r="J166" i="325" s="1"/>
  <c r="B34" i="172"/>
  <c r="H12" i="180"/>
  <c r="I12" i="180" s="1"/>
  <c r="J12" i="180"/>
  <c r="I166" i="335"/>
  <c r="J166" i="335" s="1"/>
  <c r="H11" i="180"/>
  <c r="B33" i="172"/>
  <c r="J11" i="180"/>
  <c r="I11" i="180"/>
  <c r="B32" i="172"/>
  <c r="J10" i="180"/>
  <c r="H10" i="180"/>
  <c r="I10" i="180" s="1"/>
  <c r="I341" i="323"/>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<sst xmlns="http://schemas.openxmlformats.org/spreadsheetml/2006/main" count="3001" uniqueCount="1476">
  <si>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</si>
  <si>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</si>
  <si>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</si>
  <si>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</si>
  <si>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</si>
  <si>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</si>
  <si>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</si>
  <si>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</si>
  <si>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</si>
  <si>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</si>
  <si>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</si>
  <si>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</si>
  <si>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</si>
  <si>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</si>
  <si>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</si>
  <si>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</si>
  <si>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</si>
  <si>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</si>
  <si>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</si>
  <si>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</si>
  <si>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</si>
  <si>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</si>
  <si>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</si>
  <si>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</si>
  <si>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</si>
  <si>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</si>
  <si>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</si>
  <si>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</si>
  <si>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</si>
  <si>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</si>
  <si>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</si>
  <si>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</si>
  <si>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</si>
  <si>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</si>
  <si>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</si>
  <si>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</si>
  <si>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</si>
  <si>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</si>
  <si>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</si>
  <si>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</si>
  <si>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</si>
  <si>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</si>
  <si>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</si>
  <si>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</si>
  <si>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</si>
  <si>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</si>
  <si>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</si>
  <si>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</si>
  <si>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</si>
  <si>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</si>
  <si>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</si>
  <si>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</si>
  <si>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</si>
  <si>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</si>
  <si>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</si>
  <si>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</si>
  <si>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</si>
  <si>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</si>
  <si>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</si>
  <si>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</si>
  <si>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</si>
  <si>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</si>
  <si>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</si>
  <si>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</si>
  <si>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</si>
  <si>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</si>
  <si>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</si>
  <si>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</si>
  <si>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</si>
  <si>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</si>
  <si>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</si>
  <si>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</si>
  <si>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</si>
  <si>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</si>
  <si>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</si>
  <si>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</si>
  <si>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</si>
  <si>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</si>
  <si>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</si>
  <si>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</si>
  <si>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</si>
  <si>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</si>
  <si>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</si>
  <si>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</si>
  <si>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</si>
  <si>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</si>
  <si>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</si>
  <si>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</si>
  <si>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</si>
  <si>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</si>
  <si>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</si>
  <si>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</si>
  <si>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</si>
  <si>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</si>
  <si>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</si>
  <si>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</si>
  <si>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</si>
  <si>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</si>
  <si>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</si>
  <si>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</si>
  <si>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</si>
  <si>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</si>
  <si>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</si>
  <si>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</si>
  <si>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</si>
  <si>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</si>
  <si>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</si>
  <si>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</si>
  <si>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</si>
  <si>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</si>
  <si>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</si>
  <si>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</si>
  <si>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</si>
  <si>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</si>
  <si>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</si>
  <si>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</si>
  <si>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</si>
  <si>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</si>
  <si>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</si>
  <si>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</si>
  <si>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</si>
  <si>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</si>
  <si>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</si>
  <si>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</si>
  <si>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</si>
  <si>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</si>
  <si>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</si>
  <si>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</si>
  <si>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</si>
  <si>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</si>
  <si>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</si>
  <si>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</si>
  <si>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</si>
  <si>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</si>
  <si>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</si>
  <si>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</si>
  <si>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</si>
  <si>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</si>
  <si>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</si>
  <si>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</si>
  <si>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</si>
  <si>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</si>
  <si>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</si>
  <si>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</si>
  <si>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</si>
  <si>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</si>
  <si>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</si>
  <si>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</si>
  <si>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</si>
  <si>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</si>
  <si>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</si>
  <si>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</si>
  <si>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</si>
  <si>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</si>
  <si>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</si>
  <si>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</si>
  <si>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</si>
  <si>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</si>
  <si>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</si>
  <si>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</si>
  <si>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</si>
  <si>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</si>
  <si>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</si>
  <si>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</si>
  <si>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</si>
  <si>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</si>
  <si>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</si>
  <si>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</si>
  <si>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</si>
  <si>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</si>
  <si>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</si>
  <si>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</si>
  <si>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</si>
  <si>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</si>
  <si>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</si>
  <si>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</si>
  <si>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</si>
  <si>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</si>
  <si>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</si>
  <si>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</si>
  <si>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</si>
  <si>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</si>
  <si>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</si>
  <si>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</si>
  <si>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</si>
  <si>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</si>
  <si>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</si>
  <si>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</si>
  <si>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</si>
  <si>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</si>
  <si>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</si>
  <si>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</si>
  <si>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</si>
  <si>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</si>
  <si>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</si>
  <si>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</si>
  <si>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</si>
  <si>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</si>
  <si>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</si>
  <si>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</si>
  <si>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</si>
  <si>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</si>
  <si>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</si>
  <si>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</si>
  <si>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</si>
  <si>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</si>
  <si>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</si>
  <si>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</si>
  <si>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</si>
  <si>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</si>
  <si>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</si>
  <si>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</si>
  <si>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</si>
  <si>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</si>
  <si>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</si>
  <si>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</si>
  <si>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</si>
  <si>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</si>
  <si>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</si>
  <si>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</si>
  <si>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</si>
  <si>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</si>
  <si>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</si>
  <si>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</si>
  <si>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</si>
  <si>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</si>
  <si>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</si>
  <si>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</si>
  <si>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</si>
  <si>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</si>
  <si>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</si>
  <si>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</si>
  <si>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</si>
  <si>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</si>
  <si>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</si>
  <si>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</si>
  <si>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</si>
  <si>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</si>
  <si>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</si>
  <si>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</si>
  <si>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</si>
  <si>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</si>
  <si>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</si>
  <si>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</si>
  <si>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</si>
  <si>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</si>
  <si>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</si>
  <si>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</si>
  <si>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</si>
  <si>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</si>
  <si>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</si>
  <si>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</si>
  <si>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</si>
  <si>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</si>
  <si>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</si>
  <si>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</si>
  <si>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</si>
  <si>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</si>
  <si>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</si>
  <si>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</si>
  <si>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</si>
  <si>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</si>
  <si>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</si>
  <si>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</si>
  <si>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</si>
  <si>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</si>
  <si>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</si>
  <si>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</si>
  <si>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</si>
  <si>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</si>
  <si>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</si>
  <si>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</si>
  <si>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</si>
  <si>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</si>
  <si>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</si>
  <si>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</si>
  <si>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</si>
  <si>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</si>
  <si>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</si>
  <si>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</si>
  <si>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</si>
  <si>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</si>
  <si>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</si>
  <si>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</si>
  <si>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</si>
  <si>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</si>
  <si>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</si>
  <si>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</si>
  <si>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</si>
  <si>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</si>
  <si>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</si>
  <si>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</si>
  <si>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</si>
  <si>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</si>
  <si>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</si>
  <si>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</si>
  <si>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</si>
  <si>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</si>
  <si>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</si>
  <si>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</si>
  <si>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</si>
  <si>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</si>
  <si>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</si>
  <si>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</si>
  <si>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</si>
  <si>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</si>
  <si>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</si>
  <si>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</si>
  <si>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</si>
  <si>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</si>
  <si>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</si>
  <si>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</si>
  <si>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</si>
  <si>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</si>
  <si>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</si>
  <si>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</si>
  <si>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</si>
  <si>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</si>
  <si>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</si>
  <si>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</si>
  <si>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</si>
  <si>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</si>
  <si>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</si>
  <si>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</si>
  <si>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</si>
  <si>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</si>
  <si>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</si>
  <si>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</si>
  <si>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</si>
  <si>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</si>
  <si>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</si>
  <si>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</si>
  <si>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</si>
  <si>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</si>
  <si>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</si>
  <si>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</si>
  <si>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</si>
  <si>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</si>
  <si>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</si>
  <si>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</si>
  <si>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</si>
  <si>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</si>
  <si>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</si>
  <si>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</si>
  <si>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</si>
  <si>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</si>
  <si>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</si>
  <si>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</si>
  <si>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</si>
  <si>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</si>
  <si>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</si>
  <si>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</si>
  <si>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</si>
  <si>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</si>
  <si>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</si>
  <si>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</si>
  <si>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</si>
  <si>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</si>
  <si>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</si>
  <si>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</si>
  <si>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</si>
  <si>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</si>
  <si>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</si>
  <si>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</si>
  <si>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</si>
  <si>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</si>
  <si>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</si>
  <si>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</si>
  <si>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</si>
  <si>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</si>
  <si>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</si>
  <si>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</si>
  <si>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</si>
  <si>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</si>
  <si>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</si>
  <si>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</si>
  <si>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</si>
  <si>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</si>
  <si>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</si>
  <si>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</si>
  <si>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</si>
  <si>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</si>
  <si>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</si>
  <si>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</si>
  <si>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</si>
  <si>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</si>
  <si>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</si>
  <si>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</si>
  <si>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</si>
  <si>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</si>
  <si>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</si>
  <si>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</si>
  <si>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</si>
  <si>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</si>
  <si>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</si>
  <si>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</si>
  <si>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</si>
  <si>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</si>
  <si>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</si>
  <si>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</si>
  <si>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</si>
  <si>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</si>
  <si>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</si>
  <si>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</si>
  <si>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</si>
  <si>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</si>
  <si>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</si>
  <si>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</si>
  <si>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</si>
  <si>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</si>
  <si>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</si>
  <si>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</si>
  <si>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</si>
  <si>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</si>
  <si>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</si>
  <si>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</si>
  <si>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</si>
  <si>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</si>
  <si>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</si>
  <si>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</si>
  <si>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</si>
  <si>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</si>
  <si>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</si>
  <si>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</si>
  <si>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</si>
  <si>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</si>
  <si>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</si>
  <si>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</si>
  <si>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</si>
  <si>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</si>
  <si>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</si>
  <si>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</si>
  <si>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</si>
  <si>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</si>
  <si>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</si>
  <si>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</si>
  <si>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</si>
  <si>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</si>
  <si>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</si>
  <si>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</si>
  <si>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</si>
  <si>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</si>
  <si>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</si>
  <si>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</si>
  <si>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</si>
  <si>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</si>
  <si>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</si>
  <si>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</si>
  <si>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</si>
  <si>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</si>
  <si>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</si>
  <si>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</si>
  <si>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</si>
  <si>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</si>
  <si>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</si>
  <si>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</si>
  <si>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</si>
  <si>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</si>
  <si>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</si>
  <si>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</si>
  <si>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</si>
  <si>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</si>
  <si>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</si>
  <si>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</si>
  <si>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</si>
  <si>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</si>
  <si>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</si>
  <si>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</si>
  <si>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</si>
  <si>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</si>
  <si>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</si>
  <si>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</si>
  <si>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</si>
  <si>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</si>
  <si>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</si>
  <si>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</si>
  <si>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</si>
  <si>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</si>
  <si>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</si>
  <si>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</si>
  <si>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</si>
  <si>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</si>
  <si>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</si>
  <si>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</si>
  <si>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</si>
  <si>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</si>
  <si>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</si>
  <si>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</si>
  <si>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</si>
  <si>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</si>
  <si>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</si>
  <si>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</si>
  <si>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</si>
  <si>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</si>
  <si>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</si>
  <si>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</si>
  <si>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</si>
  <si>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</si>
  <si>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</si>
  <si>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</si>
  <si>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</si>
  <si>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</si>
  <si>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</si>
  <si>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</si>
  <si>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</si>
  <si>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</si>
  <si>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</si>
  <si>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</si>
  <si>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</si>
  <si>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</si>
  <si>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</si>
  <si>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</si>
  <si>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</si>
  <si>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</si>
  <si>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</si>
  <si>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</si>
  <si>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</si>
  <si>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</si>
  <si>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</si>
  <si>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</si>
  <si>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</si>
  <si>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</si>
  <si>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</si>
  <si>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</si>
  <si>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</si>
  <si>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</si>
  <si>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</si>
  <si>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</si>
  <si>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</si>
  <si>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</si>
  <si>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</si>
  <si>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</si>
  <si>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</si>
  <si>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</si>
  <si>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</si>
  <si>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</si>
  <si>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</si>
  <si>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</si>
  <si>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</si>
  <si>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</si>
  <si>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</si>
  <si>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</si>
  <si>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</si>
  <si>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</si>
  <si>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</si>
  <si>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</si>
  <si>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</si>
  <si>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</si>
  <si>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</si>
  <si>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</si>
  <si>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</si>
  <si>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</si>
  <si>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</si>
  <si>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</si>
  <si>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</si>
  <si>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</si>
  <si>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</si>
  <si>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</si>
  <si>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</si>
  <si>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</si>
  <si>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</si>
  <si>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</si>
  <si>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</si>
  <si>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</si>
  <si>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</si>
  <si>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</si>
  <si>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</si>
  <si>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</si>
  <si>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</si>
  <si>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</si>
  <si>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</si>
  <si>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</si>
  <si>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</si>
  <si>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</si>
  <si>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</si>
  <si>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</si>
  <si>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</si>
  <si>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</si>
  <si>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</si>
  <si>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</si>
  <si>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</si>
  <si>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</si>
  <si>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</si>
  <si>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</si>
  <si>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</si>
  <si>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</si>
  <si>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</si>
  <si>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</si>
  <si>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</si>
  <si>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</si>
  <si>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</si>
  <si>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</si>
  <si>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</si>
  <si>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</si>
  <si>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</si>
  <si>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</si>
  <si>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</si>
  <si>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</si>
  <si>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</si>
  <si>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</si>
  <si>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</si>
  <si>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</si>
  <si>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</si>
  <si>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</si>
  <si>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</si>
  <si>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</si>
  <si>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</si>
  <si>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</si>
  <si>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</si>
  <si>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</si>
  <si>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</si>
  <si>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</si>
  <si>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</si>
  <si>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</si>
  <si>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</si>
  <si>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</si>
  <si>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</si>
  <si>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</si>
  <si>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</si>
  <si>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</si>
  <si>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</si>
  <si>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</si>
  <si>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</si>
  <si>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</si>
  <si>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</si>
  <si>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</si>
  <si>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</si>
  <si>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</si>
  <si>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</si>
  <si>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</si>
  <si>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</si>
  <si>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</si>
  <si>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</si>
  <si>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</si>
  <si>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</si>
  <si>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</si>
  <si>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</si>
  <si>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</si>
  <si>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</si>
  <si>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</si>
  <si>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</si>
  <si>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</si>
  <si>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</si>
  <si>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</si>
  <si>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</si>
  <si>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</si>
  <si>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</si>
  <si>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</si>
  <si>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</si>
  <si>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</si>
  <si>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</si>
  <si>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</si>
  <si>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</si>
  <si>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</si>
  <si>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</si>
  <si>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</si>
  <si>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</si>
  <si>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</si>
  <si>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</si>
  <si>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</si>
  <si>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</si>
  <si>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</si>
  <si>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</si>
  <si>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</si>
  <si>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</si>
  <si>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</si>
  <si>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</si>
  <si>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</si>
  <si>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</si>
  <si>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</si>
  <si>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</si>
  <si>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</si>
  <si>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</si>
  <si>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</si>
  <si>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</si>
  <si>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</si>
  <si>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</si>
  <si>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</si>
  <si>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</si>
  <si>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</si>
  <si>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</si>
  <si>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</si>
  <si>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</si>
  <si>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</si>
  <si>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</si>
  <si>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</si>
  <si>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</si>
  <si>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</si>
  <si>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</si>
  <si>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</si>
  <si>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</si>
  <si>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</si>
  <si>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</si>
  <si>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</si>
  <si>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</si>
  <si>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</si>
  <si>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</si>
  <si>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</si>
  <si>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</si>
  <si>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</si>
  <si>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</si>
  <si>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</si>
  <si>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</si>
  <si>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</si>
  <si>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</si>
  <si>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</si>
  <si>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</si>
  <si>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</si>
  <si>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</si>
  <si>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</si>
  <si>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</si>
  <si>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</si>
  <si>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</si>
  <si>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</si>
  <si>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</si>
  <si>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</si>
  <si>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</si>
  <si>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</si>
  <si>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</si>
  <si>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</si>
  <si>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</si>
  <si>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</si>
  <si>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</si>
  <si>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</si>
  <si>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</si>
  <si>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</si>
  <si>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</si>
  <si>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</si>
  <si>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</si>
  <si>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</si>
  <si>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</si>
  <si>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</si>
  <si>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</si>
  <si>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</si>
  <si>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</si>
  <si>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</si>
  <si>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</si>
  <si>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</si>
  <si>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</si>
  <si>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</si>
  <si>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</si>
  <si>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</si>
  <si>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</si>
  <si>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</si>
  <si>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</si>
  <si>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</si>
  <si>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</si>
  <si>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</si>
  <si>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</si>
  <si>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</si>
  <si>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</si>
  <si>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</si>
  <si>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</si>
  <si>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</si>
  <si>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</si>
  <si>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</si>
  <si>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</si>
  <si>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</si>
  <si>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</si>
  <si>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</si>
  <si>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</si>
  <si>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</si>
  <si>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</si>
  <si>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</si>
  <si>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</si>
  <si>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</si>
  <si>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</si>
  <si>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</si>
  <si>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</si>
  <si>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</si>
  <si>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</si>
  <si>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</si>
  <si>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</si>
  <si>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</si>
  <si>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</si>
  <si>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</si>
  <si>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</si>
  <si>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</si>
  <si>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</si>
  <si>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</si>
  <si>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</si>
  <si>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</si>
  <si>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</si>
  <si>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</si>
  <si>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</si>
  <si>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</si>
  <si>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</si>
  <si>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</si>
  <si>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</si>
  <si>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</si>
  <si>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</si>
  <si>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</si>
  <si>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</si>
  <si>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</si>
  <si>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</si>
  <si>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</si>
  <si>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</si>
  <si>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</si>
  <si>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</si>
  <si>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</si>
  <si>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</si>
  <si>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</si>
  <si>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</si>
  <si>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</si>
  <si>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</si>
  <si>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</si>
  <si>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</si>
  <si>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</si>
  <si>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</si>
  <si>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</si>
  <si>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</si>
  <si>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</si>
  <si>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</si>
  <si>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</si>
  <si>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</si>
  <si>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</si>
  <si>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</si>
  <si>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</si>
  <si>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</si>
  <si>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</si>
  <si>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</si>
  <si>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</si>
  <si>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</si>
  <si>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</si>
  <si>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</si>
  <si>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</si>
  <si>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</si>
  <si>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</si>
  <si>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</si>
  <si>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</si>
  <si>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</si>
  <si>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</si>
  <si>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</si>
  <si>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</si>
  <si>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</si>
  <si>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</si>
  <si>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</si>
  <si>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</si>
  <si>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</si>
  <si>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</si>
  <si>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</si>
  <si>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</si>
  <si>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</si>
  <si>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</si>
  <si>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</si>
  <si>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</si>
  <si>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</si>
  <si>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</si>
  <si>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</si>
  <si>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</si>
  <si>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</si>
  <si>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</si>
  <si>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</si>
  <si>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</si>
  <si>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</si>
  <si>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</si>
  <si>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</si>
  <si>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</si>
  <si>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</si>
  <si>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</si>
  <si>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</si>
  <si>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</si>
  <si>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</si>
  <si>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</si>
  <si>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</si>
  <si>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</si>
  <si>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</si>
  <si>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</si>
  <si>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</si>
  <si>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</si>
  <si>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</si>
  <si>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</si>
  <si>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</si>
  <si>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</si>
  <si>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</si>
  <si>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</si>
  <si>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</si>
  <si>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</si>
  <si>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</si>
  <si>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</si>
  <si>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</si>
  <si>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</si>
  <si>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</si>
  <si>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</si>
  <si>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</si>
  <si>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</si>
  <si>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</si>
  <si>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</si>
  <si>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</si>
  <si>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</si>
  <si>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</si>
  <si>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</si>
  <si>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</si>
  <si>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</si>
  <si>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</si>
  <si>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</si>
  <si>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</si>
  <si>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</si>
  <si>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</si>
  <si>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</si>
  <si>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</si>
  <si>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</si>
  <si>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</si>
  <si>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</si>
  <si>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</si>
  <si>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</si>
  <si>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</si>
  <si>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</si>
  <si>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</si>
  <si>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</si>
  <si>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</si>
  <si>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</si>
  <si>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</si>
  <si>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</si>
  <si>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</si>
  <si>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</si>
  <si>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</si>
  <si>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</si>
  <si>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</si>
  <si>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</si>
  <si>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</si>
  <si>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</si>
  <si>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</si>
  <si>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</si>
  <si>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</si>
  <si>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</si>
  <si>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</si>
  <si>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</si>
  <si>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</si>
  <si>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</si>
  <si>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</si>
  <si>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</si>
  <si>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</si>
  <si>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</si>
  <si>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</si>
  <si>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</si>
  <si>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</si>
  <si>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</si>
  <si>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</si>
  <si>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</si>
  <si>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</si>
  <si>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</si>
  <si>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</si>
  <si>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</si>
  <si>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</si>
  <si>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</si>
  <si>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</si>
  <si>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</si>
  <si>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</si>
  <si>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</si>
  <si>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</si>
  <si>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</si>
  <si>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</si>
  <si>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</si>
  <si>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</si>
  <si>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</si>
  <si>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</si>
  <si>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</si>
  <si>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</si>
  <si>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</si>
  <si>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</si>
  <si>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</si>
  <si>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</si>
  <si>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</si>
  <si>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</si>
  <si>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</si>
  <si>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</si>
  <si>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</si>
  <si>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</si>
  <si>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</si>
  <si>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</si>
  <si>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</si>
  <si>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</si>
  <si>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</si>
  <si>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</si>
  <si>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</si>
  <si>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</si>
  <si>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</si>
  <si>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</si>
  <si>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</si>
  <si>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</si>
  <si>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</si>
  <si>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</si>
  <si>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</si>
  <si>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</si>
  <si>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</si>
  <si>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</si>
  <si>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</si>
  <si>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</si>
  <si>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</si>
  <si>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</si>
  <si>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</si>
  <si>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</si>
  <si>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</si>
  <si>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</si>
  <si>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</si>
  <si>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</si>
  <si>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</si>
  <si>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</si>
  <si>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</si>
  <si>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</si>
  <si>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</si>
  <si>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</si>
  <si>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</si>
  <si>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</si>
  <si>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</si>
  <si>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</si>
  <si>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</si>
  <si>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</si>
  <si>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</si>
  <si>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</si>
  <si>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</si>
  <si>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</si>
  <si>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</si>
  <si>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</si>
  <si>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</si>
  <si>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</si>
  <si>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</si>
  <si>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</si>
  <si>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</si>
  <si>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</si>
  <si>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</si>
  <si>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</si>
  <si>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</si>
  <si>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</si>
  <si>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</si>
  <si>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</si>
  <si>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</si>
  <si>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</si>
  <si>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</si>
  <si>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</si>
  <si>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</si>
  <si>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</si>
  <si>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</si>
  <si>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</si>
  <si>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</si>
  <si>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</si>
  <si>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</si>
  <si>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</si>
  <si>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</si>
  <si>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</si>
  <si>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</si>
  <si>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</si>
  <si>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</si>
  <si>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</si>
  <si>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</si>
  <si>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</si>
  <si>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</si>
  <si>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</si>
  <si>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</si>
  <si>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</si>
  <si>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</si>
  <si>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</si>
  <si>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</si>
  <si>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</si>
  <si>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</si>
  <si>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</si>
  <si>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</si>
  <si>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</si>
  <si>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</si>
  <si>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</si>
  <si>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</si>
  <si>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</si>
  <si>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</si>
  <si>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</si>
  <si>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</si>
  <si>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</si>
  <si>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</si>
  <si>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</si>
  <si>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</si>
  <si>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</si>
  <si>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</si>
  <si>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</si>
  <si>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</si>
  <si>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</si>
  <si>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</si>
  <si>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</si>
  <si>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</si>
  <si>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</si>
  <si>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</si>
  <si>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</si>
  <si>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</si>
  <si>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</si>
  <si>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</si>
  <si>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</si>
  <si>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</si>
  <si>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</si>
  <si>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</si>
  <si>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</si>
  <si>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</si>
  <si>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</si>
  <si>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</si>
  <si>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</si>
  <si>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</si>
  <si>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</si>
  <si>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</si>
  <si>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</si>
  <si>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</si>
  <si>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</si>
  <si>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</si>
  <si>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</si>
  <si>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</si>
  <si>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</si>
  <si>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</si>
  <si>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</si>
  <si>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</si>
  <si>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</si>
  <si>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</si>
  <si>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</si>
  <si>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</si>
  <si>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</si>
  <si>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</si>
  <si>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</si>
  <si>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</si>
  <si>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</si>
  <si>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</si>
  <si>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</si>
  <si>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</si>
  <si>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</si>
  <si>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</si>
  <si>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</si>
  <si>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</si>
  <si>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</si>
  <si>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</si>
  <si>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</si>
  <si>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</si>
  <si>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</si>
  <si>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</si>
  <si>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</si>
  <si>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</si>
  <si>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</si>
  <si>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</si>
  <si>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</si>
  <si>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</si>
  <si>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</si>
  <si>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</si>
  <si>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</si>
  <si>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</si>
  <si>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</si>
  <si>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</si>
  <si>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</si>
  <si>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</si>
  <si>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</si>
  <si>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</si>
  <si>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</si>
  <si>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</si>
  <si>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</si>
  <si>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</si>
  <si>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</si>
  <si>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</si>
  <si>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</si>
  <si>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</si>
  <si>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</si>
  <si>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</si>
  <si>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</si>
  <si>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</si>
  <si>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</si>
  <si>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</si>
  <si>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</si>
  <si>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</si>
  <si>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</si>
  <si>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</si>
  <si>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</si>
  <si>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</si>
  <si>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</si>
  <si>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</si>
  <si>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</si>
  <si>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</si>
  <si>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</si>
  <si>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</si>
  <si>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</si>
  <si>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</si>
  <si>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</si>
  <si>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</si>
  <si>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</si>
  <si>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</si>
  <si>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</si>
  <si>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</si>
  <si>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</si>
  <si>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</si>
  <si>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</si>
  <si>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</si>
  <si>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</si>
  <si>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</si>
  <si>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</si>
  <si>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</si>
  <si>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</si>
  <si>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</si>
  <si>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</si>
  <si>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</si>
  <si>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</si>
  <si>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</si>
  <si>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</si>
  <si>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</si>
  <si>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</si>
  <si>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</si>
  <si>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</si>
  <si>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</si>
  <si>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</si>
  <si>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</si>
  <si>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</si>
  <si>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</si>
  <si>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</si>
  <si>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</si>
  <si>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</si>
  <si>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</si>
  <si>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</si>
  <si>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</si>
  <si>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</si>
  <si>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</si>
  <si>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</si>
  <si>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</si>
  <si>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</si>
  <si>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</si>
  <si>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</si>
  <si>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</si>
  <si>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</si>
  <si>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</si>
  <si>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</si>
  <si>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</si>
  <si>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</si>
  <si>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</si>
  <si>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</si>
  <si>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</si>
  <si>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</si>
  <si>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</si>
  <si>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</si>
  <si>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</si>
  <si>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</si>
  <si>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</si>
  <si>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</si>
  <si>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</si>
  <si>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</si>
  <si>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</si>
  <si>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</si>
  <si>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</si>
  <si>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</si>
  <si>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</si>
  <si>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</si>
  <si>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</si>
  <si>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</si>
  <si>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</si>
  <si>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</si>
  <si>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</si>
  <si>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</si>
  <si>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</si>
  <si>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</si>
  <si>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</si>
  <si>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</si>
  <si>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</si>
  <si>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</si>
  <si>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</si>
  <si>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</si>
  <si>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</si>
  <si>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</si>
  <si>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</si>
  <si>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</si>
  <si>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</si>
  <si>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</si>
  <si>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</si>
  <si>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</si>
  <si>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</si>
  <si>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</si>
  <si>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</si>
  <si>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</si>
  <si>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</si>
  <si>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</si>
  <si>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</si>
  <si>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</si>
  <si>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</si>
  <si>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</si>
  <si>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</si>
  <si>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</si>
  <si>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</si>
  <si>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</si>
  <si>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</si>
  <si>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</si>
  <si>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</si>
  <si>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</si>
  <si>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</si>
  <si>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</si>
  <si>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</si>
  <si>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</si>
  <si>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</si>
  <si>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</si>
  <si>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</si>
  <si>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</si>
  <si>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</si>
  <si>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</si>
  <si>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</si>
  <si>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</si>
  <si>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</si>
  <si>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</si>
  <si>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</si>
  <si>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</si>
  <si>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</si>
  <si>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</si>
  <si>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</si>
  <si>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</si>
  <si>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</si>
  <si>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</si>
  <si>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</si>
  <si>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</si>
  <si>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</si>
  <si>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</si>
  <si>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</si>
  <si>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</si>
  <si>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</si>
  <si>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</si>
  <si>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</si>
  <si>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</si>
  <si>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</si>
  <si>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</si>
  <si>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</si>
  <si>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</si>
  <si>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</si>
  <si>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</si>
  <si>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</si>
  <si>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</si>
  <si>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</si>
  <si>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</si>
  <si>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</si>
  <si>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</si>
  <si>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</si>
  <si>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</si>
  <si>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</si>
  <si>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</si>
  <si>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</si>
  <si>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</si>
  <si>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</si>
  <si>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</si>
  <si>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</si>
  <si>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</si>
  <si>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</si>
  <si>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</si>
  <si>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</si>
  <si>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</si>
  <si>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</si>
  <si>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</si>
  <si>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</si>
  <si>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</si>
  <si>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</si>
  <si>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</si>
  <si>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</si>
  <si>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</si>
  <si>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</si>
  <si>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</si>
  <si>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</si>
  <si>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</si>
  <si>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</si>
  <si>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</si>
  <si>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</si>
  <si>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</si>
  <si>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</si>
  <si>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</si>
  <si>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</si>
  <si>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</si>
  <si>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</si>
  <si>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</si>
  <si>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</si>
  <si>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</si>
  <si>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</si>
  <si>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</si>
  <si>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</si>
  <si>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</si>
  <si>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</si>
  <si>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</si>
  <si>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</si>
  <si>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</si>
  <si>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</si>
  <si>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</si>
  <si>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</si>
  <si>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</si>
  <si>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</si>
  <si>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</si>
  <si>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</si>
  <si>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</si>
  <si>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</si>
  <si>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</si>
  <si>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</si>
  <si>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</si>
  <si>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</si>
  <si>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</si>
  <si>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</si>
  <si>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</si>
  <si>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</si>
  <si>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</si>
  <si>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</si>
  <si>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</si>
  <si>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</si>
  <si>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</si>
  <si>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</si>
  <si>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</si>
  <si>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</si>
  <si>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</si>
  <si>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</si>
  <si>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</si>
  <si>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</si>
  <si>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</si>
  <si>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</si>
  <si>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</si>
  <si>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</si>
  <si>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</si>
  <si>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</si>
  <si>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</si>
  <si>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</si>
  <si>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</si>
  <si>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</si>
  <si>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</si>
  <si>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</si>
  <si>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</si>
  <si>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</si>
  <si>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</si>
  <si>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</si>
  <si>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</si>
  <si>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</si>
  <si>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</si>
  <si>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</si>
  <si>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</si>
  <si>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</si>
  <si>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</si>
  <si>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</si>
  <si>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</si>
  <si>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</si>
  <si>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</si>
  <si>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</si>
  <si>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</si>
  <si>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</si>
  <si>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</si>
  <si>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</si>
  <si>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</si>
  <si>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</si>
  <si>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</si>
  <si>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</si>
  <si>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</si>
  <si>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</si>
  <si>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</si>
  <si>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</si>
  <si>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</si>
  <si>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</si>
  <si>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</si>
  <si>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</si>
  <si>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</si>
  <si>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</si>
  <si>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</si>
  <si>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</si>
  <si>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</si>
  <si>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</si>
  <si>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</si>
  <si>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</si>
  <si>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</si>
  <si>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</si>
  <si>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</si>
  <si>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</si>
  <si>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</si>
  <si>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</si>
  <si>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</si>
  <si>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</si>
  <si>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</si>
  <si>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</si>
  <si>
    <t>Pietermaritzburg</t>
  </si>
  <si>
    <t>Private Bag X321</t>
  </si>
  <si>
    <t>Professor Nyembezi</t>
  </si>
  <si>
    <t>341 Church St</t>
  </si>
  <si>
    <t>http://www.msunduzi.gov.za/</t>
  </si>
  <si>
    <t>call.centre@msunduzi.gov.za</t>
  </si>
  <si>
    <t> Nontokozo.Mazibuko@msunduzi.gov.za</t>
  </si>
  <si>
    <t>M Thebolla</t>
  </si>
  <si>
    <t> Ashreena.Jethoo@msunduzi.gov.za</t>
  </si>
  <si>
    <t>M Inderjit</t>
  </si>
  <si>
    <t> Nonhlanhla.mkhize@msunduzi.gov.za</t>
  </si>
  <si>
    <t>N Majola</t>
  </si>
  <si>
    <t>Economic development tourism</t>
  </si>
  <si>
    <t>Capital Provincial KZN Treausry</t>
  </si>
  <si>
    <t xml:space="preserve">Housing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</si>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</sst>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_(* \(#,##0.00\);_(* &quot;-&quot;??_);_(@_)"/>
    <numFmt numFmtId="165" formatCode="_ * #,##0.00_ ;_ * \-#,##0.00_ ;_ * &quot;-&quot;??_ ;_ @_ "/>
    <numFmt numFmtId="166" formatCode="_ * #,##0_ ;_ * \-#,##0_ ;_ * &quot;-&quot;??_ ;_ @_ "/>
    <numFmt numFmtId="167" formatCode="_ * #,##0.0_ ;_ * \-#,##0.0_ ;_ * &quot;-&quot;??_ ;_ @_ "/>
    <numFmt numFmtId="168" formatCode="#,###,;[Red]\(#,###,\)"/>
    <numFmt numFmtId="169" formatCode="0.0%"/>
    <numFmt numFmtId="170" formatCode="#,###,;\(#,###,\)"/>
    <numFmt numFmtId="171" formatCode="#,###,,;\(#,###,,\)"/>
    <numFmt numFmtId="172" formatCode="_(* #,##0,,_);_(* \(#,##0,,\);_(* &quot;–&quot;?_);_(@_)"/>
    <numFmt numFmtId="173" formatCode="_(* #,##0,_);_(* \(#,##0,\);_(* &quot;–&quot;?_);_(@_)"/>
    <numFmt numFmtId="174" formatCode="0%;\-0%;_(* &quot;–&quot;?_);_(@_)"/>
    <numFmt numFmtId="175" formatCode="m/d/yy;@"/>
    <numFmt numFmtId="176" formatCode="0000"/>
    <numFmt numFmtId="177"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2">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2" fontId="6" fillId="0" borderId="22" xfId="0" applyNumberFormat="1" applyFont="1" applyBorder="1"/>
    <xf numFmtId="172" fontId="6" fillId="0" borderId="23" xfId="0" applyNumberFormat="1" applyFont="1" applyBorder="1"/>
    <xf numFmtId="0" fontId="6" fillId="0" borderId="17" xfId="0" applyFont="1" applyBorder="1"/>
    <xf numFmtId="172"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70" fontId="6" fillId="0" borderId="10" xfId="0" applyNumberFormat="1" applyFont="1" applyBorder="1"/>
    <xf numFmtId="0" fontId="7" fillId="0" borderId="11" xfId="0" applyFont="1" applyBorder="1" applyAlignment="1">
      <alignment horizontal="left"/>
    </xf>
    <xf numFmtId="0" fontId="6" fillId="0" borderId="11" xfId="0" applyFont="1" applyBorder="1"/>
    <xf numFmtId="173" fontId="6" fillId="0" borderId="0" xfId="0" applyNumberFormat="1" applyFont="1" applyBorder="1"/>
    <xf numFmtId="173" fontId="6" fillId="0" borderId="22" xfId="0" applyNumberFormat="1" applyFont="1" applyBorder="1"/>
    <xf numFmtId="173" fontId="6" fillId="0" borderId="13" xfId="0" applyNumberFormat="1" applyFont="1" applyBorder="1"/>
    <xf numFmtId="173" fontId="6" fillId="0" borderId="26" xfId="0" applyNumberFormat="1" applyFont="1" applyBorder="1"/>
    <xf numFmtId="173" fontId="6" fillId="0" borderId="22" xfId="0" applyNumberFormat="1" applyFont="1" applyFill="1" applyBorder="1"/>
    <xf numFmtId="170" fontId="6" fillId="0" borderId="13" xfId="0" applyNumberFormat="1" applyFont="1" applyFill="1" applyBorder="1"/>
    <xf numFmtId="173" fontId="7" fillId="0" borderId="0" xfId="0" applyNumberFormat="1" applyFont="1" applyBorder="1"/>
    <xf numFmtId="173" fontId="7" fillId="0" borderId="22" xfId="0" applyNumberFormat="1" applyFont="1" applyBorder="1"/>
    <xf numFmtId="173" fontId="7" fillId="0" borderId="26" xfId="0" applyNumberFormat="1" applyFont="1" applyBorder="1"/>
    <xf numFmtId="170" fontId="7" fillId="0" borderId="10" xfId="0" applyNumberFormat="1" applyFont="1" applyBorder="1"/>
    <xf numFmtId="0" fontId="7" fillId="0" borderId="27" xfId="0" applyFont="1" applyBorder="1"/>
    <xf numFmtId="173" fontId="7" fillId="0" borderId="28" xfId="0" applyNumberFormat="1" applyFont="1" applyBorder="1"/>
    <xf numFmtId="173" fontId="7" fillId="0" borderId="29" xfId="0" applyNumberFormat="1" applyFont="1" applyBorder="1"/>
    <xf numFmtId="173" fontId="7" fillId="0" borderId="30" xfId="0" applyNumberFormat="1" applyFont="1" applyBorder="1"/>
    <xf numFmtId="0" fontId="11" fillId="0" borderId="0" xfId="0" applyFont="1" applyBorder="1"/>
    <xf numFmtId="0" fontId="6" fillId="0" borderId="0" xfId="0" applyFont="1" applyBorder="1" applyAlignment="1">
      <alignment horizontal="center"/>
    </xf>
    <xf numFmtId="170" fontId="7" fillId="0" borderId="0" xfId="0" applyNumberFormat="1" applyFont="1" applyFill="1" applyBorder="1"/>
    <xf numFmtId="0" fontId="10" fillId="0" borderId="0" xfId="0" quotePrefix="1" applyFont="1" applyBorder="1"/>
    <xf numFmtId="0" fontId="7" fillId="0" borderId="0" xfId="0" applyFont="1" applyBorder="1"/>
    <xf numFmtId="170"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6" fontId="6" fillId="0" borderId="0" xfId="28" applyNumberFormat="1" applyFont="1"/>
    <xf numFmtId="0" fontId="6" fillId="0" borderId="0" xfId="0" applyFont="1" applyBorder="1"/>
    <xf numFmtId="0" fontId="6" fillId="0" borderId="0" xfId="0" applyFont="1" applyAlignment="1">
      <alignment horizontal="center"/>
    </xf>
    <xf numFmtId="166" fontId="6" fillId="0" borderId="0" xfId="28" applyNumberFormat="1" applyFont="1" applyAlignment="1">
      <alignment horizontal="center"/>
    </xf>
    <xf numFmtId="169" fontId="6" fillId="0" borderId="0" xfId="42" applyNumberFormat="1" applyFont="1" applyAlignment="1">
      <alignment horizontal="center"/>
    </xf>
    <xf numFmtId="166" fontId="6" fillId="0" borderId="0" xfId="0" applyNumberFormat="1" applyFont="1"/>
    <xf numFmtId="169" fontId="6" fillId="0" borderId="0" xfId="0" applyNumberFormat="1" applyFont="1"/>
    <xf numFmtId="173" fontId="7" fillId="0" borderId="31" xfId="0" applyNumberFormat="1" applyFont="1" applyBorder="1"/>
    <xf numFmtId="173" fontId="7" fillId="0" borderId="32" xfId="0" applyNumberFormat="1" applyFont="1" applyBorder="1"/>
    <xf numFmtId="169" fontId="6" fillId="0" borderId="0" xfId="0" applyNumberFormat="1" applyFont="1" applyAlignment="1">
      <alignment horizontal="center"/>
    </xf>
    <xf numFmtId="173" fontId="7" fillId="0" borderId="24" xfId="0" applyNumberFormat="1" applyFont="1" applyBorder="1"/>
    <xf numFmtId="173" fontId="7" fillId="0" borderId="33" xfId="0" applyNumberFormat="1" applyFont="1" applyBorder="1"/>
    <xf numFmtId="0" fontId="11" fillId="0" borderId="0" xfId="0" applyFont="1" applyBorder="1" applyAlignment="1">
      <alignment horizontal="left"/>
    </xf>
    <xf numFmtId="170"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3" fontId="7" fillId="0" borderId="34" xfId="0" applyNumberFormat="1" applyFont="1" applyBorder="1"/>
    <xf numFmtId="170" fontId="6" fillId="0" borderId="0" xfId="0" applyNumberFormat="1" applyFont="1" applyBorder="1"/>
    <xf numFmtId="170"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8" fontId="7" fillId="0" borderId="0" xfId="0" applyNumberFormat="1" applyFont="1" applyBorder="1"/>
    <xf numFmtId="0" fontId="6" fillId="0" borderId="16" xfId="0" applyFont="1" applyBorder="1"/>
    <xf numFmtId="0" fontId="7" fillId="0" borderId="35" xfId="0" applyFont="1" applyBorder="1"/>
    <xf numFmtId="165" fontId="6" fillId="0" borderId="0" xfId="28" applyFont="1" applyBorder="1"/>
    <xf numFmtId="0" fontId="7" fillId="0" borderId="16" xfId="0" applyFont="1" applyBorder="1"/>
    <xf numFmtId="0" fontId="11" fillId="0" borderId="0" xfId="0" applyFont="1"/>
    <xf numFmtId="0" fontId="6" fillId="0" borderId="0" xfId="0" applyFont="1" applyFill="1" applyBorder="1"/>
    <xf numFmtId="170" fontId="6" fillId="0" borderId="0" xfId="0" applyNumberFormat="1" applyFont="1" applyFill="1" applyBorder="1"/>
    <xf numFmtId="9" fontId="6" fillId="0" borderId="0" xfId="42" applyFont="1"/>
    <xf numFmtId="173" fontId="6" fillId="0" borderId="36" xfId="0" applyNumberFormat="1" applyFont="1" applyBorder="1"/>
    <xf numFmtId="0" fontId="6" fillId="0" borderId="0" xfId="0" applyFont="1" applyFill="1"/>
    <xf numFmtId="173" fontId="6" fillId="0" borderId="36" xfId="0" applyNumberFormat="1" applyFont="1" applyFill="1" applyBorder="1"/>
    <xf numFmtId="173" fontId="7" fillId="0" borderId="22" xfId="0" applyNumberFormat="1" applyFont="1" applyFill="1" applyBorder="1"/>
    <xf numFmtId="170" fontId="6" fillId="0" borderId="22" xfId="0" applyNumberFormat="1" applyFont="1" applyBorder="1"/>
    <xf numFmtId="170"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3" fontId="6" fillId="0" borderId="37" xfId="0" applyNumberFormat="1" applyFont="1" applyBorder="1"/>
    <xf numFmtId="173" fontId="7" fillId="0" borderId="10" xfId="0" applyNumberFormat="1" applyFont="1" applyBorder="1"/>
    <xf numFmtId="173" fontId="7" fillId="0" borderId="37" xfId="0" applyNumberFormat="1" applyFont="1" applyBorder="1"/>
    <xf numFmtId="0" fontId="6" fillId="0" borderId="11" xfId="0" applyFont="1" applyBorder="1" applyAlignment="1">
      <alignment horizontal="left" wrapText="1" indent="1"/>
    </xf>
    <xf numFmtId="173"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3" fontId="6" fillId="0" borderId="24" xfId="0" applyNumberFormat="1" applyFont="1" applyBorder="1"/>
    <xf numFmtId="173" fontId="6" fillId="0" borderId="33" xfId="0" applyNumberFormat="1" applyFont="1" applyBorder="1"/>
    <xf numFmtId="170" fontId="6" fillId="0" borderId="0" xfId="28" applyNumberFormat="1" applyFont="1" applyBorder="1"/>
    <xf numFmtId="166" fontId="6" fillId="0" borderId="0" xfId="28" applyNumberFormat="1" applyFont="1" applyBorder="1"/>
    <xf numFmtId="0" fontId="6" fillId="0" borderId="19" xfId="0" applyFont="1" applyBorder="1" applyAlignment="1">
      <alignment horizontal="center"/>
    </xf>
    <xf numFmtId="169"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9" fontId="6" fillId="0" borderId="22" xfId="42" applyNumberFormat="1" applyFont="1" applyFill="1" applyBorder="1" applyAlignment="1">
      <alignment horizontal="center" vertical="top" wrapText="1"/>
    </xf>
    <xf numFmtId="169"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3" fontId="6" fillId="0" borderId="10" xfId="0" applyNumberFormat="1" applyFont="1" applyBorder="1"/>
    <xf numFmtId="166"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3" fontId="6" fillId="0" borderId="46" xfId="0" applyNumberFormat="1" applyFont="1" applyBorder="1"/>
    <xf numFmtId="173"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1"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3" fontId="6" fillId="0" borderId="38" xfId="0" applyNumberFormat="1" applyFont="1" applyBorder="1"/>
    <xf numFmtId="173"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70"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70"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3"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3" fontId="7" fillId="0" borderId="46" xfId="0" applyNumberFormat="1" applyFont="1" applyBorder="1"/>
    <xf numFmtId="173" fontId="6" fillId="0" borderId="51" xfId="0" applyNumberFormat="1" applyFont="1" applyBorder="1"/>
    <xf numFmtId="172" fontId="6" fillId="0" borderId="26" xfId="0" applyNumberFormat="1" applyFont="1" applyBorder="1"/>
    <xf numFmtId="172" fontId="6" fillId="0" borderId="10" xfId="0" applyNumberFormat="1" applyFont="1" applyBorder="1"/>
    <xf numFmtId="171"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2" fontId="6" fillId="0" borderId="46" xfId="0" applyNumberFormat="1" applyFont="1" applyBorder="1"/>
    <xf numFmtId="171" fontId="6" fillId="0" borderId="33" xfId="0" applyNumberFormat="1" applyFont="1" applyFill="1" applyBorder="1"/>
    <xf numFmtId="171" fontId="6" fillId="0" borderId="24" xfId="0" applyNumberFormat="1" applyFont="1" applyFill="1" applyBorder="1"/>
    <xf numFmtId="171" fontId="6" fillId="0" borderId="50" xfId="0" applyNumberFormat="1" applyFont="1" applyFill="1" applyBorder="1"/>
    <xf numFmtId="9" fontId="7" fillId="0" borderId="43" xfId="42" applyFont="1" applyFill="1" applyBorder="1" applyAlignment="1">
      <alignment horizontal="center" vertical="center" wrapText="1"/>
    </xf>
    <xf numFmtId="174" fontId="7" fillId="0" borderId="22" xfId="42" applyNumberFormat="1" applyFont="1" applyBorder="1"/>
    <xf numFmtId="174" fontId="6" fillId="0" borderId="22" xfId="42" applyNumberFormat="1" applyFont="1" applyBorder="1"/>
    <xf numFmtId="174" fontId="6" fillId="0" borderId="36" xfId="42" applyNumberFormat="1" applyFont="1" applyBorder="1"/>
    <xf numFmtId="172" fontId="6" fillId="0" borderId="19" xfId="0" applyNumberFormat="1" applyFont="1" applyBorder="1"/>
    <xf numFmtId="172" fontId="6" fillId="0" borderId="33" xfId="0" applyNumberFormat="1" applyFont="1" applyBorder="1"/>
    <xf numFmtId="174" fontId="6" fillId="0" borderId="24" xfId="42" applyNumberFormat="1" applyFont="1" applyBorder="1"/>
    <xf numFmtId="172" fontId="6" fillId="0" borderId="50" xfId="0" applyNumberFormat="1" applyFont="1" applyBorder="1"/>
    <xf numFmtId="172" fontId="6" fillId="0" borderId="39" xfId="0" applyNumberFormat="1" applyFont="1" applyBorder="1"/>
    <xf numFmtId="172" fontId="6" fillId="0" borderId="25" xfId="0" applyNumberFormat="1" applyFont="1" applyBorder="1"/>
    <xf numFmtId="174" fontId="6" fillId="0" borderId="23" xfId="42" applyNumberFormat="1" applyFont="1" applyBorder="1"/>
    <xf numFmtId="172" fontId="6" fillId="0" borderId="53" xfId="0" applyNumberFormat="1" applyFont="1" applyBorder="1"/>
    <xf numFmtId="172" fontId="6" fillId="25" borderId="22" xfId="0" applyNumberFormat="1" applyFont="1" applyFill="1" applyBorder="1"/>
    <xf numFmtId="172" fontId="6" fillId="25" borderId="24" xfId="0" applyNumberFormat="1" applyFont="1" applyFill="1" applyBorder="1"/>
    <xf numFmtId="174" fontId="6" fillId="25" borderId="22" xfId="42" applyNumberFormat="1" applyFont="1" applyFill="1" applyBorder="1"/>
    <xf numFmtId="174"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3"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3" fontId="7" fillId="0" borderId="50" xfId="0" applyNumberFormat="1" applyFont="1" applyBorder="1"/>
    <xf numFmtId="173"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3" fontId="7" fillId="0" borderId="55" xfId="0" applyNumberFormat="1" applyFont="1" applyBorder="1"/>
    <xf numFmtId="173"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3"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3" fontId="7" fillId="0" borderId="10" xfId="0" applyNumberFormat="1" applyFont="1" applyBorder="1" applyAlignment="1">
      <alignment vertical="top"/>
    </xf>
    <xf numFmtId="173" fontId="7" fillId="0" borderId="26" xfId="0" applyNumberFormat="1" applyFont="1" applyBorder="1" applyAlignment="1">
      <alignment vertical="top"/>
    </xf>
    <xf numFmtId="173" fontId="7" fillId="0" borderId="22" xfId="0" applyNumberFormat="1" applyFont="1" applyBorder="1" applyAlignment="1">
      <alignment vertical="top"/>
    </xf>
    <xf numFmtId="173"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3" fontId="6" fillId="0" borderId="45" xfId="0" applyNumberFormat="1" applyFont="1" applyBorder="1"/>
    <xf numFmtId="173" fontId="7" fillId="0" borderId="45" xfId="0" applyNumberFormat="1" applyFont="1" applyBorder="1"/>
    <xf numFmtId="173" fontId="7" fillId="0" borderId="61" xfId="0" applyNumberFormat="1" applyFont="1" applyBorder="1"/>
    <xf numFmtId="173" fontId="6" fillId="0" borderId="55" xfId="0" applyNumberFormat="1" applyFont="1" applyBorder="1"/>
    <xf numFmtId="173" fontId="6" fillId="0" borderId="61" xfId="0" applyNumberFormat="1" applyFont="1" applyBorder="1"/>
    <xf numFmtId="173" fontId="6" fillId="0" borderId="47" xfId="0" applyNumberFormat="1" applyFont="1" applyBorder="1"/>
    <xf numFmtId="173" fontId="6" fillId="0" borderId="62" xfId="0" applyNumberFormat="1" applyFont="1" applyBorder="1"/>
    <xf numFmtId="173" fontId="7" fillId="0" borderId="58" xfId="0" applyNumberFormat="1" applyFont="1" applyBorder="1"/>
    <xf numFmtId="170" fontId="6" fillId="0" borderId="46" xfId="0" applyNumberFormat="1" applyFont="1" applyBorder="1"/>
    <xf numFmtId="0" fontId="7" fillId="0" borderId="63" xfId="0" applyFont="1" applyBorder="1" applyAlignment="1">
      <alignment horizontal="center"/>
    </xf>
    <xf numFmtId="170"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3" fontId="7" fillId="0" borderId="64" xfId="0" applyNumberFormat="1" applyFont="1" applyBorder="1"/>
    <xf numFmtId="0" fontId="7" fillId="0" borderId="15" xfId="0" applyFont="1" applyBorder="1"/>
    <xf numFmtId="173" fontId="6" fillId="25" borderId="22" xfId="0" applyNumberFormat="1" applyFont="1" applyFill="1" applyBorder="1"/>
    <xf numFmtId="173" fontId="6" fillId="25" borderId="24" xfId="0" applyNumberFormat="1" applyFont="1" applyFill="1" applyBorder="1"/>
    <xf numFmtId="0" fontId="7" fillId="0" borderId="65" xfId="0" applyFont="1" applyFill="1" applyBorder="1" applyAlignment="1">
      <alignment horizontal="centerContinuous" vertical="center" wrapText="1"/>
    </xf>
    <xf numFmtId="169"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9"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1" fontId="6" fillId="0" borderId="0" xfId="0" applyNumberFormat="1" applyFont="1" applyFill="1" applyBorder="1"/>
    <xf numFmtId="174" fontId="6" fillId="0" borderId="0" xfId="42" applyNumberFormat="1" applyFont="1" applyBorder="1"/>
    <xf numFmtId="169"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3" fontId="6" fillId="0" borderId="58" xfId="0" applyNumberFormat="1" applyFont="1" applyBorder="1"/>
    <xf numFmtId="170" fontId="7" fillId="0" borderId="26" xfId="0" applyNumberFormat="1" applyFont="1" applyBorder="1"/>
    <xf numFmtId="170" fontId="7" fillId="0" borderId="22" xfId="0" applyNumberFormat="1" applyFont="1" applyBorder="1"/>
    <xf numFmtId="170" fontId="7" fillId="0" borderId="46" xfId="0" applyNumberFormat="1" applyFont="1" applyBorder="1"/>
    <xf numFmtId="169" fontId="7" fillId="0" borderId="22" xfId="42" applyNumberFormat="1" applyFont="1" applyFill="1" applyBorder="1" applyAlignment="1">
      <alignment horizontal="center" vertical="top" wrapText="1"/>
    </xf>
    <xf numFmtId="169" fontId="7" fillId="0" borderId="31" xfId="42" applyNumberFormat="1" applyFont="1" applyFill="1" applyBorder="1" applyAlignment="1">
      <alignment horizontal="center" vertical="top" wrapText="1"/>
    </xf>
    <xf numFmtId="173" fontId="6" fillId="0" borderId="30" xfId="0" applyNumberFormat="1" applyFont="1" applyBorder="1"/>
    <xf numFmtId="173" fontId="6" fillId="0" borderId="29" xfId="0" applyNumberFormat="1" applyFont="1" applyBorder="1"/>
    <xf numFmtId="169" fontId="6" fillId="0" borderId="29" xfId="42" applyNumberFormat="1" applyFont="1" applyFill="1" applyBorder="1" applyAlignment="1">
      <alignment horizontal="center" vertical="top" wrapText="1"/>
    </xf>
    <xf numFmtId="173"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9"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3" fontId="6" fillId="0" borderId="69" xfId="0" applyNumberFormat="1" applyFont="1" applyBorder="1"/>
    <xf numFmtId="0" fontId="7" fillId="0" borderId="35" xfId="0" applyFont="1" applyFill="1" applyBorder="1"/>
    <xf numFmtId="170" fontId="7" fillId="0" borderId="55" xfId="0" applyNumberFormat="1" applyFont="1" applyBorder="1"/>
    <xf numFmtId="173"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9" fontId="6" fillId="0" borderId="36" xfId="42" applyNumberFormat="1" applyFont="1" applyFill="1" applyBorder="1" applyAlignment="1">
      <alignment horizontal="center" vertical="top" wrapText="1"/>
    </xf>
    <xf numFmtId="170" fontId="6" fillId="0" borderId="0" xfId="28" applyNumberFormat="1" applyFont="1" applyFill="1" applyBorder="1"/>
    <xf numFmtId="0" fontId="7" fillId="0" borderId="67" xfId="0" applyFont="1" applyFill="1" applyBorder="1" applyAlignment="1">
      <alignment horizontal="center" vertical="center" wrapText="1"/>
    </xf>
    <xf numFmtId="173" fontId="7" fillId="25" borderId="22" xfId="0" applyNumberFormat="1" applyFont="1" applyFill="1" applyBorder="1"/>
    <xf numFmtId="173" fontId="6" fillId="25" borderId="36" xfId="0" applyNumberFormat="1" applyFont="1" applyFill="1" applyBorder="1"/>
    <xf numFmtId="173"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3"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70"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9"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3" fontId="6" fillId="0" borderId="14" xfId="0" applyNumberFormat="1" applyFont="1" applyBorder="1"/>
    <xf numFmtId="173"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3" fontId="6" fillId="0" borderId="12" xfId="0" applyNumberFormat="1" applyFont="1" applyBorder="1"/>
    <xf numFmtId="173"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3"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4" fontId="7" fillId="0" borderId="36" xfId="42" applyNumberFormat="1" applyFont="1" applyBorder="1"/>
    <xf numFmtId="173" fontId="6" fillId="28" borderId="26" xfId="0" applyNumberFormat="1" applyFont="1" applyFill="1" applyBorder="1" applyProtection="1">
      <protection locked="0"/>
    </xf>
    <xf numFmtId="173" fontId="6" fillId="28" borderId="22" xfId="0" applyNumberFormat="1" applyFont="1" applyFill="1" applyBorder="1" applyProtection="1">
      <protection locked="0"/>
    </xf>
    <xf numFmtId="173"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9" fontId="6" fillId="0" borderId="10" xfId="42" applyNumberFormat="1" applyFont="1" applyFill="1" applyBorder="1" applyAlignment="1" applyProtection="1">
      <alignment horizontal="center" vertical="top" wrapText="1"/>
    </xf>
    <xf numFmtId="169" fontId="6" fillId="0" borderId="45" xfId="42" applyNumberFormat="1" applyFont="1" applyFill="1" applyBorder="1" applyAlignment="1" applyProtection="1">
      <alignment horizontal="center" vertical="top" wrapText="1"/>
    </xf>
    <xf numFmtId="169" fontId="6" fillId="0" borderId="22" xfId="42" applyNumberFormat="1" applyFont="1" applyFill="1" applyBorder="1" applyAlignment="1" applyProtection="1">
      <alignment horizontal="center" vertical="top" wrapText="1"/>
    </xf>
    <xf numFmtId="169" fontId="6" fillId="0" borderId="46" xfId="42" applyNumberFormat="1" applyFont="1" applyFill="1" applyBorder="1" applyAlignment="1" applyProtection="1">
      <alignment horizontal="center" vertical="top" wrapText="1"/>
    </xf>
    <xf numFmtId="173" fontId="6" fillId="28" borderId="37" xfId="0" applyNumberFormat="1" applyFont="1" applyFill="1" applyBorder="1" applyProtection="1">
      <protection locked="0"/>
    </xf>
    <xf numFmtId="173"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70" fontId="6" fillId="25" borderId="10" xfId="0" applyNumberFormat="1" applyFont="1" applyFill="1" applyBorder="1"/>
    <xf numFmtId="169" fontId="7" fillId="25" borderId="22" xfId="42" applyNumberFormat="1" applyFont="1" applyFill="1" applyBorder="1" applyAlignment="1">
      <alignment horizontal="center" vertical="top" wrapText="1"/>
    </xf>
    <xf numFmtId="170"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3"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3" fontId="6" fillId="0" borderId="22" xfId="0" applyNumberFormat="1" applyFont="1" applyFill="1" applyBorder="1" applyProtection="1"/>
    <xf numFmtId="173" fontId="6" fillId="0" borderId="36" xfId="0" applyNumberFormat="1" applyFont="1" applyFill="1" applyBorder="1" applyProtection="1"/>
    <xf numFmtId="169"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3"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3" fontId="7" fillId="0" borderId="22" xfId="0" applyNumberFormat="1" applyFont="1" applyBorder="1" applyAlignment="1">
      <alignment horizontal="right"/>
    </xf>
    <xf numFmtId="173" fontId="7" fillId="0" borderId="13" xfId="0" applyNumberFormat="1" applyFont="1" applyBorder="1" applyAlignment="1">
      <alignment horizontal="right"/>
    </xf>
    <xf numFmtId="173" fontId="7" fillId="0" borderId="0" xfId="0" applyNumberFormat="1" applyFont="1" applyBorder="1" applyAlignment="1">
      <alignment horizontal="right"/>
    </xf>
    <xf numFmtId="173"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70" fontId="6" fillId="0" borderId="13" xfId="0" applyNumberFormat="1" applyFont="1" applyBorder="1"/>
    <xf numFmtId="0" fontId="7" fillId="0" borderId="11" xfId="0" applyFont="1" applyBorder="1" applyAlignment="1" applyProtection="1">
      <alignment horizontal="left"/>
    </xf>
    <xf numFmtId="173" fontId="7" fillId="0" borderId="43" xfId="0" applyNumberFormat="1" applyFont="1" applyBorder="1" applyAlignment="1" applyProtection="1">
      <alignment horizontal="right"/>
    </xf>
    <xf numFmtId="173" fontId="7" fillId="0" borderId="73" xfId="0" applyNumberFormat="1" applyFont="1" applyBorder="1" applyAlignment="1" applyProtection="1">
      <alignment horizontal="right"/>
    </xf>
    <xf numFmtId="173" fontId="7" fillId="0" borderId="74" xfId="0" applyNumberFormat="1" applyFont="1" applyBorder="1" applyAlignment="1" applyProtection="1">
      <alignment horizontal="right"/>
    </xf>
    <xf numFmtId="173" fontId="7" fillId="0" borderId="52" xfId="0" applyNumberFormat="1" applyFont="1" applyBorder="1" applyAlignment="1" applyProtection="1">
      <alignment horizontal="right"/>
    </xf>
    <xf numFmtId="170" fontId="7" fillId="0" borderId="18" xfId="0" applyNumberFormat="1" applyFont="1" applyBorder="1"/>
    <xf numFmtId="170"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3" fontId="6" fillId="0" borderId="24" xfId="0" applyNumberFormat="1" applyFont="1" applyBorder="1" applyProtection="1"/>
    <xf numFmtId="173" fontId="6" fillId="0" borderId="17" xfId="0" applyNumberFormat="1" applyFont="1" applyBorder="1" applyProtection="1"/>
    <xf numFmtId="173" fontId="6" fillId="0" borderId="14" xfId="0" applyNumberFormat="1" applyFont="1" applyBorder="1" applyProtection="1"/>
    <xf numFmtId="173"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3" fontId="6" fillId="0" borderId="23" xfId="0" applyNumberFormat="1" applyFont="1" applyBorder="1" applyProtection="1"/>
    <xf numFmtId="173" fontId="6" fillId="0" borderId="65" xfId="0" applyNumberFormat="1" applyFont="1" applyBorder="1" applyProtection="1"/>
    <xf numFmtId="173" fontId="6" fillId="0" borderId="12" xfId="0" applyNumberFormat="1" applyFont="1" applyBorder="1" applyProtection="1"/>
    <xf numFmtId="173"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3" fontId="7" fillId="0" borderId="22" xfId="0" applyNumberFormat="1" applyFont="1" applyBorder="1" applyAlignment="1" applyProtection="1">
      <alignment horizontal="right"/>
    </xf>
    <xf numFmtId="173" fontId="7" fillId="0" borderId="13" xfId="0" applyNumberFormat="1" applyFont="1" applyBorder="1" applyAlignment="1" applyProtection="1">
      <alignment horizontal="right"/>
    </xf>
    <xf numFmtId="173" fontId="7" fillId="0" borderId="0" xfId="0" applyNumberFormat="1" applyFont="1" applyBorder="1" applyAlignment="1" applyProtection="1">
      <alignment horizontal="right"/>
    </xf>
    <xf numFmtId="173" fontId="7" fillId="0" borderId="26" xfId="0" applyNumberFormat="1" applyFont="1" applyBorder="1" applyAlignment="1" applyProtection="1">
      <alignment horizontal="right"/>
    </xf>
    <xf numFmtId="173" fontId="6" fillId="28" borderId="0" xfId="0" applyNumberFormat="1" applyFont="1" applyFill="1" applyBorder="1" applyProtection="1">
      <protection locked="0"/>
    </xf>
    <xf numFmtId="170" fontId="6" fillId="0" borderId="10" xfId="0" applyNumberFormat="1" applyFont="1" applyFill="1" applyBorder="1"/>
    <xf numFmtId="173" fontId="7" fillId="0" borderId="74" xfId="0" applyNumberFormat="1" applyFont="1" applyBorder="1"/>
    <xf numFmtId="173" fontId="7" fillId="0" borderId="52" xfId="0" applyNumberFormat="1" applyFont="1" applyBorder="1"/>
    <xf numFmtId="170" fontId="7" fillId="0" borderId="13" xfId="0" applyNumberFormat="1" applyFont="1" applyBorder="1"/>
    <xf numFmtId="0" fontId="6" fillId="0" borderId="29" xfId="0" applyNumberFormat="1" applyFont="1" applyBorder="1" applyAlignment="1" applyProtection="1">
      <alignment horizontal="center"/>
      <protection locked="0"/>
    </xf>
    <xf numFmtId="173" fontId="7" fillId="0" borderId="29" xfId="0" applyNumberFormat="1" applyFont="1" applyFill="1" applyBorder="1"/>
    <xf numFmtId="173" fontId="7" fillId="0" borderId="75" xfId="0" applyNumberFormat="1" applyFont="1" applyBorder="1"/>
    <xf numFmtId="170" fontId="7" fillId="0" borderId="76" xfId="0" applyNumberFormat="1" applyFont="1" applyBorder="1"/>
    <xf numFmtId="170"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70"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70"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6"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3" fontId="7" fillId="0" borderId="37" xfId="0" applyNumberFormat="1" applyFont="1" applyBorder="1" applyAlignment="1">
      <alignment horizontal="right"/>
    </xf>
    <xf numFmtId="173" fontId="7" fillId="0" borderId="78" xfId="0" applyNumberFormat="1" applyFont="1" applyBorder="1" applyAlignment="1" applyProtection="1">
      <alignment horizontal="right"/>
    </xf>
    <xf numFmtId="173" fontId="6" fillId="0" borderId="69" xfId="0" applyNumberFormat="1" applyFont="1" applyBorder="1" applyProtection="1"/>
    <xf numFmtId="173" fontId="6" fillId="0" borderId="79" xfId="0" applyNumberFormat="1" applyFont="1" applyBorder="1" applyProtection="1"/>
    <xf numFmtId="173" fontId="7" fillId="0" borderId="37" xfId="0" applyNumberFormat="1" applyFont="1" applyBorder="1" applyAlignment="1" applyProtection="1">
      <alignment horizontal="right"/>
    </xf>
    <xf numFmtId="173" fontId="7" fillId="0" borderId="78" xfId="0" applyNumberFormat="1" applyFont="1" applyBorder="1"/>
    <xf numFmtId="173" fontId="7" fillId="0" borderId="34" xfId="0" applyNumberFormat="1" applyFont="1" applyFill="1" applyBorder="1"/>
    <xf numFmtId="0" fontId="6" fillId="0" borderId="25" xfId="0" applyFont="1" applyBorder="1"/>
    <xf numFmtId="0" fontId="6" fillId="0" borderId="23" xfId="0" applyFont="1" applyBorder="1"/>
    <xf numFmtId="173" fontId="7" fillId="0" borderId="30" xfId="0" applyNumberFormat="1" applyFont="1" applyFill="1" applyBorder="1"/>
    <xf numFmtId="173" fontId="7" fillId="0" borderId="49" xfId="0" applyNumberFormat="1" applyFont="1" applyBorder="1"/>
    <xf numFmtId="173" fontId="6" fillId="0" borderId="43" xfId="0" applyNumberFormat="1" applyFont="1" applyBorder="1"/>
    <xf numFmtId="9" fontId="6" fillId="0" borderId="43" xfId="42" applyFont="1" applyBorder="1" applyAlignment="1">
      <alignment horizontal="center"/>
    </xf>
    <xf numFmtId="173"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3" fontId="7" fillId="0" borderId="55" xfId="0" applyNumberFormat="1" applyFont="1" applyBorder="1" applyAlignment="1">
      <alignment vertical="top"/>
    </xf>
    <xf numFmtId="173" fontId="7" fillId="0" borderId="32" xfId="0" applyNumberFormat="1" applyFont="1" applyBorder="1" applyAlignment="1">
      <alignment vertical="top"/>
    </xf>
    <xf numFmtId="173" fontId="7" fillId="0" borderId="31" xfId="0" applyNumberFormat="1" applyFont="1" applyBorder="1" applyAlignment="1">
      <alignment vertical="top"/>
    </xf>
    <xf numFmtId="9" fontId="7" fillId="0" borderId="31" xfId="42" applyFont="1" applyBorder="1" applyAlignment="1">
      <alignment horizontal="center" vertical="top"/>
    </xf>
    <xf numFmtId="173" fontId="7" fillId="0" borderId="47" xfId="0" applyNumberFormat="1" applyFont="1" applyBorder="1" applyAlignment="1">
      <alignment vertical="top"/>
    </xf>
    <xf numFmtId="0" fontId="7" fillId="0" borderId="11" xfId="0" applyNumberFormat="1" applyFont="1" applyBorder="1" applyAlignment="1">
      <alignment wrapText="1"/>
    </xf>
    <xf numFmtId="173" fontId="7" fillId="0" borderId="43" xfId="0" applyNumberFormat="1" applyFont="1" applyBorder="1" applyAlignment="1">
      <alignment vertical="top"/>
    </xf>
    <xf numFmtId="173" fontId="7" fillId="0" borderId="49" xfId="0" applyNumberFormat="1" applyFont="1" applyBorder="1" applyAlignment="1">
      <alignment vertical="top"/>
    </xf>
    <xf numFmtId="173" fontId="7" fillId="0" borderId="60" xfId="0" applyNumberFormat="1" applyFont="1" applyBorder="1" applyAlignment="1">
      <alignment vertical="top"/>
    </xf>
    <xf numFmtId="173" fontId="6" fillId="0" borderId="10" xfId="0" applyNumberFormat="1" applyFont="1" applyFill="1" applyBorder="1"/>
    <xf numFmtId="173" fontId="6" fillId="0" borderId="45" xfId="0" applyNumberFormat="1" applyFont="1" applyFill="1" applyBorder="1"/>
    <xf numFmtId="173" fontId="6" fillId="0" borderId="10" xfId="0" applyNumberFormat="1" applyFont="1" applyFill="1" applyBorder="1" applyProtection="1">
      <protection locked="0"/>
    </xf>
    <xf numFmtId="173" fontId="6" fillId="0" borderId="45" xfId="0" applyNumberFormat="1" applyFont="1" applyFill="1" applyBorder="1" applyProtection="1">
      <protection locked="0"/>
    </xf>
    <xf numFmtId="173" fontId="6" fillId="0" borderId="22" xfId="0" applyNumberFormat="1" applyFont="1" applyFill="1" applyBorder="1" applyProtection="1">
      <protection locked="0"/>
    </xf>
    <xf numFmtId="173"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3" fontId="7" fillId="0" borderId="38" xfId="0" applyNumberFormat="1" applyFont="1" applyFill="1" applyBorder="1"/>
    <xf numFmtId="173" fontId="7" fillId="0" borderId="64" xfId="0" applyNumberFormat="1" applyFont="1" applyFill="1" applyBorder="1"/>
    <xf numFmtId="9" fontId="7" fillId="0" borderId="29" xfId="42" applyFont="1" applyFill="1" applyBorder="1" applyAlignment="1">
      <alignment horizontal="center"/>
    </xf>
    <xf numFmtId="173" fontId="7" fillId="0" borderId="56" xfId="0" applyNumberFormat="1" applyFont="1" applyFill="1" applyBorder="1"/>
    <xf numFmtId="173" fontId="7" fillId="0" borderId="60" xfId="0" applyNumberFormat="1" applyFont="1" applyBorder="1"/>
    <xf numFmtId="173"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3" fontId="6" fillId="0" borderId="26" xfId="0" applyNumberFormat="1" applyFont="1" applyFill="1" applyBorder="1" applyProtection="1">
      <protection locked="0"/>
    </xf>
    <xf numFmtId="169" fontId="6" fillId="0" borderId="43" xfId="42" applyNumberFormat="1" applyFont="1" applyFill="1" applyBorder="1" applyAlignment="1">
      <alignment horizontal="center" vertical="top" wrapText="1"/>
    </xf>
    <xf numFmtId="169" fontId="7" fillId="0" borderId="43" xfId="42" applyNumberFormat="1" applyFont="1" applyFill="1" applyBorder="1" applyAlignment="1">
      <alignment horizontal="center" vertical="top" wrapText="1"/>
    </xf>
    <xf numFmtId="0" fontId="6" fillId="0" borderId="59" xfId="0" applyFont="1" applyBorder="1"/>
    <xf numFmtId="173"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70" fontId="6" fillId="0" borderId="38" xfId="0" quotePrefix="1" applyNumberFormat="1" applyFont="1" applyBorder="1" applyAlignment="1">
      <alignment horizontal="center"/>
    </xf>
    <xf numFmtId="170" fontId="6" fillId="0" borderId="30" xfId="0" quotePrefix="1" applyNumberFormat="1" applyFont="1" applyBorder="1" applyAlignment="1">
      <alignment horizontal="center"/>
    </xf>
    <xf numFmtId="170" fontId="6" fillId="0" borderId="29" xfId="0" quotePrefix="1" applyNumberFormat="1" applyFont="1" applyBorder="1" applyAlignment="1">
      <alignment horizontal="center"/>
    </xf>
    <xf numFmtId="170" fontId="6" fillId="0" borderId="29" xfId="0" applyNumberFormat="1" applyFont="1" applyBorder="1" applyAlignment="1">
      <alignment horizontal="center"/>
    </xf>
    <xf numFmtId="170"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3" fontId="6" fillId="0" borderId="67" xfId="0" applyNumberFormat="1" applyFont="1" applyBorder="1"/>
    <xf numFmtId="173" fontId="6" fillId="0" borderId="52" xfId="0" applyNumberFormat="1" applyFont="1" applyBorder="1"/>
    <xf numFmtId="173" fontId="6" fillId="0" borderId="49" xfId="0" applyNumberFormat="1" applyFont="1" applyBorder="1"/>
    <xf numFmtId="0" fontId="10" fillId="0" borderId="11" xfId="0" applyNumberFormat="1" applyFont="1" applyBorder="1" applyAlignment="1">
      <alignment horizontal="left" indent="2"/>
    </xf>
    <xf numFmtId="169" fontId="7" fillId="0" borderId="37" xfId="42" applyNumberFormat="1" applyFont="1" applyFill="1" applyBorder="1" applyAlignment="1">
      <alignment horizontal="center" vertical="top" wrapText="1"/>
    </xf>
    <xf numFmtId="173" fontId="7" fillId="0" borderId="54" xfId="0" applyNumberFormat="1" applyFont="1" applyBorder="1"/>
    <xf numFmtId="173" fontId="7" fillId="0" borderId="62" xfId="0" applyNumberFormat="1" applyFont="1" applyBorder="1"/>
    <xf numFmtId="173" fontId="7" fillId="0" borderId="36" xfId="0" applyNumberFormat="1" applyFont="1" applyBorder="1"/>
    <xf numFmtId="169" fontId="7" fillId="0" borderId="36" xfId="42" applyNumberFormat="1" applyFont="1" applyFill="1" applyBorder="1" applyAlignment="1">
      <alignment horizontal="center" vertical="top" wrapText="1"/>
    </xf>
    <xf numFmtId="173"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5" fontId="2" fillId="0" borderId="11" xfId="0" applyNumberFormat="1" applyFont="1" applyBorder="1" applyAlignment="1">
      <alignment horizontal="left"/>
    </xf>
    <xf numFmtId="174" fontId="6" fillId="0" borderId="45" xfId="42" applyNumberFormat="1" applyFont="1" applyBorder="1"/>
    <xf numFmtId="174" fontId="7" fillId="0" borderId="22" xfId="42" applyNumberFormat="1" applyFont="1" applyBorder="1" applyAlignment="1">
      <alignment vertical="top"/>
    </xf>
    <xf numFmtId="174" fontId="7" fillId="0" borderId="45" xfId="42" applyNumberFormat="1" applyFont="1" applyBorder="1" applyAlignment="1">
      <alignment vertical="top"/>
    </xf>
    <xf numFmtId="174" fontId="7" fillId="0" borderId="43" xfId="42" applyNumberFormat="1" applyFont="1" applyBorder="1"/>
    <xf numFmtId="172" fontId="7" fillId="25" borderId="22" xfId="0" applyNumberFormat="1" applyFont="1" applyFill="1" applyBorder="1"/>
    <xf numFmtId="174" fontId="7" fillId="25" borderId="22" xfId="42" applyNumberFormat="1" applyFont="1" applyFill="1" applyBorder="1"/>
    <xf numFmtId="173" fontId="7" fillId="0" borderId="47" xfId="0" applyNumberFormat="1" applyFont="1" applyFill="1" applyBorder="1"/>
    <xf numFmtId="173" fontId="7" fillId="0" borderId="61" xfId="0" applyNumberFormat="1" applyFont="1" applyFill="1" applyBorder="1"/>
    <xf numFmtId="9" fontId="7" fillId="0" borderId="31" xfId="42" applyFont="1" applyFill="1" applyBorder="1" applyAlignment="1">
      <alignment horizontal="center"/>
    </xf>
    <xf numFmtId="173" fontId="7" fillId="0" borderId="80" xfId="0" applyNumberFormat="1" applyFont="1" applyFill="1" applyBorder="1"/>
    <xf numFmtId="173" fontId="7" fillId="0" borderId="10" xfId="0" applyNumberFormat="1" applyFont="1" applyFill="1" applyBorder="1"/>
    <xf numFmtId="173" fontId="7" fillId="0" borderId="26" xfId="0" applyNumberFormat="1" applyFont="1" applyFill="1" applyBorder="1"/>
    <xf numFmtId="173" fontId="7" fillId="0" borderId="46" xfId="0" applyNumberFormat="1" applyFont="1" applyFill="1" applyBorder="1"/>
    <xf numFmtId="0" fontId="6" fillId="0" borderId="22" xfId="0" applyNumberFormat="1" applyFont="1" applyBorder="1" applyAlignment="1">
      <alignment horizontal="center"/>
    </xf>
    <xf numFmtId="173" fontId="7" fillId="0" borderId="31" xfId="0" applyNumberFormat="1" applyFont="1" applyFill="1" applyBorder="1" applyProtection="1"/>
    <xf numFmtId="173"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3" fontId="6" fillId="0" borderId="43" xfId="0" applyNumberFormat="1" applyFont="1" applyFill="1" applyBorder="1" applyProtection="1"/>
    <xf numFmtId="173" fontId="6" fillId="0" borderId="52" xfId="0" applyNumberFormat="1" applyFont="1" applyFill="1" applyBorder="1" applyProtection="1"/>
    <xf numFmtId="173" fontId="6" fillId="0" borderId="49" xfId="0" applyNumberFormat="1" applyFont="1" applyFill="1" applyBorder="1" applyProtection="1"/>
    <xf numFmtId="173" fontId="7" fillId="0" borderId="43" xfId="0" applyNumberFormat="1" applyFont="1" applyFill="1" applyBorder="1" applyProtection="1"/>
    <xf numFmtId="173" fontId="7" fillId="0" borderId="78" xfId="0" applyNumberFormat="1" applyFont="1" applyFill="1" applyBorder="1" applyProtection="1"/>
    <xf numFmtId="173" fontId="7" fillId="0" borderId="52" xfId="0" applyNumberFormat="1" applyFont="1" applyFill="1" applyBorder="1" applyProtection="1"/>
    <xf numFmtId="173" fontId="7" fillId="0" borderId="49" xfId="0" applyNumberFormat="1" applyFont="1" applyFill="1" applyBorder="1" applyProtection="1"/>
    <xf numFmtId="0" fontId="7" fillId="0" borderId="11" xfId="0" applyNumberFormat="1" applyFont="1" applyBorder="1" applyProtection="1"/>
    <xf numFmtId="173" fontId="7" fillId="0" borderId="43" xfId="0" applyNumberFormat="1" applyFont="1" applyFill="1" applyBorder="1"/>
    <xf numFmtId="173"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70" fontId="8" fillId="0" borderId="0" xfId="0" applyNumberFormat="1" applyFont="1" applyBorder="1" applyProtection="1">
      <protection locked="0"/>
    </xf>
    <xf numFmtId="0" fontId="8" fillId="0" borderId="0" xfId="0" applyFont="1" applyBorder="1" applyProtection="1"/>
    <xf numFmtId="170" fontId="8" fillId="0" borderId="0" xfId="0" applyNumberFormat="1" applyFont="1" applyBorder="1" applyProtection="1"/>
    <xf numFmtId="166" fontId="10" fillId="0" borderId="0" xfId="28" applyNumberFormat="1" applyFont="1" applyBorder="1" applyAlignment="1">
      <alignment horizontal="right"/>
    </xf>
    <xf numFmtId="166" fontId="10" fillId="0" borderId="0" xfId="28" applyNumberFormat="1" applyFont="1" applyFill="1" applyBorder="1" applyAlignment="1">
      <alignment horizontal="right"/>
    </xf>
    <xf numFmtId="173" fontId="6" fillId="0" borderId="0" xfId="0" applyNumberFormat="1" applyFont="1"/>
    <xf numFmtId="0" fontId="7" fillId="0" borderId="23" xfId="0" applyFont="1" applyFill="1" applyBorder="1" applyAlignment="1">
      <alignment horizontal="center"/>
    </xf>
    <xf numFmtId="173" fontId="6" fillId="0" borderId="31" xfId="0" applyNumberFormat="1" applyFont="1" applyFill="1" applyBorder="1"/>
    <xf numFmtId="9" fontId="6" fillId="0" borderId="31" xfId="42" applyFont="1" applyFill="1" applyBorder="1" applyAlignment="1">
      <alignment horizontal="center"/>
    </xf>
    <xf numFmtId="173" fontId="7" fillId="0" borderId="24" xfId="0" applyNumberFormat="1" applyFont="1" applyFill="1" applyBorder="1"/>
    <xf numFmtId="170" fontId="8" fillId="0" borderId="0" xfId="0" applyNumberFormat="1" applyFont="1" applyFill="1" applyBorder="1" applyProtection="1">
      <protection locked="0"/>
    </xf>
    <xf numFmtId="170" fontId="8" fillId="0" borderId="0" xfId="0" applyNumberFormat="1" applyFont="1" applyFill="1" applyBorder="1" applyProtection="1"/>
    <xf numFmtId="173" fontId="7" fillId="0" borderId="22" xfId="0" applyNumberFormat="1" applyFont="1" applyFill="1" applyBorder="1" applyProtection="1"/>
    <xf numFmtId="9" fontId="7" fillId="0" borderId="24" xfId="42" applyFont="1" applyFill="1" applyBorder="1" applyAlignment="1">
      <alignment horizontal="center"/>
    </xf>
    <xf numFmtId="173" fontId="7" fillId="0" borderId="50" xfId="0" applyNumberFormat="1" applyFont="1" applyFill="1" applyBorder="1"/>
    <xf numFmtId="173" fontId="7" fillId="0" borderId="58" xfId="0" applyNumberFormat="1" applyFont="1" applyFill="1" applyBorder="1"/>
    <xf numFmtId="173" fontId="7" fillId="0" borderId="46" xfId="0" applyNumberFormat="1" applyFont="1" applyFill="1" applyBorder="1" applyProtection="1"/>
    <xf numFmtId="173" fontId="6" fillId="0" borderId="46" xfId="0" applyNumberFormat="1" applyFont="1" applyFill="1" applyBorder="1" applyProtection="1"/>
    <xf numFmtId="173" fontId="6" fillId="0" borderId="46" xfId="29" applyNumberFormat="1" applyFont="1" applyFill="1" applyBorder="1" applyProtection="1"/>
    <xf numFmtId="173" fontId="7" fillId="0" borderId="55" xfId="0" applyNumberFormat="1" applyFont="1" applyFill="1" applyBorder="1"/>
    <xf numFmtId="173"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3" fontId="6" fillId="0" borderId="10" xfId="0" applyNumberFormat="1" applyFont="1" applyFill="1" applyBorder="1" applyProtection="1"/>
    <xf numFmtId="173" fontId="6" fillId="0" borderId="26" xfId="0" applyNumberFormat="1" applyFont="1" applyFill="1" applyBorder="1" applyProtection="1"/>
    <xf numFmtId="173" fontId="6" fillId="0" borderId="37" xfId="0" applyNumberFormat="1" applyFont="1" applyFill="1" applyBorder="1" applyProtection="1"/>
    <xf numFmtId="173" fontId="6" fillId="0" borderId="54" xfId="0" applyNumberFormat="1" applyFont="1" applyFill="1" applyBorder="1" applyProtection="1"/>
    <xf numFmtId="173" fontId="6" fillId="0" borderId="66" xfId="0" applyNumberFormat="1" applyFont="1" applyFill="1" applyBorder="1" applyProtection="1"/>
    <xf numFmtId="173" fontId="6" fillId="0" borderId="81" xfId="0" applyNumberFormat="1" applyFont="1" applyFill="1" applyBorder="1" applyProtection="1"/>
    <xf numFmtId="173" fontId="6" fillId="0" borderId="51" xfId="0" applyNumberFormat="1" applyFont="1" applyFill="1" applyBorder="1" applyProtection="1"/>
    <xf numFmtId="173" fontId="7" fillId="0" borderId="10" xfId="0" applyNumberFormat="1" applyFont="1" applyFill="1" applyBorder="1" applyAlignment="1" applyProtection="1">
      <alignment vertical="top"/>
    </xf>
    <xf numFmtId="173" fontId="7" fillId="0" borderId="26" xfId="0" applyNumberFormat="1" applyFont="1" applyFill="1" applyBorder="1" applyAlignment="1" applyProtection="1">
      <alignment vertical="top"/>
    </xf>
    <xf numFmtId="173" fontId="7" fillId="0" borderId="22" xfId="0" applyNumberFormat="1" applyFont="1" applyFill="1" applyBorder="1" applyAlignment="1" applyProtection="1">
      <alignment vertical="top"/>
    </xf>
    <xf numFmtId="173" fontId="7" fillId="0" borderId="37" xfId="0" applyNumberFormat="1" applyFont="1" applyFill="1" applyBorder="1" applyAlignment="1" applyProtection="1">
      <alignment vertical="top"/>
    </xf>
    <xf numFmtId="173" fontId="7" fillId="0" borderId="46" xfId="0" applyNumberFormat="1" applyFont="1" applyFill="1" applyBorder="1" applyAlignment="1" applyProtection="1">
      <alignment vertical="top"/>
    </xf>
    <xf numFmtId="173" fontId="7" fillId="0" borderId="54" xfId="0" applyNumberFormat="1" applyFont="1" applyFill="1" applyBorder="1" applyProtection="1"/>
    <xf numFmtId="173" fontId="7" fillId="0" borderId="66" xfId="0" applyNumberFormat="1" applyFont="1" applyFill="1" applyBorder="1" applyProtection="1"/>
    <xf numFmtId="173" fontId="7" fillId="0" borderId="36" xfId="0" applyNumberFormat="1" applyFont="1" applyFill="1" applyBorder="1" applyProtection="1"/>
    <xf numFmtId="173" fontId="7" fillId="0" borderId="81" xfId="0" applyNumberFormat="1" applyFont="1" applyFill="1" applyBorder="1" applyProtection="1"/>
    <xf numFmtId="173" fontId="7" fillId="0" borderId="51" xfId="0" applyNumberFormat="1" applyFont="1" applyFill="1" applyBorder="1" applyProtection="1"/>
    <xf numFmtId="173" fontId="7" fillId="0" borderId="10" xfId="0" applyNumberFormat="1" applyFont="1" applyFill="1" applyBorder="1" applyProtection="1"/>
    <xf numFmtId="173" fontId="7" fillId="0" borderId="26" xfId="0" applyNumberFormat="1" applyFont="1" applyFill="1" applyBorder="1" applyProtection="1"/>
    <xf numFmtId="173" fontId="7" fillId="0" borderId="37" xfId="0" applyNumberFormat="1" applyFont="1" applyFill="1" applyBorder="1" applyProtection="1"/>
    <xf numFmtId="173" fontId="7" fillId="0" borderId="67" xfId="0" applyNumberFormat="1" applyFont="1" applyFill="1" applyBorder="1" applyProtection="1"/>
    <xf numFmtId="173" fontId="7" fillId="0" borderId="45" xfId="0" applyNumberFormat="1" applyFont="1" applyFill="1" applyBorder="1" applyProtection="1"/>
    <xf numFmtId="173" fontId="6" fillId="0" borderId="45" xfId="0" applyNumberFormat="1" applyFont="1" applyFill="1" applyBorder="1" applyProtection="1"/>
    <xf numFmtId="173" fontId="6" fillId="0" borderId="45" xfId="28" applyNumberFormat="1" applyFont="1" applyFill="1" applyBorder="1" applyProtection="1"/>
    <xf numFmtId="173" fontId="6" fillId="0" borderId="22" xfId="28" applyNumberFormat="1" applyFont="1" applyFill="1" applyBorder="1" applyProtection="1"/>
    <xf numFmtId="173" fontId="6" fillId="0" borderId="46" xfId="28" applyNumberFormat="1" applyFont="1" applyFill="1" applyBorder="1" applyProtection="1"/>
    <xf numFmtId="9" fontId="6" fillId="0" borderId="46" xfId="42" applyFont="1" applyFill="1" applyBorder="1" applyAlignment="1" applyProtection="1">
      <alignment horizontal="center"/>
    </xf>
    <xf numFmtId="173" fontId="6" fillId="0" borderId="46" xfId="0" applyNumberFormat="1" applyFont="1" applyFill="1" applyBorder="1" applyAlignment="1" applyProtection="1">
      <alignment horizontal="center"/>
    </xf>
    <xf numFmtId="173" fontId="6" fillId="0" borderId="51" xfId="0" applyNumberFormat="1" applyFont="1" applyFill="1" applyBorder="1" applyAlignment="1" applyProtection="1">
      <alignment horizontal="center"/>
    </xf>
    <xf numFmtId="173" fontId="6" fillId="0" borderId="67" xfId="0" applyNumberFormat="1" applyFont="1" applyFill="1" applyBorder="1" applyProtection="1"/>
    <xf numFmtId="0" fontId="6" fillId="0" borderId="0" xfId="0" applyFont="1" applyFill="1" applyAlignment="1" applyProtection="1">
      <alignment horizontal="center"/>
    </xf>
    <xf numFmtId="166"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6"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7"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8" fontId="6" fillId="0" borderId="0" xfId="0" applyNumberFormat="1" applyFont="1" applyFill="1"/>
    <xf numFmtId="0" fontId="10" fillId="0" borderId="0" xfId="0" applyFont="1" applyFill="1" applyBorder="1" applyAlignment="1" applyProtection="1">
      <alignment horizontal="right"/>
    </xf>
    <xf numFmtId="169"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3" fontId="6" fillId="0" borderId="37" xfId="0" applyNumberFormat="1" applyFont="1" applyBorder="1" applyProtection="1"/>
    <xf numFmtId="173" fontId="6" fillId="0" borderId="26" xfId="0" applyNumberFormat="1" applyFont="1" applyBorder="1" applyProtection="1"/>
    <xf numFmtId="173" fontId="6" fillId="0" borderId="22" xfId="0" applyNumberFormat="1" applyFont="1" applyBorder="1" applyProtection="1"/>
    <xf numFmtId="173" fontId="6" fillId="0" borderId="0" xfId="0" applyNumberFormat="1" applyFont="1" applyBorder="1" applyProtection="1"/>
    <xf numFmtId="173" fontId="6" fillId="0" borderId="13" xfId="0" applyNumberFormat="1" applyFont="1" applyBorder="1" applyProtection="1"/>
    <xf numFmtId="173"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9" fontId="7" fillId="0" borderId="22" xfId="0" applyNumberFormat="1" applyFont="1" applyBorder="1" applyAlignment="1">
      <alignment horizontal="center"/>
    </xf>
    <xf numFmtId="169" fontId="6" fillId="0" borderId="22" xfId="42" applyNumberFormat="1" applyFont="1" applyBorder="1" applyAlignment="1">
      <alignment horizontal="center"/>
    </xf>
    <xf numFmtId="169" fontId="7" fillId="0" borderId="31" xfId="0" applyNumberFormat="1" applyFont="1" applyBorder="1"/>
    <xf numFmtId="169" fontId="6" fillId="0" borderId="22" xfId="0" applyNumberFormat="1" applyFont="1" applyBorder="1"/>
    <xf numFmtId="169" fontId="7" fillId="0" borderId="43" xfId="42" applyNumberFormat="1" applyFont="1" applyBorder="1" applyAlignment="1">
      <alignment horizontal="center"/>
    </xf>
    <xf numFmtId="169" fontId="7" fillId="0" borderId="29" xfId="42" applyNumberFormat="1" applyFont="1" applyBorder="1" applyAlignment="1">
      <alignment horizontal="center"/>
    </xf>
    <xf numFmtId="173"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3" fontId="6" fillId="32" borderId="22" xfId="0" applyNumberFormat="1" applyFont="1" applyFill="1" applyBorder="1" applyProtection="1">
      <protection locked="0"/>
    </xf>
    <xf numFmtId="173" fontId="6" fillId="32" borderId="43" xfId="0" applyNumberFormat="1" applyFont="1" applyFill="1" applyBorder="1" applyProtection="1">
      <protection locked="0"/>
    </xf>
    <xf numFmtId="173" fontId="6" fillId="32" borderId="46" xfId="0" applyNumberFormat="1" applyFont="1" applyFill="1" applyBorder="1" applyProtection="1">
      <protection locked="0"/>
    </xf>
    <xf numFmtId="173" fontId="6" fillId="32" borderId="49" xfId="0" applyNumberFormat="1" applyFont="1" applyFill="1" applyBorder="1" applyProtection="1">
      <protection locked="0"/>
    </xf>
    <xf numFmtId="173" fontId="7" fillId="32" borderId="43" xfId="0" applyNumberFormat="1" applyFont="1" applyFill="1" applyBorder="1" applyProtection="1">
      <protection locked="0"/>
    </xf>
    <xf numFmtId="173" fontId="7" fillId="32" borderId="49" xfId="0" applyNumberFormat="1" applyFont="1" applyFill="1" applyBorder="1" applyProtection="1">
      <protection locked="0"/>
    </xf>
    <xf numFmtId="173" fontId="6" fillId="32" borderId="37" xfId="0" applyNumberFormat="1" applyFont="1" applyFill="1" applyBorder="1" applyAlignment="1" applyProtection="1">
      <alignment horizontal="right"/>
      <protection locked="0"/>
    </xf>
    <xf numFmtId="173" fontId="6" fillId="32" borderId="26" xfId="0" applyNumberFormat="1" applyFont="1" applyFill="1" applyBorder="1" applyAlignment="1" applyProtection="1">
      <alignment horizontal="right"/>
      <protection locked="0"/>
    </xf>
    <xf numFmtId="173" fontId="6" fillId="32" borderId="22" xfId="0" applyNumberFormat="1" applyFont="1" applyFill="1" applyBorder="1" applyAlignment="1" applyProtection="1">
      <alignment horizontal="right"/>
      <protection locked="0"/>
    </xf>
    <xf numFmtId="173" fontId="6" fillId="32" borderId="0" xfId="0" applyNumberFormat="1" applyFont="1" applyFill="1" applyBorder="1" applyAlignment="1" applyProtection="1">
      <alignment horizontal="right"/>
      <protection locked="0"/>
    </xf>
    <xf numFmtId="173" fontId="6" fillId="32" borderId="13" xfId="0" applyNumberFormat="1" applyFont="1" applyFill="1" applyBorder="1" applyAlignment="1" applyProtection="1">
      <alignment horizontal="right"/>
      <protection locked="0"/>
    </xf>
    <xf numFmtId="173" fontId="6" fillId="32" borderId="37" xfId="0" applyNumberFormat="1" applyFont="1" applyFill="1" applyBorder="1" applyProtection="1">
      <protection locked="0"/>
    </xf>
    <xf numFmtId="173" fontId="6" fillId="32" borderId="26" xfId="0" applyNumberFormat="1" applyFont="1" applyFill="1" applyBorder="1" applyProtection="1">
      <protection locked="0"/>
    </xf>
    <xf numFmtId="173" fontId="6" fillId="32" borderId="0" xfId="0" applyNumberFormat="1" applyFont="1" applyFill="1" applyBorder="1" applyProtection="1">
      <protection locked="0"/>
    </xf>
    <xf numFmtId="173" fontId="6" fillId="32" borderId="13" xfId="0" applyNumberFormat="1" applyFont="1" applyFill="1" applyBorder="1" applyProtection="1">
      <protection locked="0"/>
    </xf>
    <xf numFmtId="173" fontId="6" fillId="32" borderId="10" xfId="0" applyNumberFormat="1" applyFont="1" applyFill="1" applyBorder="1" applyProtection="1">
      <protection locked="0"/>
    </xf>
    <xf numFmtId="173" fontId="6" fillId="32" borderId="54" xfId="0" applyNumberFormat="1" applyFont="1" applyFill="1" applyBorder="1" applyProtection="1">
      <protection locked="0"/>
    </xf>
    <xf numFmtId="173" fontId="6" fillId="32" borderId="66" xfId="0" applyNumberFormat="1" applyFont="1" applyFill="1" applyBorder="1" applyProtection="1">
      <protection locked="0"/>
    </xf>
    <xf numFmtId="173" fontId="6" fillId="32" borderId="36" xfId="0" applyNumberFormat="1" applyFont="1" applyFill="1" applyBorder="1" applyProtection="1">
      <protection locked="0"/>
    </xf>
    <xf numFmtId="173" fontId="6" fillId="32" borderId="51" xfId="0" applyNumberFormat="1" applyFont="1" applyFill="1" applyBorder="1" applyProtection="1">
      <protection locked="0"/>
    </xf>
    <xf numFmtId="173" fontId="6" fillId="32" borderId="45" xfId="0" applyNumberFormat="1" applyFont="1" applyFill="1" applyBorder="1" applyProtection="1">
      <protection locked="0"/>
    </xf>
    <xf numFmtId="173" fontId="6" fillId="32" borderId="46" xfId="28" applyNumberFormat="1" applyFont="1" applyFill="1" applyBorder="1" applyProtection="1">
      <protection locked="0"/>
    </xf>
    <xf numFmtId="173" fontId="6" fillId="32" borderId="45" xfId="28" applyNumberFormat="1" applyFont="1" applyFill="1" applyBorder="1" applyProtection="1">
      <protection locked="0"/>
    </xf>
    <xf numFmtId="173" fontId="6" fillId="32" borderId="22" xfId="28" applyNumberFormat="1" applyFont="1" applyFill="1" applyBorder="1" applyProtection="1">
      <protection locked="0"/>
    </xf>
    <xf numFmtId="173"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3" fontId="6" fillId="32" borderId="19" xfId="0" applyNumberFormat="1" applyFont="1" applyFill="1" applyBorder="1" applyProtection="1">
      <protection locked="0"/>
    </xf>
    <xf numFmtId="169" fontId="6" fillId="32" borderId="10" xfId="42" applyNumberFormat="1" applyFont="1" applyFill="1" applyBorder="1" applyAlignment="1" applyProtection="1">
      <alignment horizontal="center" vertical="top" wrapText="1"/>
      <protection locked="0"/>
    </xf>
    <xf numFmtId="169" fontId="6" fillId="32" borderId="45" xfId="42" applyNumberFormat="1" applyFont="1" applyFill="1" applyBorder="1" applyAlignment="1" applyProtection="1">
      <alignment horizontal="center" vertical="top" wrapText="1"/>
      <protection locked="0"/>
    </xf>
    <xf numFmtId="169" fontId="6" fillId="32" borderId="22" xfId="42" applyNumberFormat="1" applyFont="1" applyFill="1" applyBorder="1" applyAlignment="1" applyProtection="1">
      <alignment horizontal="center" vertical="top" wrapText="1"/>
      <protection locked="0"/>
    </xf>
    <xf numFmtId="169" fontId="6" fillId="32" borderId="46" xfId="42" applyNumberFormat="1" applyFont="1" applyFill="1" applyBorder="1" applyAlignment="1" applyProtection="1">
      <alignment horizontal="center" vertical="top" wrapText="1"/>
      <protection locked="0"/>
    </xf>
    <xf numFmtId="169" fontId="6" fillId="32" borderId="19" xfId="42" applyNumberFormat="1" applyFont="1" applyFill="1" applyBorder="1" applyAlignment="1" applyProtection="1">
      <alignment horizontal="center" vertical="top" wrapText="1"/>
      <protection locked="0"/>
    </xf>
    <xf numFmtId="169" fontId="6" fillId="32" borderId="58" xfId="42" applyNumberFormat="1" applyFont="1" applyFill="1" applyBorder="1" applyAlignment="1" applyProtection="1">
      <alignment horizontal="center" vertical="top" wrapText="1"/>
      <protection locked="0"/>
    </xf>
    <xf numFmtId="169" fontId="6" fillId="32" borderId="24" xfId="42" applyNumberFormat="1" applyFont="1" applyFill="1" applyBorder="1" applyAlignment="1" applyProtection="1">
      <alignment horizontal="center" vertical="top" wrapText="1"/>
      <protection locked="0"/>
    </xf>
    <xf numFmtId="169" fontId="6" fillId="32" borderId="50" xfId="42" applyNumberFormat="1" applyFont="1" applyFill="1" applyBorder="1" applyAlignment="1" applyProtection="1">
      <alignment horizontal="center" vertical="top" wrapText="1"/>
      <protection locked="0"/>
    </xf>
    <xf numFmtId="170" fontId="6" fillId="32" borderId="0" xfId="0" applyNumberFormat="1" applyFont="1" applyFill="1" applyBorder="1" applyProtection="1">
      <protection locked="0"/>
    </xf>
    <xf numFmtId="170" fontId="6" fillId="32" borderId="13" xfId="0" applyNumberFormat="1" applyFont="1" applyFill="1" applyBorder="1" applyProtection="1">
      <protection locked="0"/>
    </xf>
    <xf numFmtId="170" fontId="6" fillId="32" borderId="0" xfId="28" applyNumberFormat="1" applyFont="1" applyFill="1" applyBorder="1" applyProtection="1">
      <protection locked="0"/>
    </xf>
    <xf numFmtId="170" fontId="6" fillId="32" borderId="13" xfId="28" applyNumberFormat="1" applyFont="1" applyFill="1" applyBorder="1" applyProtection="1">
      <protection locked="0"/>
    </xf>
    <xf numFmtId="170" fontId="6" fillId="32" borderId="14" xfId="28" applyNumberFormat="1" applyFont="1" applyFill="1" applyBorder="1" applyProtection="1">
      <protection locked="0"/>
    </xf>
    <xf numFmtId="170" fontId="6" fillId="32" borderId="14" xfId="0" applyNumberFormat="1" applyFont="1" applyFill="1" applyBorder="1" applyProtection="1">
      <protection locked="0"/>
    </xf>
    <xf numFmtId="170"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3" fontId="6" fillId="32" borderId="67" xfId="0" applyNumberFormat="1" applyFont="1" applyFill="1" applyBorder="1" applyProtection="1">
      <protection locked="0"/>
    </xf>
    <xf numFmtId="173"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3" fontId="7" fillId="32" borderId="67" xfId="0" applyNumberFormat="1" applyFont="1" applyFill="1" applyBorder="1" applyProtection="1">
      <protection locked="0"/>
    </xf>
    <xf numFmtId="173"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3" fontId="7" fillId="32" borderId="10" xfId="0" applyNumberFormat="1" applyFont="1" applyFill="1" applyBorder="1" applyProtection="1">
      <protection locked="0"/>
    </xf>
    <xf numFmtId="173" fontId="7" fillId="32" borderId="26" xfId="0" applyNumberFormat="1" applyFont="1" applyFill="1" applyBorder="1" applyProtection="1">
      <protection locked="0"/>
    </xf>
    <xf numFmtId="173" fontId="7" fillId="32" borderId="22" xfId="0" applyNumberFormat="1" applyFont="1" applyFill="1" applyBorder="1" applyProtection="1">
      <protection locked="0"/>
    </xf>
    <xf numFmtId="173"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3"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6"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6"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3"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9" fontId="7" fillId="0" borderId="46" xfId="42" applyNumberFormat="1" applyFont="1" applyFill="1" applyBorder="1" applyAlignment="1">
      <alignment horizontal="center" wrapText="1"/>
    </xf>
    <xf numFmtId="169" fontId="6" fillId="0" borderId="49" xfId="42" applyNumberFormat="1" applyFont="1" applyFill="1" applyBorder="1" applyAlignment="1">
      <alignment horizontal="center" vertical="top" wrapText="1"/>
    </xf>
    <xf numFmtId="169" fontId="7" fillId="0" borderId="49" xfId="42" applyNumberFormat="1" applyFont="1" applyFill="1" applyBorder="1" applyAlignment="1">
      <alignment horizontal="center" vertical="top" wrapText="1"/>
    </xf>
    <xf numFmtId="169" fontId="7" fillId="0" borderId="47" xfId="42" applyNumberFormat="1" applyFont="1" applyFill="1" applyBorder="1" applyAlignment="1">
      <alignment horizontal="center" vertical="top" wrapText="1"/>
    </xf>
    <xf numFmtId="169"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3" fontId="6" fillId="0" borderId="11" xfId="0" applyNumberFormat="1" applyFont="1" applyBorder="1"/>
    <xf numFmtId="173" fontId="7" fillId="0" borderId="11" xfId="0" applyNumberFormat="1" applyFont="1" applyBorder="1"/>
    <xf numFmtId="173"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3" fontId="7" fillId="0" borderId="54" xfId="0" applyNumberFormat="1" applyFont="1" applyFill="1" applyBorder="1"/>
    <xf numFmtId="173" fontId="7" fillId="0" borderId="62" xfId="0" applyNumberFormat="1" applyFont="1" applyFill="1" applyBorder="1"/>
    <xf numFmtId="173" fontId="7" fillId="0" borderId="36" xfId="0" applyNumberFormat="1" applyFont="1" applyFill="1" applyBorder="1"/>
    <xf numFmtId="173"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7" fontId="6" fillId="32" borderId="46" xfId="0" applyNumberFormat="1" applyFont="1" applyFill="1" applyBorder="1" applyAlignment="1" applyProtection="1">
      <alignment horizontal="center"/>
      <protection locked="0"/>
    </xf>
    <xf numFmtId="173" fontId="6" fillId="32" borderId="26" xfId="0" applyNumberFormat="1" applyFont="1" applyFill="1" applyBorder="1" applyAlignment="1" applyProtection="1">
      <protection locked="0"/>
    </xf>
    <xf numFmtId="173" fontId="6" fillId="32" borderId="45" xfId="0" applyNumberFormat="1" applyFont="1" applyFill="1" applyBorder="1" applyAlignment="1" applyProtection="1">
      <protection locked="0"/>
    </xf>
    <xf numFmtId="173" fontId="6" fillId="32" borderId="22" xfId="0" applyNumberFormat="1" applyFont="1" applyFill="1" applyBorder="1" applyAlignment="1" applyProtection="1">
      <protection locked="0"/>
    </xf>
    <xf numFmtId="173" fontId="7" fillId="0" borderId="46" xfId="0" applyNumberFormat="1" applyFont="1" applyBorder="1" applyAlignment="1" applyProtection="1"/>
    <xf numFmtId="0" fontId="6" fillId="0" borderId="78" xfId="0" applyNumberFormat="1" applyFont="1" applyBorder="1" applyAlignment="1">
      <alignment horizontal="center"/>
    </xf>
    <xf numFmtId="177" fontId="6" fillId="0" borderId="49" xfId="0" applyNumberFormat="1" applyFont="1" applyBorder="1" applyAlignment="1">
      <alignment horizontal="center"/>
    </xf>
    <xf numFmtId="173" fontId="7" fillId="0" borderId="52" xfId="0" applyNumberFormat="1" applyFont="1" applyBorder="1" applyAlignment="1"/>
    <xf numFmtId="173" fontId="7" fillId="0" borderId="60" xfId="0" applyNumberFormat="1" applyFont="1" applyBorder="1" applyAlignment="1"/>
    <xf numFmtId="173" fontId="7" fillId="0" borderId="43" xfId="0" applyNumberFormat="1" applyFont="1" applyBorder="1" applyAlignment="1"/>
    <xf numFmtId="173" fontId="7" fillId="0" borderId="49" xfId="0" applyNumberFormat="1" applyFont="1" applyBorder="1" applyAlignment="1"/>
    <xf numFmtId="0" fontId="6" fillId="0" borderId="37" xfId="0" applyNumberFormat="1" applyFont="1" applyBorder="1" applyAlignment="1">
      <alignment horizontal="center"/>
    </xf>
    <xf numFmtId="177" fontId="6" fillId="0" borderId="46" xfId="0" applyNumberFormat="1" applyFont="1" applyBorder="1" applyAlignment="1">
      <alignment horizontal="center"/>
    </xf>
    <xf numFmtId="173" fontId="6" fillId="0" borderId="26" xfId="0" applyNumberFormat="1" applyFont="1" applyBorder="1" applyAlignment="1"/>
    <xf numFmtId="173" fontId="6" fillId="0" borderId="45" xfId="0" applyNumberFormat="1" applyFont="1" applyBorder="1" applyAlignment="1"/>
    <xf numFmtId="173" fontId="6" fillId="0" borderId="22" xfId="0" applyNumberFormat="1" applyFont="1" applyBorder="1" applyAlignment="1"/>
    <xf numFmtId="173" fontId="6" fillId="0" borderId="46" xfId="0" applyNumberFormat="1" applyFont="1" applyBorder="1" applyAlignment="1"/>
    <xf numFmtId="0" fontId="6" fillId="0" borderId="52" xfId="0" applyNumberFormat="1" applyFont="1" applyBorder="1" applyAlignment="1">
      <alignment horizontal="center"/>
    </xf>
    <xf numFmtId="173" fontId="7" fillId="0" borderId="26" xfId="0" applyNumberFormat="1" applyFont="1" applyBorder="1" applyAlignment="1"/>
    <xf numFmtId="173" fontId="7" fillId="0" borderId="45" xfId="0" applyNumberFormat="1" applyFont="1" applyBorder="1" applyAlignment="1"/>
    <xf numFmtId="173" fontId="7" fillId="0" borderId="22" xfId="0" applyNumberFormat="1" applyFont="1" applyBorder="1" applyAlignment="1"/>
    <xf numFmtId="173"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7" fontId="6" fillId="0" borderId="50" xfId="0" applyNumberFormat="1" applyFont="1" applyBorder="1" applyAlignment="1">
      <alignment horizontal="center"/>
    </xf>
    <xf numFmtId="173" fontId="7" fillId="0" borderId="30" xfId="0" applyNumberFormat="1" applyFont="1" applyBorder="1" applyAlignment="1"/>
    <xf numFmtId="173" fontId="7" fillId="0" borderId="64" xfId="0" applyNumberFormat="1" applyFont="1" applyBorder="1" applyAlignment="1"/>
    <xf numFmtId="173" fontId="7" fillId="0" borderId="29" xfId="0" applyNumberFormat="1" applyFont="1" applyBorder="1" applyAlignment="1"/>
    <xf numFmtId="173" fontId="7" fillId="0" borderId="56" xfId="0" applyNumberFormat="1" applyFont="1" applyBorder="1" applyAlignment="1"/>
    <xf numFmtId="173" fontId="6" fillId="0" borderId="10" xfId="0" applyNumberFormat="1" applyFont="1" applyFill="1" applyBorder="1" applyAlignment="1" applyProtection="1">
      <alignment horizontal="left" vertical="top" wrapText="1" indent="1"/>
    </xf>
    <xf numFmtId="173" fontId="6" fillId="0" borderId="26" xfId="0" applyNumberFormat="1" applyFont="1" applyFill="1" applyBorder="1" applyAlignment="1" applyProtection="1">
      <alignment horizontal="left" vertical="top" wrapText="1" indent="1"/>
    </xf>
    <xf numFmtId="173" fontId="6" fillId="0" borderId="22" xfId="0" applyNumberFormat="1" applyFont="1" applyFill="1" applyBorder="1" applyAlignment="1" applyProtection="1">
      <alignment horizontal="left" vertical="top" wrapText="1" indent="1"/>
    </xf>
    <xf numFmtId="173" fontId="6" fillId="0" borderId="37" xfId="0" applyNumberFormat="1" applyFont="1" applyFill="1" applyBorder="1" applyAlignment="1" applyProtection="1">
      <alignment horizontal="left" vertical="top" wrapText="1" indent="1"/>
    </xf>
    <xf numFmtId="174" fontId="6" fillId="0" borderId="22" xfId="42" applyNumberFormat="1" applyFont="1" applyBorder="1" applyAlignment="1">
      <alignment horizontal="left" vertical="top" wrapText="1" indent="1"/>
    </xf>
    <xf numFmtId="173"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70" fontId="6" fillId="0" borderId="10" xfId="0" applyNumberFormat="1" applyFont="1" applyBorder="1" applyAlignment="1">
      <alignment horizontal="left" vertical="top" wrapText="1" indent="1"/>
    </xf>
    <xf numFmtId="173" fontId="6" fillId="32" borderId="45" xfId="0" applyNumberFormat="1" applyFont="1" applyFill="1" applyBorder="1" applyAlignment="1" applyProtection="1">
      <alignment horizontal="left" vertical="top" wrapText="1" indent="1"/>
      <protection locked="0"/>
    </xf>
    <xf numFmtId="173" fontId="6" fillId="32" borderId="22" xfId="0" applyNumberFormat="1" applyFont="1" applyFill="1" applyBorder="1" applyAlignment="1" applyProtection="1">
      <alignment horizontal="left" vertical="top" wrapText="1" indent="1"/>
      <protection locked="0"/>
    </xf>
    <xf numFmtId="173" fontId="6" fillId="0" borderId="37" xfId="0" applyNumberFormat="1" applyFont="1" applyBorder="1" applyAlignment="1">
      <alignment horizontal="left" vertical="top" wrapText="1" indent="1"/>
    </xf>
    <xf numFmtId="173" fontId="6" fillId="32" borderId="26" xfId="0" applyNumberFormat="1" applyFont="1" applyFill="1" applyBorder="1" applyAlignment="1" applyProtection="1">
      <alignment horizontal="left" vertical="top" wrapText="1" indent="1"/>
      <protection locked="0"/>
    </xf>
    <xf numFmtId="173" fontId="6" fillId="32" borderId="46" xfId="0" applyNumberFormat="1" applyFont="1" applyFill="1" applyBorder="1" applyAlignment="1" applyProtection="1">
      <alignment horizontal="left" vertical="top" wrapText="1" indent="1"/>
      <protection locked="0"/>
    </xf>
    <xf numFmtId="173" fontId="6" fillId="32" borderId="37" xfId="0" applyNumberFormat="1" applyFont="1" applyFill="1" applyBorder="1" applyAlignment="1" applyProtection="1">
      <alignment horizontal="center"/>
      <protection locked="0"/>
    </xf>
    <xf numFmtId="164"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3" fontId="16" fillId="32" borderId="18" xfId="0" applyNumberFormat="1" applyFont="1" applyFill="1" applyBorder="1" applyAlignment="1" applyProtection="1">
      <alignment horizontal="justify" wrapText="1"/>
      <protection locked="0"/>
    </xf>
    <xf numFmtId="3" fontId="16" fillId="32" borderId="65" xfId="0" applyNumberFormat="1" applyFont="1" applyFill="1" applyBorder="1" applyAlignment="1" applyProtection="1">
      <alignment horizontal="justify" wrapText="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440690279.0800001</c:v>
                </c:pt>
                <c:pt idx="1">
                  <c:v>138420312.27000001</c:v>
                </c:pt>
                <c:pt idx="2">
                  <c:v>114545127.72999999</c:v>
                </c:pt>
                <c:pt idx="3">
                  <c:v>124237484.80000001</c:v>
                </c:pt>
                <c:pt idx="4">
                  <c:v>106807246.14999999</c:v>
                </c:pt>
                <c:pt idx="5">
                  <c:v>91316267.530000001</c:v>
                </c:pt>
                <c:pt idx="6">
                  <c:v>490755753.45999992</c:v>
                </c:pt>
                <c:pt idx="7">
                  <c:v>3301923940.4199996</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642595431.96000004</c:v>
                </c:pt>
                <c:pt idx="1">
                  <c:v>108240381.34</c:v>
                </c:pt>
                <c:pt idx="2">
                  <c:v>44009736.210000008</c:v>
                </c:pt>
                <c:pt idx="3">
                  <c:v>108503285.74000002</c:v>
                </c:pt>
                <c:pt idx="4">
                  <c:v>76879044.390000001</c:v>
                </c:pt>
                <c:pt idx="5">
                  <c:v>93223283.939999998</c:v>
                </c:pt>
                <c:pt idx="6">
                  <c:v>428350856.12</c:v>
                </c:pt>
                <c:pt idx="7">
                  <c:v>2602563840.0400004</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219950846.70370001</c:v>
                </c:pt>
                <c:pt idx="1">
                  <c:v>702669855.98829985</c:v>
                </c:pt>
                <c:pt idx="2">
                  <c:v>3511251851.415</c:v>
                </c:pt>
                <c:pt idx="3">
                  <c:v>230562964.98980001</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226753450.21000001</c:v>
                </c:pt>
                <c:pt idx="1">
                  <c:v>724401913.38999987</c:v>
                </c:pt>
                <c:pt idx="2">
                  <c:v>3619847269.5</c:v>
                </c:pt>
                <c:pt idx="3">
                  <c:v>237693778.34</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143091668.13999999</c:v>
                </c:pt>
                <c:pt idx="1">
                  <c:v>12742194.800000001</c:v>
                </c:pt>
                <c:pt idx="2">
                  <c:v>0</c:v>
                </c:pt>
                <c:pt idx="3">
                  <c:v>206242948.99000001</c:v>
                </c:pt>
                <c:pt idx="4">
                  <c:v>0</c:v>
                </c:pt>
                <c:pt idx="5">
                  <c:v>0</c:v>
                </c:pt>
                <c:pt idx="6">
                  <c:v>53693961.099999994</c:v>
                </c:pt>
                <c:pt idx="7">
                  <c:v>0</c:v>
                </c:pt>
                <c:pt idx="8">
                  <c:v>381205971.88</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147529500.84</c:v>
                </c:pt>
                <c:pt idx="1">
                  <c:v>334874882.28999996</c:v>
                </c:pt>
                <c:pt idx="2">
                  <c:v>0</c:v>
                </c:pt>
                <c:pt idx="3">
                  <c:v>198646045.73000002</c:v>
                </c:pt>
                <c:pt idx="4">
                  <c:v>0</c:v>
                </c:pt>
                <c:pt idx="5">
                  <c:v>0</c:v>
                </c:pt>
                <c:pt idx="6">
                  <c:v>59929581.209999993</c:v>
                </c:pt>
                <c:pt idx="7">
                  <c:v>1274831.8500000001</c:v>
                </c:pt>
                <c:pt idx="8">
                  <c:v>362882312.38</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936648.53999999957</c:v>
                </c:pt>
                <c:pt idx="1">
                  <c:v>28293360.050000001</c:v>
                </c:pt>
                <c:pt idx="2">
                  <c:v>51276404.180000007</c:v>
                </c:pt>
                <c:pt idx="3">
                  <c:v>34751661.439999998</c:v>
                </c:pt>
                <c:pt idx="4">
                  <c:v>64917006.57</c:v>
                </c:pt>
                <c:pt idx="5">
                  <c:v>66421825.969999984</c:v>
                </c:pt>
                <c:pt idx="6">
                  <c:v>4048843.38</c:v>
                </c:pt>
                <c:pt idx="7">
                  <c:v>35188377.060000002</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936648.53999999957</c:v>
                </c:pt>
                <c:pt idx="1">
                  <c:v>29230008.59</c:v>
                </c:pt>
                <c:pt idx="2">
                  <c:v>80506412.770000011</c:v>
                </c:pt>
                <c:pt idx="3">
                  <c:v>115258074.21000001</c:v>
                </c:pt>
                <c:pt idx="4">
                  <c:v>180175080.78</c:v>
                </c:pt>
                <c:pt idx="5">
                  <c:v>246596906.75</c:v>
                </c:pt>
                <c:pt idx="6">
                  <c:v>250645750.13</c:v>
                </c:pt>
                <c:pt idx="7">
                  <c:v>285834127.19</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4" val="9"/>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8" val="6"/>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541"/>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P30" sqref="P30"/>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6" t="str">
        <f>muni&amp; " - "&amp;S71C&amp; " - "&amp;date</f>
        <v>KZN225 Msunduzi - Table C3 Consolidated Monthly Budget Statement - Financial Performance (revenue and expenditure by municipal vote)  - M08 February</v>
      </c>
      <c r="B1" s="1046"/>
      <c r="C1" s="1046"/>
      <c r="D1" s="1046"/>
      <c r="E1" s="1046"/>
      <c r="F1" s="1046"/>
      <c r="G1" s="1046"/>
      <c r="H1" s="1046"/>
      <c r="I1" s="1046"/>
      <c r="J1" s="1046"/>
      <c r="K1" s="1046"/>
    </row>
    <row r="2" spans="1:24" x14ac:dyDescent="0.25">
      <c r="A2" s="20" t="str">
        <f>Vdesc</f>
        <v>Vote Description</v>
      </c>
      <c r="B2" s="1037" t="str">
        <f>head27</f>
        <v>Ref</v>
      </c>
      <c r="C2" s="142" t="str">
        <f>Head1</f>
        <v>2019/20</v>
      </c>
      <c r="D2" s="1039" t="str">
        <f>Head2</f>
        <v>Budget Year 2020/21</v>
      </c>
      <c r="E2" s="1040"/>
      <c r="F2" s="1040"/>
      <c r="G2" s="1040"/>
      <c r="H2" s="1040"/>
      <c r="I2" s="1040"/>
      <c r="J2" s="1040"/>
      <c r="K2" s="1041"/>
    </row>
    <row r="3" spans="1:24" ht="25.5" x14ac:dyDescent="0.25">
      <c r="A3" s="168"/>
      <c r="B3" s="1048"/>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9"/>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3000</v>
      </c>
      <c r="H6" s="44">
        <f>'C3C'!H6</f>
        <v>2965020.0089333332</v>
      </c>
      <c r="I6" s="44">
        <f>G6-H6</f>
        <v>-2962020.0089333332</v>
      </c>
      <c r="J6" s="715">
        <f>IF(I6=0,"",I6/H6)</f>
        <v>-0.99898820244350417</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110209599.57000001</v>
      </c>
      <c r="G7" s="44">
        <f>'C3C'!G17</f>
        <v>1170875039.45</v>
      </c>
      <c r="H7" s="44">
        <f>'C3C'!H17</f>
        <v>1656754630.5247555</v>
      </c>
      <c r="I7" s="44">
        <f t="shared" ref="I7:I20" si="0">G7-H7</f>
        <v>-485879591.07475543</v>
      </c>
      <c r="J7" s="715">
        <f t="shared" ref="J7:J21" si="1">IF(I7=0,"",I7/H7)</f>
        <v>-0.29327190769393496</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12488424.880000001</v>
      </c>
      <c r="G8" s="44">
        <f>'C3C'!G28</f>
        <v>126523891.88</v>
      </c>
      <c r="H8" s="44">
        <f>'C3C'!H28</f>
        <v>143109562.86386114</v>
      </c>
      <c r="I8" s="44">
        <f t="shared" si="0"/>
        <v>-16585670.983861148</v>
      </c>
      <c r="J8" s="715">
        <f t="shared" si="1"/>
        <v>-0.11589491751602198</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1146502.97</v>
      </c>
      <c r="G9" s="44">
        <f>'C3C'!G39</f>
        <v>3147280.55</v>
      </c>
      <c r="H9" s="44">
        <f>'C3C'!H39</f>
        <v>12826120.457666667</v>
      </c>
      <c r="I9" s="44">
        <f t="shared" si="0"/>
        <v>-9678839.9076666683</v>
      </c>
      <c r="J9" s="715">
        <f t="shared" si="1"/>
        <v>-0.75461944549891169</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283442245.05999994</v>
      </c>
      <c r="G10" s="44">
        <f>'C3C'!G50</f>
        <v>2718081482.1900001</v>
      </c>
      <c r="H10" s="44">
        <f>'C3C'!H50</f>
        <v>2250897581.8009944</v>
      </c>
      <c r="I10" s="44">
        <f t="shared" si="0"/>
        <v>467183900.38900566</v>
      </c>
      <c r="J10" s="715">
        <f t="shared" si="1"/>
        <v>0.20755449033589576</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495093158.38774735</v>
      </c>
      <c r="F11" s="44">
        <f>'C3C'!F61</f>
        <v>10221451.66</v>
      </c>
      <c r="G11" s="44">
        <f>'C3C'!G61</f>
        <v>91694007.719999999</v>
      </c>
      <c r="H11" s="44">
        <f>'C3C'!H61</f>
        <v>330062105.59183156</v>
      </c>
      <c r="I11" s="44">
        <f t="shared" si="0"/>
        <v>-238368097.87183157</v>
      </c>
      <c r="J11" s="715">
        <f t="shared" si="1"/>
        <v>-0.72219165373260819</v>
      </c>
      <c r="K11" s="144">
        <f>'C3C'!K61</f>
        <v>495093158.38774735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6594922531.8720646</v>
      </c>
      <c r="F21" s="73">
        <f t="shared" si="2"/>
        <v>417508224.13999999</v>
      </c>
      <c r="G21" s="73">
        <f t="shared" si="2"/>
        <v>4110324701.7899995</v>
      </c>
      <c r="H21" s="73">
        <f t="shared" si="2"/>
        <v>4396615021.2480421</v>
      </c>
      <c r="I21" s="73">
        <f t="shared" si="2"/>
        <v>-286290319.4580425</v>
      </c>
      <c r="J21" s="716">
        <f t="shared" si="1"/>
        <v>-6.5116076362031552E-2</v>
      </c>
      <c r="K21" s="145">
        <f>SUM(K6:K20)</f>
        <v>6594922531.8720646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187429782.20182845</v>
      </c>
      <c r="F24" s="44">
        <f>'C3C'!F174</f>
        <v>11197415.639999999</v>
      </c>
      <c r="G24" s="44">
        <f>'C3C'!G174</f>
        <v>93745512.830000013</v>
      </c>
      <c r="H24" s="44">
        <f>'C3C'!H174</f>
        <v>124953188.13455229</v>
      </c>
      <c r="I24" s="44">
        <f t="shared" ref="I24:I38" si="3">G24-H24</f>
        <v>-31207675.304552272</v>
      </c>
      <c r="J24" s="715">
        <f t="shared" ref="J24:J29" si="4">IF(I24=0,"",I24/H24)</f>
        <v>-0.24975493439148727</v>
      </c>
      <c r="K24" s="144">
        <f>'C3C'!K174</f>
        <v>187429782.20182845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705258982.70556009</v>
      </c>
      <c r="F25" s="44">
        <f>'C3C'!F185</f>
        <v>19815440.129999992</v>
      </c>
      <c r="G25" s="44">
        <f>'C3C'!G185</f>
        <v>286566446.65999997</v>
      </c>
      <c r="H25" s="44">
        <f>'C3C'!H185</f>
        <v>470172655.13704008</v>
      </c>
      <c r="I25" s="44">
        <f t="shared" si="3"/>
        <v>-183606208.47704011</v>
      </c>
      <c r="J25" s="715">
        <f t="shared" si="4"/>
        <v>-0.39050805373512176</v>
      </c>
      <c r="K25" s="144">
        <f>'C3C'!K185</f>
        <v>705258982.70556009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769029279.16259539</v>
      </c>
      <c r="F26" s="44">
        <f>'C3C'!F196</f>
        <v>64560855.979999997</v>
      </c>
      <c r="G26" s="44">
        <f>'C3C'!G196</f>
        <v>537953603.30000007</v>
      </c>
      <c r="H26" s="44">
        <f>'C3C'!H196</f>
        <v>512686186.10839695</v>
      </c>
      <c r="I26" s="44">
        <f t="shared" si="3"/>
        <v>25267417.191603124</v>
      </c>
      <c r="J26" s="715">
        <f t="shared" si="4"/>
        <v>4.9284372928785812E-2</v>
      </c>
      <c r="K26" s="144">
        <f>'C3C'!K196</f>
        <v>769029279.16259539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215358953.39108872</v>
      </c>
      <c r="F27" s="44">
        <f>'C3C'!F207</f>
        <v>9454225.9900000002</v>
      </c>
      <c r="G27" s="44">
        <f>'C3C'!G207</f>
        <v>84895708.700000018</v>
      </c>
      <c r="H27" s="44">
        <f>'C3C'!H207</f>
        <v>143572635.59405914</v>
      </c>
      <c r="I27" s="44">
        <f t="shared" si="3"/>
        <v>-58676926.894059122</v>
      </c>
      <c r="J27" s="715">
        <f t="shared" si="4"/>
        <v>-0.40869157727217414</v>
      </c>
      <c r="K27" s="144">
        <f>'C3C'!K207</f>
        <v>215358953.39108872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3407283654.0811782</v>
      </c>
      <c r="F28" s="44">
        <f>'C3C'!F218</f>
        <v>251926527.50000003</v>
      </c>
      <c r="G28" s="44">
        <f>'C3C'!G218</f>
        <v>2404363981.9499998</v>
      </c>
      <c r="H28" s="44">
        <f>'C3C'!H218</f>
        <v>2271522436.0541186</v>
      </c>
      <c r="I28" s="44">
        <f t="shared" si="3"/>
        <v>132841545.89588118</v>
      </c>
      <c r="J28" s="715">
        <f t="shared" si="4"/>
        <v>5.848128276762319E-2</v>
      </c>
      <c r="K28" s="144">
        <f>'C3C'!K218</f>
        <v>3407283654.0811782</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388790375.15482336</v>
      </c>
      <c r="F29" s="44">
        <f>'C3C'!F229</f>
        <v>21261049.289999999</v>
      </c>
      <c r="G29" s="44">
        <f>'C3C'!G229</f>
        <v>155047181.11999997</v>
      </c>
      <c r="H29" s="44">
        <f>'C3C'!H229</f>
        <v>259193583.43654892</v>
      </c>
      <c r="I29" s="44">
        <f t="shared" si="3"/>
        <v>-104146402.31654894</v>
      </c>
      <c r="J29" s="715">
        <f t="shared" si="4"/>
        <v>-0.4018093385480902</v>
      </c>
      <c r="K29" s="144">
        <f>'C3C'!K229</f>
        <v>388790375.15482336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5673151026.6970739</v>
      </c>
      <c r="F39" s="430">
        <f t="shared" si="6"/>
        <v>378215514.53000003</v>
      </c>
      <c r="G39" s="430">
        <f t="shared" si="6"/>
        <v>3562572434.5599999</v>
      </c>
      <c r="H39" s="430">
        <f t="shared" si="6"/>
        <v>3782100684.464716</v>
      </c>
      <c r="I39" s="430">
        <f t="shared" si="6"/>
        <v>-219528249.90471613</v>
      </c>
      <c r="J39" s="718">
        <f>IF(I39=0,"",I39/H39)</f>
        <v>-5.8043999411873444E-2</v>
      </c>
      <c r="K39" s="513">
        <f>SUM(K24:K38)</f>
        <v>5673151026.6970739</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921771505.17499065</v>
      </c>
      <c r="F40" s="55">
        <f t="shared" si="7"/>
        <v>39292709.609999955</v>
      </c>
      <c r="G40" s="55">
        <f t="shared" si="7"/>
        <v>547752267.22999954</v>
      </c>
      <c r="H40" s="55">
        <f t="shared" si="7"/>
        <v>614514336.78332615</v>
      </c>
      <c r="I40" s="55">
        <f>I21-I39</f>
        <v>-66762069.553326368</v>
      </c>
      <c r="J40" s="719">
        <f>IF(I40=0,"",I40/H40)</f>
        <v>-0.10864200484368235</v>
      </c>
      <c r="K40" s="235">
        <f>K21-K39</f>
        <v>921771505.17499065</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88" activePane="bottomRight" state="frozen"/>
      <selection pane="topRight"/>
      <selection pane="bottomLeft"/>
      <selection pane="bottomRight" activeCell="H172" sqref="H172"/>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M08 February</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3000</v>
      </c>
      <c r="H6" s="443">
        <f t="shared" si="0"/>
        <v>2965020.0089333332</v>
      </c>
      <c r="I6" s="44">
        <f t="shared" ref="I6:I69" si="1">G6-H6</f>
        <v>-2962020.0089333332</v>
      </c>
      <c r="J6" s="330">
        <f t="shared" ref="J6:J69" si="2">IF(I6=0,"",I6/H6)</f>
        <v>-0.99898820244350417</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v>3000</v>
      </c>
      <c r="H8" s="742">
        <f>E8/12*8</f>
        <v>2965020.0089333332</v>
      </c>
      <c r="I8" s="44">
        <f t="shared" si="1"/>
        <v>-2962020.0089333332</v>
      </c>
      <c r="J8" s="330">
        <f t="shared" si="2"/>
        <v>-0.99898820244350417</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110209599.57000001</v>
      </c>
      <c r="G17" s="441">
        <f t="shared" si="3"/>
        <v>1170875039.45</v>
      </c>
      <c r="H17" s="443">
        <f t="shared" si="3"/>
        <v>1656754630.5247555</v>
      </c>
      <c r="I17" s="44">
        <f t="shared" si="1"/>
        <v>-485879591.07475543</v>
      </c>
      <c r="J17" s="330">
        <f t="shared" si="2"/>
        <v>-0.29327190769393496</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1118493.42</v>
      </c>
      <c r="G18" s="741">
        <v>1167808.3</v>
      </c>
      <c r="H18" s="742"/>
      <c r="I18" s="44">
        <f t="shared" si="1"/>
        <v>1167808.3</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590338.48</v>
      </c>
      <c r="G19" s="741">
        <v>300088910.13999999</v>
      </c>
      <c r="H19" s="742">
        <f>E19/12*8</f>
        <v>405059333.33333397</v>
      </c>
      <c r="I19" s="44">
        <f t="shared" si="1"/>
        <v>-104970423.19333398</v>
      </c>
      <c r="J19" s="330">
        <f t="shared" si="2"/>
        <v>-0.2591482643530425</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108482520.11</v>
      </c>
      <c r="G21" s="741">
        <v>869540244.35000002</v>
      </c>
      <c r="H21" s="742">
        <f>E21/12*8</f>
        <v>1251695297.1914215</v>
      </c>
      <c r="I21" s="44">
        <f t="shared" si="1"/>
        <v>-382155052.84142148</v>
      </c>
      <c r="J21" s="330">
        <f t="shared" si="2"/>
        <v>-0.30530996936627347</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18247.560000000001</v>
      </c>
      <c r="G22" s="741">
        <v>78076.66</v>
      </c>
      <c r="H22" s="742"/>
      <c r="I22" s="44">
        <f t="shared" si="1"/>
        <v>78076.66</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SUM(F29:F32)</f>
        <v>12488424.880000001</v>
      </c>
      <c r="G28" s="441">
        <f>SUM(G29:G32)</f>
        <v>126523891.88</v>
      </c>
      <c r="H28" s="443">
        <f t="shared" si="4"/>
        <v>143109562.86386114</v>
      </c>
      <c r="I28" s="44">
        <f t="shared" si="1"/>
        <v>-16585670.983861148</v>
      </c>
      <c r="J28" s="330">
        <f t="shared" si="2"/>
        <v>-0.11589491751602198</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3022.99</v>
      </c>
      <c r="G29" s="741">
        <v>108316.5</v>
      </c>
      <c r="H29" s="741">
        <f t="shared" ref="H29:H32" si="5">E29/12*8</f>
        <v>2348792.1878666664</v>
      </c>
      <c r="I29" s="258">
        <f t="shared" si="1"/>
        <v>-2240475.6878666664</v>
      </c>
      <c r="J29" s="330">
        <f t="shared" si="2"/>
        <v>-0.95388417052835128</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162476.16</v>
      </c>
      <c r="G30" s="741">
        <v>1891172.3</v>
      </c>
      <c r="H30" s="742">
        <f t="shared" si="5"/>
        <v>3209689.2431999999</v>
      </c>
      <c r="I30" s="44">
        <f t="shared" si="1"/>
        <v>-1318516.9431999999</v>
      </c>
      <c r="J30" s="330">
        <f t="shared" si="2"/>
        <v>-0.41079271022682035</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794116.31</v>
      </c>
      <c r="G31" s="741">
        <v>16930155.98</v>
      </c>
      <c r="H31" s="742">
        <f t="shared" si="5"/>
        <v>14650703.191512287</v>
      </c>
      <c r="I31" s="44">
        <f t="shared" si="1"/>
        <v>2279452.7884877138</v>
      </c>
      <c r="J31" s="330">
        <f t="shared" si="2"/>
        <v>0.15558657893010133</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11528809.42</v>
      </c>
      <c r="G32" s="741">
        <v>107594247.09999999</v>
      </c>
      <c r="H32" s="742">
        <f t="shared" si="5"/>
        <v>122900378.24128218</v>
      </c>
      <c r="I32" s="44">
        <f t="shared" si="1"/>
        <v>-15306131.141282186</v>
      </c>
      <c r="J32" s="330">
        <f t="shared" si="2"/>
        <v>-0.12454096041293439</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v>16068403.749999996</v>
      </c>
      <c r="G33" s="741">
        <v>66465672.390000001</v>
      </c>
      <c r="H33" s="742"/>
      <c r="I33" s="44">
        <f t="shared" si="1"/>
        <v>66465672.390000001</v>
      </c>
      <c r="J33" s="330" t="e">
        <f t="shared" si="2"/>
        <v>#DIV/0!</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1146502.97</v>
      </c>
      <c r="G39" s="441">
        <f t="shared" si="7"/>
        <v>3147280.55</v>
      </c>
      <c r="H39" s="443">
        <f t="shared" si="7"/>
        <v>12826120.457666667</v>
      </c>
      <c r="I39" s="44">
        <f t="shared" si="1"/>
        <v>-9678839.9076666683</v>
      </c>
      <c r="J39" s="330">
        <f t="shared" si="2"/>
        <v>-0.75461944549891169</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v>704728.97</v>
      </c>
      <c r="G40" s="741">
        <v>1101158.03</v>
      </c>
      <c r="H40" s="742">
        <f t="shared" ref="H40:H42" si="8">E40/12*8</f>
        <v>12653372.427266667</v>
      </c>
      <c r="I40" s="44">
        <f t="shared" si="1"/>
        <v>-11552214.397266667</v>
      </c>
      <c r="J40" s="330">
        <f t="shared" si="2"/>
        <v>-0.91297513478484826</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c r="G41" s="741">
        <v>116.52</v>
      </c>
      <c r="H41" s="742">
        <f t="shared" si="8"/>
        <v>1344.0093333333332</v>
      </c>
      <c r="I41" s="44">
        <f t="shared" si="1"/>
        <v>-1227.4893333333332</v>
      </c>
      <c r="J41" s="330">
        <f t="shared" si="2"/>
        <v>-0.91330417348292225</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8"/>
        <v>171404.02106666667</v>
      </c>
      <c r="I42" s="44">
        <f t="shared" si="1"/>
        <v>-171404.02106666667</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v>441774</v>
      </c>
      <c r="G44" s="741">
        <v>2046006</v>
      </c>
      <c r="H44" s="742"/>
      <c r="I44" s="44">
        <f t="shared" si="1"/>
        <v>2046006</v>
      </c>
      <c r="J44" s="330" t="e">
        <f t="shared" si="2"/>
        <v>#DIV/0!</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283442245.05999994</v>
      </c>
      <c r="G50" s="441">
        <f t="shared" si="10"/>
        <v>2718081482.1900001</v>
      </c>
      <c r="H50" s="443">
        <f t="shared" si="10"/>
        <v>2250897581.8009944</v>
      </c>
      <c r="I50" s="44">
        <f t="shared" si="1"/>
        <v>467183900.38900566</v>
      </c>
      <c r="J50" s="330">
        <f t="shared" si="2"/>
        <v>0.20755449033589576</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180394115.34999999</v>
      </c>
      <c r="G51" s="741">
        <v>1578939734.02</v>
      </c>
      <c r="H51" s="742">
        <f t="shared" ref="H51:H54" si="11">E51/12*8</f>
        <v>1191671404.9912469</v>
      </c>
      <c r="I51" s="44">
        <f t="shared" si="1"/>
        <v>387268329.02875304</v>
      </c>
      <c r="J51" s="330">
        <f t="shared" si="2"/>
        <v>0.32497912378085264</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412704.45</v>
      </c>
      <c r="G52" s="741">
        <v>4559573.45</v>
      </c>
      <c r="H52" s="742">
        <f t="shared" si="11"/>
        <v>13091802.176200001</v>
      </c>
      <c r="I52" s="44">
        <f t="shared" si="1"/>
        <v>-8532228.7261999995</v>
      </c>
      <c r="J52" s="330">
        <f t="shared" si="2"/>
        <v>-0.65172301042793079</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10210254.630000001</v>
      </c>
      <c r="G53" s="741">
        <v>131960328.62</v>
      </c>
      <c r="H53" s="742">
        <f t="shared" si="11"/>
        <v>43861866.503543466</v>
      </c>
      <c r="I53" s="44">
        <f t="shared" si="1"/>
        <v>88098462.116456538</v>
      </c>
      <c r="J53" s="330">
        <f t="shared" si="2"/>
        <v>2.0085433917715139</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92425170.629999995</v>
      </c>
      <c r="G54" s="741">
        <v>1002621846.1</v>
      </c>
      <c r="H54" s="742">
        <f t="shared" si="11"/>
        <v>1002272508.130004</v>
      </c>
      <c r="I54" s="44">
        <f t="shared" si="1"/>
        <v>349337.96999597549</v>
      </c>
      <c r="J54" s="330">
        <f t="shared" si="2"/>
        <v>3.4854589661224459E-4</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495093158.38774735</v>
      </c>
      <c r="F61" s="443">
        <f t="shared" si="13"/>
        <v>10221451.66</v>
      </c>
      <c r="G61" s="441">
        <f t="shared" si="13"/>
        <v>91694007.719999999</v>
      </c>
      <c r="H61" s="443">
        <f t="shared" si="13"/>
        <v>330062105.59183156</v>
      </c>
      <c r="I61" s="44">
        <f t="shared" si="1"/>
        <v>-238368097.87183157</v>
      </c>
      <c r="J61" s="330">
        <f t="shared" si="2"/>
        <v>-0.72219165373260819</v>
      </c>
      <c r="K61" s="442">
        <f t="shared" si="13"/>
        <v>495093158.38774735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v>513935</v>
      </c>
      <c r="F62" s="742">
        <v>2624534.79</v>
      </c>
      <c r="G62" s="741">
        <v>24474227.150000002</v>
      </c>
      <c r="H62" s="742">
        <f t="shared" ref="H62:H65" si="14">E62/12*8</f>
        <v>342623.33333333331</v>
      </c>
      <c r="I62" s="44">
        <f t="shared" si="1"/>
        <v>24131603.81666667</v>
      </c>
      <c r="J62" s="330">
        <f t="shared" si="2"/>
        <v>70.431875091208042</v>
      </c>
      <c r="K62" s="743">
        <f t="shared" ref="K62:K65" si="15">E62</f>
        <v>513935</v>
      </c>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45022287.158399999</v>
      </c>
      <c r="F63" s="742">
        <v>30859.16</v>
      </c>
      <c r="G63" s="741">
        <v>141683.97</v>
      </c>
      <c r="H63" s="742">
        <f t="shared" si="14"/>
        <v>30014858.105599999</v>
      </c>
      <c r="I63" s="44">
        <f t="shared" si="1"/>
        <v>-29873174.135600001</v>
      </c>
      <c r="J63" s="330">
        <f t="shared" si="2"/>
        <v>-0.9952795389036484</v>
      </c>
      <c r="K63" s="743">
        <f t="shared" si="15"/>
        <v>45022287.158399999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386941932.54334736</v>
      </c>
      <c r="F64" s="742">
        <v>6762600.0300000003</v>
      </c>
      <c r="G64" s="741">
        <v>64570259.799999997</v>
      </c>
      <c r="H64" s="742">
        <f t="shared" si="14"/>
        <v>257961288.36223158</v>
      </c>
      <c r="I64" s="44">
        <f t="shared" si="1"/>
        <v>-193391028.5622316</v>
      </c>
      <c r="J64" s="330">
        <f t="shared" si="2"/>
        <v>-0.74969011742052616</v>
      </c>
      <c r="K64" s="743">
        <f t="shared" si="15"/>
        <v>386941932.54334736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62615003.686000004</v>
      </c>
      <c r="F65" s="742">
        <v>803457.68</v>
      </c>
      <c r="G65" s="741">
        <v>2507836.7999999998</v>
      </c>
      <c r="H65" s="742">
        <f t="shared" si="14"/>
        <v>41743335.79066667</v>
      </c>
      <c r="I65" s="44">
        <f t="shared" si="1"/>
        <v>-39235498.990666673</v>
      </c>
      <c r="J65" s="330">
        <f t="shared" si="2"/>
        <v>-0.93992246301119231</v>
      </c>
      <c r="K65" s="743">
        <f t="shared" si="15"/>
        <v>62615003.686000004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6594922531.8720646</v>
      </c>
      <c r="F171" s="450">
        <f t="shared" si="30"/>
        <v>417508224.13999999</v>
      </c>
      <c r="G171" s="448">
        <f t="shared" si="30"/>
        <v>4110324701.7899995</v>
      </c>
      <c r="H171" s="450">
        <f t="shared" si="30"/>
        <v>4396615021.2480421</v>
      </c>
      <c r="I171" s="514">
        <f t="shared" si="24"/>
        <v>-286290319.45804262</v>
      </c>
      <c r="J171" s="515">
        <f t="shared" si="25"/>
        <v>-6.511607636203158E-2</v>
      </c>
      <c r="K171" s="449">
        <f t="shared" si="30"/>
        <v>6594922531.8720646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187429782.20182845</v>
      </c>
      <c r="F174" s="470">
        <f t="shared" si="31"/>
        <v>11197415.639999999</v>
      </c>
      <c r="G174" s="468">
        <f t="shared" si="31"/>
        <v>93745512.830000013</v>
      </c>
      <c r="H174" s="470">
        <f t="shared" si="31"/>
        <v>124953188.13455229</v>
      </c>
      <c r="I174" s="44">
        <f t="shared" si="24"/>
        <v>-31207675.304552272</v>
      </c>
      <c r="J174" s="330">
        <f t="shared" si="25"/>
        <v>-0.24975493439148727</v>
      </c>
      <c r="K174" s="469">
        <f t="shared" si="31"/>
        <v>187429782.20182845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20027657.663691994</v>
      </c>
      <c r="F175" s="746">
        <v>2006544.9</v>
      </c>
      <c r="G175" s="733">
        <v>10782420.229999999</v>
      </c>
      <c r="H175" s="746">
        <f t="shared" ref="H175:H178" si="32">E175/12*8</f>
        <v>13351771.775794663</v>
      </c>
      <c r="I175" s="44">
        <f t="shared" si="24"/>
        <v>-2569351.545794664</v>
      </c>
      <c r="J175" s="330">
        <f t="shared" si="25"/>
        <v>-0.19243525046261081</v>
      </c>
      <c r="K175" s="747">
        <f t="shared" ref="K175:K178" si="33">E175</f>
        <v>20027657.663691994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44836077.308161847</v>
      </c>
      <c r="F176" s="746">
        <v>2553438.8099999996</v>
      </c>
      <c r="G176" s="733">
        <v>26294211.020000007</v>
      </c>
      <c r="H176" s="746">
        <f t="shared" si="32"/>
        <v>29890718.205441233</v>
      </c>
      <c r="I176" s="44">
        <f t="shared" si="24"/>
        <v>-3596507.1854412258</v>
      </c>
      <c r="J176" s="330">
        <f t="shared" si="25"/>
        <v>-0.1203218725198288</v>
      </c>
      <c r="K176" s="747">
        <f t="shared" si="33"/>
        <v>44836077.308161847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109635554.4376146</v>
      </c>
      <c r="F177" s="746">
        <v>6183327.8299999991</v>
      </c>
      <c r="G177" s="733">
        <v>52439485.989999995</v>
      </c>
      <c r="H177" s="746">
        <f t="shared" si="32"/>
        <v>73090369.625076398</v>
      </c>
      <c r="I177" s="44">
        <f t="shared" si="24"/>
        <v>-20650883.635076404</v>
      </c>
      <c r="J177" s="330">
        <f t="shared" si="25"/>
        <v>-0.28253905050702249</v>
      </c>
      <c r="K177" s="747">
        <f t="shared" si="33"/>
        <v>109635554.4376146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12930492.792359998</v>
      </c>
      <c r="F178" s="746">
        <v>454104.10000000003</v>
      </c>
      <c r="G178" s="733">
        <v>4229395.59</v>
      </c>
      <c r="H178" s="746">
        <f t="shared" si="32"/>
        <v>8620328.528239999</v>
      </c>
      <c r="I178" s="44">
        <f t="shared" si="24"/>
        <v>-4390932.9382399991</v>
      </c>
      <c r="J178" s="330">
        <f t="shared" si="25"/>
        <v>-0.50936955869551881</v>
      </c>
      <c r="K178" s="747">
        <f t="shared" si="33"/>
        <v>12930492.792359998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705258982.70556009</v>
      </c>
      <c r="F185" s="443">
        <f t="shared" si="34"/>
        <v>19815440.129999992</v>
      </c>
      <c r="G185" s="441">
        <f t="shared" si="34"/>
        <v>286566446.65999997</v>
      </c>
      <c r="H185" s="443">
        <f t="shared" si="34"/>
        <v>470172655.13704008</v>
      </c>
      <c r="I185" s="44">
        <f t="shared" si="24"/>
        <v>-183606208.47704011</v>
      </c>
      <c r="J185" s="330">
        <f t="shared" si="25"/>
        <v>-0.39050805373512176</v>
      </c>
      <c r="K185" s="442">
        <f t="shared" si="34"/>
        <v>705258982.70556009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96104991.874728531</v>
      </c>
      <c r="F186" s="746">
        <v>736955.33999999508</v>
      </c>
      <c r="G186" s="733">
        <v>47713000.55999998</v>
      </c>
      <c r="H186" s="746">
        <f t="shared" ref="H186:H190" si="35">E186/12*8</f>
        <v>64069994.583152354</v>
      </c>
      <c r="I186" s="44">
        <f t="shared" si="24"/>
        <v>-16356994.023152374</v>
      </c>
      <c r="J186" s="330">
        <f t="shared" si="25"/>
        <v>-0.25529882013527683</v>
      </c>
      <c r="K186" s="747">
        <f t="shared" ref="K186:K190" si="36">E186</f>
        <v>96104991.874728531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41666637.790604897</v>
      </c>
      <c r="F187" s="746">
        <v>7388003.5599999977</v>
      </c>
      <c r="G187" s="733">
        <v>55200526.119999997</v>
      </c>
      <c r="H187" s="746">
        <f t="shared" si="35"/>
        <v>27777758.52706993</v>
      </c>
      <c r="I187" s="44">
        <f t="shared" si="24"/>
        <v>27422767.592930067</v>
      </c>
      <c r="J187" s="330">
        <f t="shared" si="25"/>
        <v>0.98722031751431938</v>
      </c>
      <c r="K187" s="747">
        <f t="shared" si="36"/>
        <v>41666637.790604897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457625622.91509426</v>
      </c>
      <c r="F188" s="746">
        <v>2207825.6000000006</v>
      </c>
      <c r="G188" s="733">
        <v>22984977.910000004</v>
      </c>
      <c r="H188" s="746">
        <f t="shared" si="35"/>
        <v>305083748.61006284</v>
      </c>
      <c r="I188" s="44">
        <f t="shared" si="24"/>
        <v>-282098770.70006281</v>
      </c>
      <c r="J188" s="330">
        <f t="shared" si="25"/>
        <v>-0.92466010393959774</v>
      </c>
      <c r="K188" s="747">
        <f t="shared" si="36"/>
        <v>457625622.91509426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23740330.456538409</v>
      </c>
      <c r="F189" s="746">
        <v>6723738.4499999983</v>
      </c>
      <c r="G189" s="733">
        <v>132862070.03999999</v>
      </c>
      <c r="H189" s="746">
        <f t="shared" si="35"/>
        <v>15826886.971025607</v>
      </c>
      <c r="I189" s="44">
        <f t="shared" si="24"/>
        <v>117035183.06897439</v>
      </c>
      <c r="J189" s="330">
        <f t="shared" si="25"/>
        <v>7.3947064437391585</v>
      </c>
      <c r="K189" s="747">
        <f t="shared" si="36"/>
        <v>23740330.456538409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86121399.668594033</v>
      </c>
      <c r="F190" s="746">
        <v>2758917.18</v>
      </c>
      <c r="G190" s="733">
        <v>27805872.029999997</v>
      </c>
      <c r="H190" s="746">
        <f t="shared" si="35"/>
        <v>57414266.445729353</v>
      </c>
      <c r="I190" s="44">
        <f t="shared" si="24"/>
        <v>-29608394.415729355</v>
      </c>
      <c r="J190" s="330">
        <f t="shared" si="25"/>
        <v>-0.51569751298166622</v>
      </c>
      <c r="K190" s="747">
        <f t="shared" si="36"/>
        <v>86121399.668594033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769029279.16259539</v>
      </c>
      <c r="F196" s="443">
        <f t="shared" si="37"/>
        <v>64560855.979999997</v>
      </c>
      <c r="G196" s="441">
        <f t="shared" si="37"/>
        <v>537953603.30000007</v>
      </c>
      <c r="H196" s="443">
        <f t="shared" si="37"/>
        <v>512686186.10839695</v>
      </c>
      <c r="I196" s="44">
        <f t="shared" si="24"/>
        <v>25267417.191603124</v>
      </c>
      <c r="J196" s="330">
        <f t="shared" si="25"/>
        <v>4.9284372928785812E-2</v>
      </c>
      <c r="K196" s="442">
        <f t="shared" si="37"/>
        <v>769029279.16259539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3427203.1000000006</v>
      </c>
      <c r="G197" s="733">
        <v>24901640.430000003</v>
      </c>
      <c r="H197" s="746"/>
      <c r="I197" s="44">
        <f t="shared" si="24"/>
        <v>24901640.430000003</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768791614.16259539</v>
      </c>
      <c r="F198" s="746">
        <v>27608843.70999999</v>
      </c>
      <c r="G198" s="733">
        <v>232411229.03999996</v>
      </c>
      <c r="H198" s="746">
        <f>E198/12*8</f>
        <v>512527742.77506357</v>
      </c>
      <c r="I198" s="44">
        <f>G198-H198</f>
        <v>-280116513.73506361</v>
      </c>
      <c r="J198" s="330">
        <f t="shared" ref="J198:J261" si="38">IF(I198=0,"",I198/H198)</f>
        <v>-0.54653922189339943</v>
      </c>
      <c r="K198" s="747">
        <f>E198</f>
        <v>768791614.16259539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v>3737665</v>
      </c>
      <c r="F199" s="746">
        <v>24825222.710000008</v>
      </c>
      <c r="G199" s="733">
        <v>201439571.92000008</v>
      </c>
      <c r="H199" s="746">
        <f t="shared" ref="H199:H200" si="39">E199/12*8</f>
        <v>2491776.6666666665</v>
      </c>
      <c r="I199" s="44">
        <f t="shared" ref="I199:I261" si="40">G199-H199</f>
        <v>198947795.25333342</v>
      </c>
      <c r="J199" s="330">
        <f t="shared" si="38"/>
        <v>79.841744211961256</v>
      </c>
      <c r="K199" s="747">
        <f t="shared" ref="K199:K200" si="41">E199</f>
        <v>3737665</v>
      </c>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v>-3500000</v>
      </c>
      <c r="F200" s="746">
        <v>8699586.459999999</v>
      </c>
      <c r="G200" s="733">
        <v>79201161.910000011</v>
      </c>
      <c r="H200" s="746">
        <f t="shared" si="39"/>
        <v>-2333333.3333333335</v>
      </c>
      <c r="I200" s="44">
        <f t="shared" si="40"/>
        <v>81534495.24333334</v>
      </c>
      <c r="J200" s="330">
        <f t="shared" si="38"/>
        <v>-34.943355104285715</v>
      </c>
      <c r="K200" s="747">
        <f t="shared" si="41"/>
        <v>-3500000</v>
      </c>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40"/>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40"/>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40"/>
        <v>0</v>
      </c>
      <c r="J203" s="330" t="str">
        <f t="shared" si="38"/>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40"/>
        <v>0</v>
      </c>
      <c r="J204" s="330" t="str">
        <f t="shared" si="38"/>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40"/>
        <v>0</v>
      </c>
      <c r="J205" s="330" t="str">
        <f t="shared" si="38"/>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40"/>
        <v>0</v>
      </c>
      <c r="J206" s="330" t="str">
        <f t="shared" si="38"/>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2">SUM(C208:C217)</f>
        <v>0</v>
      </c>
      <c r="D207" s="444">
        <f t="shared" si="42"/>
        <v>200548950.39124021</v>
      </c>
      <c r="E207" s="441">
        <f t="shared" si="42"/>
        <v>215358953.39108872</v>
      </c>
      <c r="F207" s="443">
        <f t="shared" si="42"/>
        <v>9454225.9900000002</v>
      </c>
      <c r="G207" s="441">
        <f t="shared" si="42"/>
        <v>84895708.700000018</v>
      </c>
      <c r="H207" s="443">
        <f t="shared" si="42"/>
        <v>143572635.59405914</v>
      </c>
      <c r="I207" s="44">
        <f t="shared" si="40"/>
        <v>-58676926.894059122</v>
      </c>
      <c r="J207" s="330">
        <f t="shared" si="38"/>
        <v>-0.40869157727217414</v>
      </c>
      <c r="K207" s="442">
        <f t="shared" si="42"/>
        <v>215358953.39108872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46529040.057872109</v>
      </c>
      <c r="F208" s="472">
        <v>4172370.18</v>
      </c>
      <c r="G208" s="384">
        <v>36927235.790000007</v>
      </c>
      <c r="H208" s="472">
        <f t="shared" ref="H208:H212" si="43">E208/12*8</f>
        <v>31019360.038581405</v>
      </c>
      <c r="I208" s="44">
        <f t="shared" si="40"/>
        <v>5907875.7514186017</v>
      </c>
      <c r="J208" s="330">
        <f t="shared" si="38"/>
        <v>0.19045769300431978</v>
      </c>
      <c r="K208" s="395">
        <f t="shared" ref="K208:K212" si="44">E208</f>
        <v>46529040.057872109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10907655.429102737</v>
      </c>
      <c r="F209" s="472">
        <v>2510080.69</v>
      </c>
      <c r="G209" s="384">
        <v>19860649.109999996</v>
      </c>
      <c r="H209" s="472">
        <f t="shared" si="43"/>
        <v>7271770.2860684916</v>
      </c>
      <c r="I209" s="44">
        <f t="shared" si="40"/>
        <v>12588878.823931504</v>
      </c>
      <c r="J209" s="330">
        <f t="shared" si="38"/>
        <v>1.7311986392157783</v>
      </c>
      <c r="K209" s="395">
        <f t="shared" si="44"/>
        <v>10907655.429102737</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117098160.29173322</v>
      </c>
      <c r="F210" s="472">
        <v>701593.79</v>
      </c>
      <c r="G210" s="384">
        <v>7723439.1500000004</v>
      </c>
      <c r="H210" s="472">
        <f t="shared" si="43"/>
        <v>78065440.194488809</v>
      </c>
      <c r="I210" s="44">
        <f t="shared" si="40"/>
        <v>-70342001.044488803</v>
      </c>
      <c r="J210" s="330">
        <f t="shared" si="38"/>
        <v>-0.90106455390812923</v>
      </c>
      <c r="K210" s="395">
        <f t="shared" si="44"/>
        <v>117098160.29173322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29996912.44295308</v>
      </c>
      <c r="F211" s="472">
        <v>1366494.2399999998</v>
      </c>
      <c r="G211" s="384">
        <v>16339929.890000002</v>
      </c>
      <c r="H211" s="472">
        <f t="shared" si="43"/>
        <v>19997941.628635388</v>
      </c>
      <c r="I211" s="44">
        <f t="shared" si="40"/>
        <v>-3658011.7386353854</v>
      </c>
      <c r="J211" s="330">
        <f t="shared" si="38"/>
        <v>-0.18291941273582962</v>
      </c>
      <c r="K211" s="395">
        <f t="shared" si="44"/>
        <v>29996912.44295308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10827185.169427564</v>
      </c>
      <c r="F212" s="472">
        <v>703687.09000000008</v>
      </c>
      <c r="G212" s="384">
        <v>4044454.76</v>
      </c>
      <c r="H212" s="472">
        <f t="shared" si="43"/>
        <v>7218123.4462850429</v>
      </c>
      <c r="I212" s="44">
        <f t="shared" si="40"/>
        <v>-3173668.6862850431</v>
      </c>
      <c r="J212" s="330">
        <f t="shared" si="38"/>
        <v>-0.43968057763246454</v>
      </c>
      <c r="K212" s="395">
        <f t="shared" si="44"/>
        <v>10827185.169427564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40"/>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40"/>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40"/>
        <v>0</v>
      </c>
      <c r="J215" s="330" t="str">
        <f t="shared" si="38"/>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40"/>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40"/>
        <v>0</v>
      </c>
      <c r="J217" s="330" t="str">
        <f t="shared" si="38"/>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5">SUM(C219:C228)</f>
        <v>0</v>
      </c>
      <c r="D218" s="444">
        <f t="shared" si="45"/>
        <v>3393288719.277081</v>
      </c>
      <c r="E218" s="441">
        <f t="shared" si="45"/>
        <v>3407283654.0811782</v>
      </c>
      <c r="F218" s="443">
        <f t="shared" si="45"/>
        <v>251926527.50000003</v>
      </c>
      <c r="G218" s="441">
        <f t="shared" si="45"/>
        <v>2404363981.9499998</v>
      </c>
      <c r="H218" s="443">
        <f t="shared" si="45"/>
        <v>2271522436.0541186</v>
      </c>
      <c r="I218" s="44">
        <f t="shared" si="40"/>
        <v>132841545.89588118</v>
      </c>
      <c r="J218" s="330">
        <f t="shared" si="38"/>
        <v>5.848128276762319E-2</v>
      </c>
      <c r="K218" s="442">
        <f t="shared" si="45"/>
        <v>3407283654.0811782</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1869342699.4755206</v>
      </c>
      <c r="F219" s="472">
        <v>143886304.34000006</v>
      </c>
      <c r="G219" s="384">
        <v>1487415347.3900001</v>
      </c>
      <c r="H219" s="472">
        <f t="shared" ref="H219:H223" si="46">E219/12*8</f>
        <v>1246228466.3170137</v>
      </c>
      <c r="I219" s="44">
        <f t="shared" si="40"/>
        <v>241186881.07298636</v>
      </c>
      <c r="J219" s="330">
        <f t="shared" si="38"/>
        <v>0.1935334391660683</v>
      </c>
      <c r="K219" s="395">
        <f t="shared" ref="K219:K223" si="47">E219</f>
        <v>1869342699.4755206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1346122.6600000001</v>
      </c>
      <c r="G220" s="384">
        <v>9724795.8199999984</v>
      </c>
      <c r="H220" s="472">
        <f t="shared" si="46"/>
        <v>37681764.534902491</v>
      </c>
      <c r="I220" s="44">
        <f t="shared" si="40"/>
        <v>-27956968.71490249</v>
      </c>
      <c r="J220" s="330">
        <f t="shared" si="38"/>
        <v>-0.74192302457087778</v>
      </c>
      <c r="K220" s="395">
        <f t="shared" si="47"/>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99518846.953450099</v>
      </c>
      <c r="F221" s="472">
        <v>22219571.159999982</v>
      </c>
      <c r="G221" s="384">
        <v>172331058.65000001</v>
      </c>
      <c r="H221" s="472">
        <f t="shared" si="46"/>
        <v>66345897.96896673</v>
      </c>
      <c r="I221" s="44">
        <f t="shared" si="40"/>
        <v>105985160.68103328</v>
      </c>
      <c r="J221" s="330">
        <f t="shared" si="38"/>
        <v>1.5974636552603116</v>
      </c>
      <c r="K221" s="395">
        <f t="shared" si="47"/>
        <v>99518846.953450099</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1361654155.3159699</v>
      </c>
      <c r="F222" s="472">
        <v>84278530.939999998</v>
      </c>
      <c r="G222" s="384">
        <v>733729506.42999983</v>
      </c>
      <c r="H222" s="472">
        <f t="shared" si="46"/>
        <v>907769436.87731326</v>
      </c>
      <c r="I222" s="44">
        <f t="shared" si="40"/>
        <v>-174039930.44731343</v>
      </c>
      <c r="J222" s="330">
        <f t="shared" si="38"/>
        <v>-0.19172261521163689</v>
      </c>
      <c r="K222" s="395">
        <f t="shared" si="47"/>
        <v>1361654155.3159699</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20245305.533883527</v>
      </c>
      <c r="F223" s="472">
        <v>195998.40000000002</v>
      </c>
      <c r="G223" s="384">
        <v>1163273.6599999997</v>
      </c>
      <c r="H223" s="472">
        <f t="shared" si="46"/>
        <v>13496870.355922351</v>
      </c>
      <c r="I223" s="44">
        <f t="shared" si="40"/>
        <v>-12333596.695922351</v>
      </c>
      <c r="J223" s="330">
        <f t="shared" si="38"/>
        <v>-0.91381160007293383</v>
      </c>
      <c r="K223" s="395">
        <f t="shared" si="47"/>
        <v>20245305.533883527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40"/>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40"/>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40"/>
        <v>0</v>
      </c>
      <c r="J226" s="330" t="str">
        <f t="shared" si="38"/>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40"/>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40"/>
        <v>0</v>
      </c>
      <c r="J228" s="330" t="str">
        <f t="shared" si="38"/>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8">SUM(C230:C239)</f>
        <v>0</v>
      </c>
      <c r="D229" s="444">
        <f t="shared" si="48"/>
        <v>296205168.59786338</v>
      </c>
      <c r="E229" s="441">
        <f t="shared" si="48"/>
        <v>388790375.15482336</v>
      </c>
      <c r="F229" s="443">
        <f t="shared" si="48"/>
        <v>21261049.289999999</v>
      </c>
      <c r="G229" s="441">
        <f t="shared" si="48"/>
        <v>155047181.11999997</v>
      </c>
      <c r="H229" s="443">
        <f t="shared" si="48"/>
        <v>259193583.43654892</v>
      </c>
      <c r="I229" s="44">
        <f t="shared" si="40"/>
        <v>-104146402.31654894</v>
      </c>
      <c r="J229" s="330">
        <f t="shared" si="38"/>
        <v>-0.4018093385480902</v>
      </c>
      <c r="K229" s="442">
        <f t="shared" si="48"/>
        <v>388790375.15482336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330062570.15482336</v>
      </c>
      <c r="F230" s="472">
        <v>9927533.9399999995</v>
      </c>
      <c r="G230" s="384">
        <v>57344200.379999995</v>
      </c>
      <c r="H230" s="472">
        <f>E230/12*8</f>
        <v>220041713.43654892</v>
      </c>
      <c r="I230" s="44">
        <f t="shared" si="40"/>
        <v>-162697513.05654892</v>
      </c>
      <c r="J230" s="330">
        <f t="shared" si="38"/>
        <v>-0.73939395633484861</v>
      </c>
      <c r="K230" s="395">
        <f>E230</f>
        <v>330062570.15482336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v>0</v>
      </c>
      <c r="F231" s="472">
        <v>1247967.82</v>
      </c>
      <c r="G231" s="384">
        <v>7168618.450000002</v>
      </c>
      <c r="H231" s="742"/>
      <c r="I231" s="44">
        <f t="shared" si="40"/>
        <v>7168618.450000002</v>
      </c>
      <c r="J231" s="330" t="e">
        <f t="shared" si="38"/>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v>56980067</v>
      </c>
      <c r="F232" s="472">
        <v>3788421.5300000012</v>
      </c>
      <c r="G232" s="384">
        <v>38448307.549999997</v>
      </c>
      <c r="H232" s="742">
        <f t="shared" ref="H232:H233" si="49">E232/12*8</f>
        <v>37986711.333333336</v>
      </c>
      <c r="I232" s="44">
        <f t="shared" si="40"/>
        <v>461596.2166666612</v>
      </c>
      <c r="J232" s="330">
        <f t="shared" si="38"/>
        <v>1.2151518266905368E-2</v>
      </c>
      <c r="K232" s="395">
        <f t="shared" ref="K232:K233" si="50">E232</f>
        <v>56980067</v>
      </c>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v>1747738</v>
      </c>
      <c r="F233" s="472">
        <v>6146389.2499999972</v>
      </c>
      <c r="G233" s="384">
        <v>50774758.949999996</v>
      </c>
      <c r="H233" s="742">
        <f t="shared" si="49"/>
        <v>1165158.6666666667</v>
      </c>
      <c r="I233" s="44">
        <f t="shared" si="40"/>
        <v>49609600.283333331</v>
      </c>
      <c r="J233" s="330">
        <f t="shared" si="38"/>
        <v>42.577549051974607</v>
      </c>
      <c r="K233" s="395">
        <f t="shared" si="50"/>
        <v>1747738</v>
      </c>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150736.75</v>
      </c>
      <c r="G234" s="384">
        <v>1311295.7899999998</v>
      </c>
      <c r="H234" s="742"/>
      <c r="I234" s="44">
        <f t="shared" si="40"/>
        <v>1311295.7899999998</v>
      </c>
      <c r="J234" s="330" t="e">
        <f t="shared" si="38"/>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40"/>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40"/>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40"/>
        <v>0</v>
      </c>
      <c r="J237" s="330" t="str">
        <f t="shared" si="38"/>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40"/>
        <v>0</v>
      </c>
      <c r="J238" s="330" t="str">
        <f t="shared" si="38"/>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40"/>
        <v>0</v>
      </c>
      <c r="J239" s="330" t="str">
        <f t="shared" si="38"/>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51">SUM(C241:C250)</f>
        <v>0</v>
      </c>
      <c r="D240" s="444">
        <f t="shared" si="51"/>
        <v>0</v>
      </c>
      <c r="E240" s="441">
        <f t="shared" si="51"/>
        <v>0</v>
      </c>
      <c r="F240" s="443">
        <f t="shared" si="51"/>
        <v>0</v>
      </c>
      <c r="G240" s="441">
        <f t="shared" si="51"/>
        <v>0</v>
      </c>
      <c r="H240" s="443">
        <f t="shared" si="51"/>
        <v>0</v>
      </c>
      <c r="I240" s="44">
        <f t="shared" si="40"/>
        <v>0</v>
      </c>
      <c r="J240" s="330" t="str">
        <f t="shared" si="38"/>
        <v/>
      </c>
      <c r="K240" s="442">
        <f t="shared" si="51"/>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40"/>
        <v>0</v>
      </c>
      <c r="J241" s="330" t="str">
        <f t="shared" si="38"/>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40"/>
        <v>0</v>
      </c>
      <c r="J242" s="330" t="str">
        <f t="shared" si="38"/>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40"/>
        <v>0</v>
      </c>
      <c r="J243" s="330" t="str">
        <f t="shared" si="38"/>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40"/>
        <v>0</v>
      </c>
      <c r="J244" s="330" t="str">
        <f t="shared" si="38"/>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40"/>
        <v>0</v>
      </c>
      <c r="J245" s="330" t="str">
        <f t="shared" si="38"/>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40"/>
        <v>0</v>
      </c>
      <c r="J246" s="330" t="str">
        <f t="shared" si="38"/>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40"/>
        <v>0</v>
      </c>
      <c r="J247" s="330" t="str">
        <f t="shared" si="38"/>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40"/>
        <v>0</v>
      </c>
      <c r="J248" s="330" t="str">
        <f t="shared" si="38"/>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40"/>
        <v>0</v>
      </c>
      <c r="J249" s="330" t="str">
        <f t="shared" si="38"/>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40"/>
        <v>0</v>
      </c>
      <c r="J250" s="330" t="str">
        <f t="shared" si="38"/>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52">SUM(C252:C261)</f>
        <v>0</v>
      </c>
      <c r="D251" s="444">
        <f t="shared" si="52"/>
        <v>0</v>
      </c>
      <c r="E251" s="441">
        <f t="shared" si="52"/>
        <v>0</v>
      </c>
      <c r="F251" s="443">
        <f t="shared" si="52"/>
        <v>0</v>
      </c>
      <c r="G251" s="441">
        <f t="shared" si="52"/>
        <v>0</v>
      </c>
      <c r="H251" s="443">
        <f t="shared" si="52"/>
        <v>0</v>
      </c>
      <c r="I251" s="44">
        <f t="shared" si="40"/>
        <v>0</v>
      </c>
      <c r="J251" s="330" t="str">
        <f t="shared" si="38"/>
        <v/>
      </c>
      <c r="K251" s="442">
        <f t="shared" si="52"/>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40"/>
        <v>0</v>
      </c>
      <c r="J252" s="330" t="str">
        <f t="shared" si="38"/>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40"/>
        <v>0</v>
      </c>
      <c r="J253" s="330" t="str">
        <f t="shared" si="38"/>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40"/>
        <v>0</v>
      </c>
      <c r="J254" s="330" t="str">
        <f t="shared" si="38"/>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40"/>
        <v>0</v>
      </c>
      <c r="J255" s="330" t="str">
        <f t="shared" si="38"/>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40"/>
        <v>0</v>
      </c>
      <c r="J256" s="330" t="str">
        <f t="shared" si="38"/>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40"/>
        <v>0</v>
      </c>
      <c r="J257" s="330" t="str">
        <f t="shared" si="38"/>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40"/>
        <v>0</v>
      </c>
      <c r="J258" s="330" t="str">
        <f t="shared" si="38"/>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40"/>
        <v>0</v>
      </c>
      <c r="J259" s="330" t="str">
        <f t="shared" si="38"/>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40"/>
        <v>0</v>
      </c>
      <c r="J260" s="330" t="str">
        <f t="shared" si="38"/>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40"/>
        <v>0</v>
      </c>
      <c r="J261" s="330" t="str">
        <f t="shared" si="38"/>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53">SUM(C263:C272)</f>
        <v>0</v>
      </c>
      <c r="D262" s="444">
        <f t="shared" si="53"/>
        <v>0</v>
      </c>
      <c r="E262" s="441">
        <f t="shared" si="53"/>
        <v>0</v>
      </c>
      <c r="F262" s="443">
        <f t="shared" si="53"/>
        <v>0</v>
      </c>
      <c r="G262" s="441">
        <f t="shared" si="53"/>
        <v>0</v>
      </c>
      <c r="H262" s="443">
        <f t="shared" si="53"/>
        <v>0</v>
      </c>
      <c r="I262" s="44">
        <f t="shared" ref="I262:I325" si="54">G262-H262</f>
        <v>0</v>
      </c>
      <c r="J262" s="330" t="str">
        <f t="shared" ref="J262:J325" si="55">IF(I262=0,"",I262/H262)</f>
        <v/>
      </c>
      <c r="K262" s="442">
        <f t="shared" si="53"/>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4"/>
        <v>0</v>
      </c>
      <c r="J263" s="330" t="str">
        <f t="shared" si="55"/>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4"/>
        <v>0</v>
      </c>
      <c r="J264" s="330" t="str">
        <f t="shared" si="55"/>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4"/>
        <v>0</v>
      </c>
      <c r="J265" s="330" t="str">
        <f t="shared" si="55"/>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4"/>
        <v>0</v>
      </c>
      <c r="J266" s="330" t="str">
        <f t="shared" si="55"/>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4"/>
        <v>0</v>
      </c>
      <c r="J267" s="330" t="str">
        <f t="shared" si="55"/>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4"/>
        <v>0</v>
      </c>
      <c r="J268" s="330" t="str">
        <f t="shared" si="55"/>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4"/>
        <v>0</v>
      </c>
      <c r="J269" s="330" t="str">
        <f t="shared" si="55"/>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4"/>
        <v>0</v>
      </c>
      <c r="J270" s="330" t="str">
        <f t="shared" si="55"/>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4"/>
        <v>0</v>
      </c>
      <c r="J271" s="330" t="str">
        <f t="shared" si="55"/>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4"/>
        <v>0</v>
      </c>
      <c r="J272" s="330" t="str">
        <f t="shared" si="55"/>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6">SUM(C274:C283)</f>
        <v>0</v>
      </c>
      <c r="D273" s="444">
        <f t="shared" si="56"/>
        <v>0</v>
      </c>
      <c r="E273" s="441">
        <f t="shared" si="56"/>
        <v>0</v>
      </c>
      <c r="F273" s="443">
        <f t="shared" si="56"/>
        <v>0</v>
      </c>
      <c r="G273" s="441">
        <f t="shared" si="56"/>
        <v>0</v>
      </c>
      <c r="H273" s="443">
        <f t="shared" si="56"/>
        <v>0</v>
      </c>
      <c r="I273" s="44">
        <f t="shared" si="54"/>
        <v>0</v>
      </c>
      <c r="J273" s="330" t="str">
        <f t="shared" si="55"/>
        <v/>
      </c>
      <c r="K273" s="442">
        <f t="shared" si="56"/>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4"/>
        <v>0</v>
      </c>
      <c r="J274" s="330" t="str">
        <f t="shared" si="55"/>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4"/>
        <v>0</v>
      </c>
      <c r="J275" s="330" t="str">
        <f t="shared" si="55"/>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4"/>
        <v>0</v>
      </c>
      <c r="J276" s="330" t="str">
        <f t="shared" si="55"/>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4"/>
        <v>0</v>
      </c>
      <c r="J277" s="330" t="str">
        <f t="shared" si="55"/>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4"/>
        <v>0</v>
      </c>
      <c r="J278" s="330" t="str">
        <f t="shared" si="55"/>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4"/>
        <v>0</v>
      </c>
      <c r="J279" s="330" t="str">
        <f t="shared" si="55"/>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4"/>
        <v>0</v>
      </c>
      <c r="J280" s="330" t="str">
        <f t="shared" si="55"/>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4"/>
        <v>0</v>
      </c>
      <c r="J281" s="330" t="str">
        <f t="shared" si="55"/>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4"/>
        <v>0</v>
      </c>
      <c r="J282" s="330" t="str">
        <f t="shared" si="55"/>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4"/>
        <v>0</v>
      </c>
      <c r="J283" s="330" t="str">
        <f t="shared" si="55"/>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7">SUM(C285:C294)</f>
        <v>0</v>
      </c>
      <c r="D284" s="444">
        <f t="shared" si="57"/>
        <v>0</v>
      </c>
      <c r="E284" s="441">
        <f t="shared" si="57"/>
        <v>0</v>
      </c>
      <c r="F284" s="443">
        <f t="shared" si="57"/>
        <v>0</v>
      </c>
      <c r="G284" s="441">
        <f t="shared" si="57"/>
        <v>0</v>
      </c>
      <c r="H284" s="443">
        <f t="shared" si="57"/>
        <v>0</v>
      </c>
      <c r="I284" s="44">
        <f t="shared" si="54"/>
        <v>0</v>
      </c>
      <c r="J284" s="330" t="str">
        <f t="shared" si="55"/>
        <v/>
      </c>
      <c r="K284" s="442">
        <f t="shared" si="57"/>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4"/>
        <v>0</v>
      </c>
      <c r="J285" s="330" t="str">
        <f t="shared" si="55"/>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4"/>
        <v>0</v>
      </c>
      <c r="J286" s="330" t="str">
        <f t="shared" si="55"/>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4"/>
        <v>0</v>
      </c>
      <c r="J287" s="330" t="str">
        <f t="shared" si="55"/>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4"/>
        <v>0</v>
      </c>
      <c r="J288" s="330" t="str">
        <f t="shared" si="55"/>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4"/>
        <v>0</v>
      </c>
      <c r="J289" s="330" t="str">
        <f t="shared" si="55"/>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4"/>
        <v>0</v>
      </c>
      <c r="J290" s="330" t="str">
        <f t="shared" si="55"/>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4"/>
        <v>0</v>
      </c>
      <c r="J291" s="330" t="str">
        <f t="shared" si="55"/>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4"/>
        <v>0</v>
      </c>
      <c r="J292" s="330" t="str">
        <f t="shared" si="55"/>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4"/>
        <v>0</v>
      </c>
      <c r="J293" s="330" t="str">
        <f t="shared" si="55"/>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4"/>
        <v>0</v>
      </c>
      <c r="J294" s="330" t="str">
        <f t="shared" si="55"/>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8">SUM(C296:C305)</f>
        <v>0</v>
      </c>
      <c r="D295" s="444">
        <f t="shared" si="58"/>
        <v>0</v>
      </c>
      <c r="E295" s="441">
        <f t="shared" si="58"/>
        <v>0</v>
      </c>
      <c r="F295" s="443">
        <f t="shared" si="58"/>
        <v>0</v>
      </c>
      <c r="G295" s="441">
        <f t="shared" si="58"/>
        <v>0</v>
      </c>
      <c r="H295" s="443">
        <f t="shared" si="58"/>
        <v>0</v>
      </c>
      <c r="I295" s="44">
        <f t="shared" si="54"/>
        <v>0</v>
      </c>
      <c r="J295" s="330" t="str">
        <f t="shared" si="55"/>
        <v/>
      </c>
      <c r="K295" s="442">
        <f t="shared" si="58"/>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4"/>
        <v>0</v>
      </c>
      <c r="J296" s="330" t="str">
        <f t="shared" si="55"/>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4"/>
        <v>0</v>
      </c>
      <c r="J297" s="330" t="str">
        <f t="shared" si="55"/>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4"/>
        <v>0</v>
      </c>
      <c r="J298" s="330" t="str">
        <f t="shared" si="55"/>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4"/>
        <v>0</v>
      </c>
      <c r="J299" s="330" t="str">
        <f t="shared" si="55"/>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4"/>
        <v>0</v>
      </c>
      <c r="J300" s="330" t="str">
        <f t="shared" si="55"/>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4"/>
        <v>0</v>
      </c>
      <c r="J301" s="330" t="str">
        <f t="shared" si="55"/>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4"/>
        <v>0</v>
      </c>
      <c r="J302" s="330" t="str">
        <f t="shared" si="55"/>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4"/>
        <v>0</v>
      </c>
      <c r="J303" s="330" t="str">
        <f t="shared" si="55"/>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4"/>
        <v>0</v>
      </c>
      <c r="J304" s="330" t="str">
        <f t="shared" si="55"/>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4"/>
        <v>0</v>
      </c>
      <c r="J305" s="330" t="str">
        <f t="shared" si="55"/>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9">SUM(C307:C316)</f>
        <v>0</v>
      </c>
      <c r="D306" s="444">
        <f t="shared" si="59"/>
        <v>0</v>
      </c>
      <c r="E306" s="441">
        <f t="shared" si="59"/>
        <v>0</v>
      </c>
      <c r="F306" s="443">
        <f t="shared" si="59"/>
        <v>0</v>
      </c>
      <c r="G306" s="441">
        <f t="shared" si="59"/>
        <v>0</v>
      </c>
      <c r="H306" s="443">
        <f t="shared" si="59"/>
        <v>0</v>
      </c>
      <c r="I306" s="44">
        <f t="shared" si="54"/>
        <v>0</v>
      </c>
      <c r="J306" s="330" t="str">
        <f t="shared" si="55"/>
        <v/>
      </c>
      <c r="K306" s="442">
        <f t="shared" si="59"/>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4"/>
        <v>0</v>
      </c>
      <c r="J307" s="330" t="str">
        <f t="shared" si="55"/>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4"/>
        <v>0</v>
      </c>
      <c r="J308" s="330" t="str">
        <f t="shared" si="55"/>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4"/>
        <v>0</v>
      </c>
      <c r="J309" s="330" t="str">
        <f t="shared" si="55"/>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4"/>
        <v>0</v>
      </c>
      <c r="J310" s="330" t="str">
        <f t="shared" si="55"/>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4"/>
        <v>0</v>
      </c>
      <c r="J311" s="330" t="str">
        <f t="shared" si="55"/>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4"/>
        <v>0</v>
      </c>
      <c r="J312" s="330" t="str">
        <f t="shared" si="55"/>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4"/>
        <v>0</v>
      </c>
      <c r="J313" s="330" t="str">
        <f t="shared" si="55"/>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4"/>
        <v>0</v>
      </c>
      <c r="J314" s="330" t="str">
        <f t="shared" si="55"/>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4"/>
        <v>0</v>
      </c>
      <c r="J315" s="330" t="str">
        <f t="shared" si="55"/>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4"/>
        <v>0</v>
      </c>
      <c r="J316" s="330" t="str">
        <f t="shared" si="55"/>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60">SUM(C318:C327)</f>
        <v>0</v>
      </c>
      <c r="D317" s="444">
        <f t="shared" si="60"/>
        <v>0</v>
      </c>
      <c r="E317" s="441">
        <f t="shared" si="60"/>
        <v>0</v>
      </c>
      <c r="F317" s="443">
        <f t="shared" si="60"/>
        <v>0</v>
      </c>
      <c r="G317" s="441">
        <f t="shared" si="60"/>
        <v>0</v>
      </c>
      <c r="H317" s="443">
        <f t="shared" si="60"/>
        <v>0</v>
      </c>
      <c r="I317" s="44">
        <f t="shared" si="54"/>
        <v>0</v>
      </c>
      <c r="J317" s="330" t="str">
        <f t="shared" si="55"/>
        <v/>
      </c>
      <c r="K317" s="442">
        <f t="shared" si="60"/>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4"/>
        <v>0</v>
      </c>
      <c r="J318" s="330" t="str">
        <f t="shared" si="55"/>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4"/>
        <v>0</v>
      </c>
      <c r="J319" s="330" t="str">
        <f t="shared" si="55"/>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4"/>
        <v>0</v>
      </c>
      <c r="J320" s="330" t="str">
        <f t="shared" si="55"/>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4"/>
        <v>0</v>
      </c>
      <c r="J321" s="330" t="str">
        <f t="shared" si="55"/>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4"/>
        <v>0</v>
      </c>
      <c r="J322" s="330" t="str">
        <f t="shared" si="55"/>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4"/>
        <v>0</v>
      </c>
      <c r="J323" s="330" t="str">
        <f t="shared" si="55"/>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4"/>
        <v>0</v>
      </c>
      <c r="J324" s="330" t="str">
        <f t="shared" si="55"/>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4"/>
        <v>0</v>
      </c>
      <c r="J325" s="330" t="str">
        <f t="shared" si="55"/>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61">G326-H326</f>
        <v>0</v>
      </c>
      <c r="J326" s="330" t="str">
        <f t="shared" ref="J326:J341" si="62">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61"/>
        <v>0</v>
      </c>
      <c r="J327" s="330" t="str">
        <f t="shared" si="62"/>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63">SUM(C329:C338)</f>
        <v>0</v>
      </c>
      <c r="D328" s="444">
        <f t="shared" si="63"/>
        <v>0</v>
      </c>
      <c r="E328" s="441">
        <f t="shared" si="63"/>
        <v>0</v>
      </c>
      <c r="F328" s="443">
        <f t="shared" si="63"/>
        <v>0</v>
      </c>
      <c r="G328" s="441">
        <f t="shared" si="63"/>
        <v>0</v>
      </c>
      <c r="H328" s="443">
        <f t="shared" si="63"/>
        <v>0</v>
      </c>
      <c r="I328" s="44">
        <f t="shared" si="61"/>
        <v>0</v>
      </c>
      <c r="J328" s="330" t="str">
        <f t="shared" si="62"/>
        <v/>
      </c>
      <c r="K328" s="442">
        <f t="shared" si="63"/>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61"/>
        <v>0</v>
      </c>
      <c r="J329" s="330" t="str">
        <f t="shared" si="62"/>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61"/>
        <v>0</v>
      </c>
      <c r="J330" s="330" t="str">
        <f t="shared" si="62"/>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61"/>
        <v>0</v>
      </c>
      <c r="J331" s="330" t="str">
        <f t="shared" si="62"/>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61"/>
        <v>0</v>
      </c>
      <c r="J332" s="330" t="str">
        <f t="shared" si="62"/>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61"/>
        <v>0</v>
      </c>
      <c r="J333" s="330" t="str">
        <f t="shared" si="62"/>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61"/>
        <v>0</v>
      </c>
      <c r="J334" s="330" t="str">
        <f t="shared" si="62"/>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61"/>
        <v>0</v>
      </c>
      <c r="J335" s="330" t="str">
        <f t="shared" si="62"/>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61"/>
        <v>0</v>
      </c>
      <c r="J336" s="330" t="str">
        <f t="shared" si="62"/>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61"/>
        <v>0</v>
      </c>
      <c r="J337" s="330" t="str">
        <f t="shared" si="62"/>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61"/>
        <v>0</v>
      </c>
      <c r="J338" s="330" t="str">
        <f t="shared" si="62"/>
        <v/>
      </c>
      <c r="K338" s="395"/>
      <c r="L338" s="452">
        <f t="shared" ref="L338:W338" si="64">SUM(L173:L249)</f>
        <v>0</v>
      </c>
      <c r="M338" s="453">
        <f t="shared" si="64"/>
        <v>0</v>
      </c>
      <c r="N338" s="453">
        <f t="shared" si="64"/>
        <v>0</v>
      </c>
      <c r="O338" s="453">
        <f t="shared" si="64"/>
        <v>0</v>
      </c>
      <c r="P338" s="453">
        <f t="shared" si="64"/>
        <v>0</v>
      </c>
      <c r="Q338" s="453">
        <f t="shared" si="64"/>
        <v>0</v>
      </c>
      <c r="R338" s="453">
        <f t="shared" si="64"/>
        <v>0</v>
      </c>
      <c r="S338" s="453">
        <f t="shared" si="64"/>
        <v>0</v>
      </c>
      <c r="T338" s="453">
        <f t="shared" si="64"/>
        <v>0</v>
      </c>
      <c r="U338" s="453">
        <f t="shared" si="64"/>
        <v>0</v>
      </c>
      <c r="V338" s="453">
        <f t="shared" si="64"/>
        <v>0</v>
      </c>
      <c r="W338" s="453">
        <f t="shared" si="64"/>
        <v>0</v>
      </c>
    </row>
    <row r="339" spans="1:24" ht="12.75" customHeight="1" x14ac:dyDescent="0.25">
      <c r="A339" s="447" t="s">
        <v>634</v>
      </c>
      <c r="B339" s="445">
        <v>2</v>
      </c>
      <c r="C339" s="508">
        <f t="shared" ref="C339:H339" si="65">C174+C185+C196+C207+C218+C229+C240+C251+C262++C273+C284+C295+C306+C317+C328</f>
        <v>0</v>
      </c>
      <c r="D339" s="475">
        <f t="shared" si="65"/>
        <v>5516477469.544631</v>
      </c>
      <c r="E339" s="430">
        <f t="shared" si="65"/>
        <v>5673151026.6970739</v>
      </c>
      <c r="F339" s="474">
        <f t="shared" si="65"/>
        <v>378215514.53000003</v>
      </c>
      <c r="G339" s="430">
        <f t="shared" si="65"/>
        <v>3562572434.5599999</v>
      </c>
      <c r="H339" s="474">
        <f t="shared" si="65"/>
        <v>3782100684.464716</v>
      </c>
      <c r="I339" s="430">
        <f t="shared" si="61"/>
        <v>-219528249.90471601</v>
      </c>
      <c r="J339" s="430">
        <f t="shared" si="62"/>
        <v>-5.8043999411873416E-2</v>
      </c>
      <c r="K339" s="513">
        <f>K174+K185+K196+K207+K218+K229+K240+K251+K262++K273+K284+K295+K306+K317+K328</f>
        <v>5673151026.6970739</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61"/>
        <v>0</v>
      </c>
      <c r="J340" s="50" t="str">
        <f t="shared" si="62"/>
        <v/>
      </c>
      <c r="K340" s="194"/>
      <c r="L340" s="480">
        <f t="shared" ref="L340:W340" si="66">L170-L338</f>
        <v>0</v>
      </c>
      <c r="M340" s="481">
        <f t="shared" si="66"/>
        <v>0</v>
      </c>
      <c r="N340" s="481">
        <f t="shared" si="66"/>
        <v>0</v>
      </c>
      <c r="O340" s="481">
        <f t="shared" si="66"/>
        <v>0</v>
      </c>
      <c r="P340" s="481">
        <f t="shared" si="66"/>
        <v>0</v>
      </c>
      <c r="Q340" s="481">
        <f t="shared" si="66"/>
        <v>0</v>
      </c>
      <c r="R340" s="481">
        <f t="shared" si="66"/>
        <v>0</v>
      </c>
      <c r="S340" s="481">
        <f t="shared" si="66"/>
        <v>0</v>
      </c>
      <c r="T340" s="481">
        <f t="shared" si="66"/>
        <v>0</v>
      </c>
      <c r="U340" s="481">
        <f t="shared" si="66"/>
        <v>0</v>
      </c>
      <c r="V340" s="481">
        <f t="shared" si="66"/>
        <v>0</v>
      </c>
      <c r="W340" s="481">
        <f t="shared" si="66"/>
        <v>0</v>
      </c>
    </row>
    <row r="341" spans="1:24" s="486" customFormat="1" ht="11.25" customHeight="1" thickTop="1" x14ac:dyDescent="0.25">
      <c r="A341" s="886" t="str">
        <f>result</f>
        <v>Surplus/ (Deficit) for the year</v>
      </c>
      <c r="B341" s="477">
        <v>2</v>
      </c>
      <c r="C341" s="509">
        <f t="shared" ref="C341:H341" si="67">C171-C339</f>
        <v>0</v>
      </c>
      <c r="D341" s="512">
        <f t="shared" si="67"/>
        <v>927224369.32743359</v>
      </c>
      <c r="E341" s="55">
        <f t="shared" si="67"/>
        <v>921771505.17499065</v>
      </c>
      <c r="F341" s="479">
        <f t="shared" si="67"/>
        <v>39292709.609999955</v>
      </c>
      <c r="G341" s="55">
        <f t="shared" si="67"/>
        <v>547752267.22999954</v>
      </c>
      <c r="H341" s="479">
        <f t="shared" si="67"/>
        <v>614514336.78332615</v>
      </c>
      <c r="I341" s="55">
        <f t="shared" si="61"/>
        <v>-66762069.553326607</v>
      </c>
      <c r="J341" s="55">
        <f t="shared" si="62"/>
        <v>-0.10864200484368274</v>
      </c>
      <c r="K341" s="235">
        <f>K171-K339</f>
        <v>921771505.17499065</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38" activePane="bottomRight" state="frozen"/>
      <selection pane="topRight"/>
      <selection pane="bottomLeft"/>
      <selection pane="bottomRight" activeCell="E48" sqref="E48"/>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"&amp;S71B&amp; " - "&amp;date</f>
        <v>KZN225 Msunduzi - Table C4 Consolidated Monthly Budget Statement - Financial Performance (revenue and expenditure)  - M08 February</v>
      </c>
      <c r="B1" s="1055"/>
      <c r="C1" s="1055"/>
      <c r="D1" s="1055"/>
      <c r="E1" s="1055"/>
      <c r="F1" s="1055"/>
      <c r="G1" s="1055"/>
      <c r="H1" s="1055"/>
      <c r="I1" s="1055"/>
      <c r="J1" s="1055"/>
      <c r="K1" s="1055"/>
    </row>
    <row r="2" spans="1:11" x14ac:dyDescent="0.25">
      <c r="A2" s="1044" t="str">
        <f>desc</f>
        <v>Description</v>
      </c>
      <c r="B2" s="1053" t="str">
        <f>head27</f>
        <v>Ref</v>
      </c>
      <c r="C2" s="158" t="str">
        <f>Head1</f>
        <v>2019/20</v>
      </c>
      <c r="D2" s="1039" t="str">
        <f>Head2</f>
        <v>Budget Year 2020/21</v>
      </c>
      <c r="E2" s="1040"/>
      <c r="F2" s="1040"/>
      <c r="G2" s="1040"/>
      <c r="H2" s="1040"/>
      <c r="I2" s="1040"/>
      <c r="J2" s="1040"/>
      <c r="K2" s="1041"/>
    </row>
    <row r="3" spans="1:11" ht="25.5" x14ac:dyDescent="0.25">
      <c r="A3" s="1045"/>
      <c r="B3" s="1054"/>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102261807.64</v>
      </c>
      <c r="G6" s="733">
        <v>812876501.57000005</v>
      </c>
      <c r="H6" s="733">
        <f>E6/12*8</f>
        <v>846529729.34786654</v>
      </c>
      <c r="I6" s="44">
        <f t="shared" ref="I6:I22" si="0">G6-H6</f>
        <v>-33653227.777866483</v>
      </c>
      <c r="J6" s="330">
        <f t="shared" ref="J6:J22" si="1">IF(I6=0,"",I6/H6)</f>
        <v>-3.9754336571016374E-2</v>
      </c>
      <c r="K6" s="735">
        <f>E6</f>
        <v>1269794594.0217998</v>
      </c>
    </row>
    <row r="7" spans="1:11" ht="11.25" customHeight="1" x14ac:dyDescent="0.25">
      <c r="A7" s="39" t="s">
        <v>834</v>
      </c>
      <c r="B7" s="419"/>
      <c r="C7" s="748"/>
      <c r="D7" s="745">
        <v>2584775677.1378117</v>
      </c>
      <c r="E7" s="733">
        <v>2584775677.1378117</v>
      </c>
      <c r="F7" s="733">
        <v>178503102.63</v>
      </c>
      <c r="G7" s="733">
        <v>1545160553.95</v>
      </c>
      <c r="H7" s="733">
        <f t="shared" ref="H7:H9" si="2">E7/12*8</f>
        <v>1723183784.7585411</v>
      </c>
      <c r="I7" s="44">
        <f t="shared" si="0"/>
        <v>-178023230.80854106</v>
      </c>
      <c r="J7" s="330">
        <f t="shared" si="1"/>
        <v>-0.10331064648074456</v>
      </c>
      <c r="K7" s="735">
        <f>E7</f>
        <v>2584775677.1378117</v>
      </c>
    </row>
    <row r="8" spans="1:11" ht="11.25" customHeight="1" x14ac:dyDescent="0.25">
      <c r="A8" s="86" t="s">
        <v>835</v>
      </c>
      <c r="B8" s="421"/>
      <c r="C8" s="748"/>
      <c r="D8" s="745">
        <v>722633094.82360029</v>
      </c>
      <c r="E8" s="733">
        <v>722633094.82360029</v>
      </c>
      <c r="F8" s="733">
        <v>58249767.920000002</v>
      </c>
      <c r="G8" s="733">
        <v>521293784.55000001</v>
      </c>
      <c r="H8" s="733">
        <f t="shared" si="2"/>
        <v>481755396.54906684</v>
      </c>
      <c r="I8" s="44">
        <f t="shared" si="0"/>
        <v>39538388.00093317</v>
      </c>
      <c r="J8" s="330">
        <f t="shared" si="1"/>
        <v>8.207149994407209E-2</v>
      </c>
      <c r="K8" s="735">
        <f>E8</f>
        <v>722633094.82360029</v>
      </c>
    </row>
    <row r="9" spans="1:11" ht="11.25" customHeight="1" x14ac:dyDescent="0.25">
      <c r="A9" s="86" t="s">
        <v>836</v>
      </c>
      <c r="B9" s="421"/>
      <c r="C9" s="748"/>
      <c r="D9" s="745">
        <v>152021749.3608</v>
      </c>
      <c r="E9" s="733">
        <v>152021749.3608</v>
      </c>
      <c r="F9" s="733">
        <v>8119425.5099999998</v>
      </c>
      <c r="G9" s="733">
        <v>104289441.81999999</v>
      </c>
      <c r="H9" s="733">
        <f t="shared" si="2"/>
        <v>101347832.90719999</v>
      </c>
      <c r="I9" s="44">
        <f t="shared" si="0"/>
        <v>2941608.9127999991</v>
      </c>
      <c r="J9" s="330">
        <f t="shared" si="1"/>
        <v>2.9024882214240419E-2</v>
      </c>
      <c r="K9" s="735">
        <f>E9</f>
        <v>152021749.3608</v>
      </c>
    </row>
    <row r="10" spans="1:11" ht="11.25" customHeight="1" x14ac:dyDescent="0.25">
      <c r="A10" s="517" t="s">
        <v>72</v>
      </c>
      <c r="B10" s="421"/>
      <c r="C10" s="748"/>
      <c r="D10" s="745">
        <v>116333080.9707</v>
      </c>
      <c r="E10" s="733">
        <v>116333080.9707</v>
      </c>
      <c r="F10" s="733">
        <v>8967013.0299999993</v>
      </c>
      <c r="G10" s="733">
        <v>71260319.329999998</v>
      </c>
      <c r="H10" s="733">
        <f>E10/12*8</f>
        <v>77555387.313799992</v>
      </c>
      <c r="I10" s="44">
        <f t="shared" si="0"/>
        <v>-6295067.983799994</v>
      </c>
      <c r="J10" s="330">
        <f t="shared" si="1"/>
        <v>-8.1168674438169774E-2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2035243.74</v>
      </c>
      <c r="G12" s="733">
        <v>6935598.4699999997</v>
      </c>
      <c r="H12" s="733">
        <f t="shared" ref="H12:H14" si="3">E12/12*8</f>
        <v>19385865.084666662</v>
      </c>
      <c r="I12" s="44">
        <f t="shared" si="0"/>
        <v>-12450266.614666663</v>
      </c>
      <c r="J12" s="330">
        <f t="shared" si="1"/>
        <v>-0.64223425471552764</v>
      </c>
      <c r="K12" s="735">
        <f>E12</f>
        <v>29078797.626999993</v>
      </c>
    </row>
    <row r="13" spans="1:11" ht="11.25" customHeight="1" x14ac:dyDescent="0.25">
      <c r="A13" s="86" t="s">
        <v>838</v>
      </c>
      <c r="B13" s="421"/>
      <c r="C13" s="748"/>
      <c r="D13" s="745">
        <v>15260422.42725</v>
      </c>
      <c r="E13" s="733">
        <v>15369322.42725</v>
      </c>
      <c r="F13" s="733">
        <v>652535.74</v>
      </c>
      <c r="G13" s="733">
        <v>4784692.5</v>
      </c>
      <c r="H13" s="733">
        <f t="shared" si="3"/>
        <v>10246214.9515</v>
      </c>
      <c r="I13" s="44">
        <f t="shared" si="0"/>
        <v>-5461522.4515000004</v>
      </c>
      <c r="J13" s="330">
        <f t="shared" si="1"/>
        <v>-0.53302829165227084</v>
      </c>
      <c r="K13" s="735">
        <f>E13</f>
        <v>15369322.42725</v>
      </c>
    </row>
    <row r="14" spans="1:11" ht="11.25" customHeight="1" x14ac:dyDescent="0.25">
      <c r="A14" s="86" t="s">
        <v>839</v>
      </c>
      <c r="B14" s="421"/>
      <c r="C14" s="748"/>
      <c r="D14" s="745">
        <v>202457793.88559997</v>
      </c>
      <c r="E14" s="733">
        <v>202457793.88559997</v>
      </c>
      <c r="F14" s="733">
        <v>17260983</v>
      </c>
      <c r="G14" s="733">
        <v>125582384.97</v>
      </c>
      <c r="H14" s="733">
        <f t="shared" si="3"/>
        <v>134971862.59039998</v>
      </c>
      <c r="I14" s="44">
        <f t="shared" si="0"/>
        <v>-9389477.6203999817</v>
      </c>
      <c r="J14" s="330">
        <f t="shared" si="1"/>
        <v>-6.9566185427064109E-2</v>
      </c>
      <c r="K14" s="735">
        <f>E14</f>
        <v>202457793.88559997</v>
      </c>
    </row>
    <row r="15" spans="1:11" ht="11.25" customHeight="1" x14ac:dyDescent="0.25">
      <c r="A15" s="86" t="s">
        <v>921</v>
      </c>
      <c r="B15" s="421"/>
      <c r="C15" s="748"/>
      <c r="D15" s="745"/>
      <c r="E15" s="733">
        <v>0</v>
      </c>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87134.76</v>
      </c>
      <c r="G16" s="733">
        <v>417011.72</v>
      </c>
      <c r="H16" s="733">
        <f t="shared" ref="H16:H20" si="4">E16/12*8</f>
        <v>1199034.2958</v>
      </c>
      <c r="I16" s="44">
        <f t="shared" si="0"/>
        <v>-782022.57579999999</v>
      </c>
      <c r="J16" s="330">
        <f t="shared" si="1"/>
        <v>-0.65221034839393954</v>
      </c>
      <c r="K16" s="735">
        <f>E16</f>
        <v>1798551.4436999999</v>
      </c>
    </row>
    <row r="17" spans="1:11" ht="11.25" customHeight="1" x14ac:dyDescent="0.25">
      <c r="A17" s="86" t="s">
        <v>840</v>
      </c>
      <c r="B17" s="421"/>
      <c r="C17" s="748"/>
      <c r="D17" s="745">
        <v>1119569.0055</v>
      </c>
      <c r="E17" s="733">
        <v>1119569.0055</v>
      </c>
      <c r="F17" s="733">
        <v>56896.87</v>
      </c>
      <c r="G17" s="733">
        <v>343541.09</v>
      </c>
      <c r="H17" s="733">
        <f t="shared" si="4"/>
        <v>746379.33699999994</v>
      </c>
      <c r="I17" s="44">
        <f t="shared" si="0"/>
        <v>-402838.24699999992</v>
      </c>
      <c r="J17" s="330">
        <f t="shared" si="1"/>
        <v>-0.53972320377888483</v>
      </c>
      <c r="K17" s="735">
        <f>E17</f>
        <v>1119569.0055</v>
      </c>
    </row>
    <row r="18" spans="1:11" ht="11.25" customHeight="1" x14ac:dyDescent="0.25">
      <c r="A18" s="86" t="s">
        <v>580</v>
      </c>
      <c r="B18" s="421"/>
      <c r="C18" s="748"/>
      <c r="D18" s="745">
        <v>601902.02599999995</v>
      </c>
      <c r="E18" s="733">
        <v>601902.02599999995</v>
      </c>
      <c r="F18" s="733">
        <v>44860</v>
      </c>
      <c r="G18" s="733">
        <v>1017300</v>
      </c>
      <c r="H18" s="733">
        <f t="shared" si="4"/>
        <v>401268.01733333332</v>
      </c>
      <c r="I18" s="44">
        <f t="shared" si="0"/>
        <v>616031.98266666662</v>
      </c>
      <c r="J18" s="330">
        <f t="shared" si="1"/>
        <v>1.5352132640935818</v>
      </c>
      <c r="K18" s="735">
        <f>E18</f>
        <v>601902.02599999995</v>
      </c>
    </row>
    <row r="19" spans="1:11" ht="11.25" customHeight="1" x14ac:dyDescent="0.25">
      <c r="A19" s="518" t="s">
        <v>1118</v>
      </c>
      <c r="B19" s="421"/>
      <c r="C19" s="748"/>
      <c r="D19" s="745">
        <v>675483240</v>
      </c>
      <c r="E19" s="733">
        <v>819982787</v>
      </c>
      <c r="F19" s="733">
        <v>5576449.54</v>
      </c>
      <c r="G19" s="733">
        <v>578024097.55999994</v>
      </c>
      <c r="H19" s="733">
        <f t="shared" si="4"/>
        <v>546655191.33333337</v>
      </c>
      <c r="I19" s="44">
        <f t="shared" si="0"/>
        <v>31368906.22666657</v>
      </c>
      <c r="J19" s="330">
        <f t="shared" si="1"/>
        <v>5.7383350097079358E-2</v>
      </c>
      <c r="K19" s="735">
        <f>E19</f>
        <v>819982787</v>
      </c>
    </row>
    <row r="20" spans="1:11" ht="11.25" customHeight="1" x14ac:dyDescent="0.25">
      <c r="A20" s="86" t="s">
        <v>453</v>
      </c>
      <c r="B20" s="421"/>
      <c r="C20" s="748"/>
      <c r="D20" s="745">
        <v>146451785.14229998</v>
      </c>
      <c r="E20" s="733">
        <v>146451785.14229998</v>
      </c>
      <c r="F20" s="733">
        <v>4917366.1100000003</v>
      </c>
      <c r="G20" s="733">
        <v>53033441.939999998</v>
      </c>
      <c r="H20" s="733">
        <f t="shared" si="4"/>
        <v>97634523.428199992</v>
      </c>
      <c r="I20" s="44">
        <f t="shared" si="0"/>
        <v>-44601081.488199994</v>
      </c>
      <c r="J20" s="330">
        <f t="shared" si="1"/>
        <v>-0.45681670706365907</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5">SUM(C6:C10)+SUM(C12:C21)</f>
        <v>0</v>
      </c>
      <c r="D22" s="523">
        <f t="shared" si="5"/>
        <v>5917810257.8720617</v>
      </c>
      <c r="E22" s="524">
        <f t="shared" si="5"/>
        <v>6062418704.8720617</v>
      </c>
      <c r="F22" s="524">
        <f t="shared" si="5"/>
        <v>386732586.48999995</v>
      </c>
      <c r="G22" s="524">
        <f t="shared" si="5"/>
        <v>3825018669.4700003</v>
      </c>
      <c r="H22" s="524">
        <f t="shared" si="5"/>
        <v>4041612469.9147077</v>
      </c>
      <c r="I22" s="524">
        <f t="shared" si="0"/>
        <v>-216593800.44470739</v>
      </c>
      <c r="J22" s="525">
        <f t="shared" si="1"/>
        <v>-5.3590937294707597E-2</v>
      </c>
      <c r="K22" s="526">
        <f>SUM(K6:K10)+SUM(K12:K21)</f>
        <v>6062418704.8720617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1474657970.2495086</v>
      </c>
      <c r="F25" s="733">
        <v>104979721.02000006</v>
      </c>
      <c r="G25" s="733">
        <v>915634113.61000085</v>
      </c>
      <c r="H25" s="733">
        <f t="shared" ref="H25:H35" si="6">E25/12*8</f>
        <v>983105313.49967241</v>
      </c>
      <c r="I25" s="44">
        <f t="shared" ref="I25:I36" si="7">G25-H25</f>
        <v>-67471199.889671564</v>
      </c>
      <c r="J25" s="330">
        <f t="shared" ref="J25:J41" si="8">IF(I25=0,"",I25/H25)</f>
        <v>-6.8630693948226781E-2</v>
      </c>
      <c r="K25" s="735">
        <f t="shared" ref="K25:K35" si="9">E25</f>
        <v>1474657970.2495086</v>
      </c>
    </row>
    <row r="26" spans="1:11" ht="12.75" customHeight="1" x14ac:dyDescent="0.25">
      <c r="A26" s="39" t="s">
        <v>477</v>
      </c>
      <c r="B26" s="419"/>
      <c r="C26" s="748"/>
      <c r="D26" s="745">
        <v>53650401.115479976</v>
      </c>
      <c r="E26" s="733">
        <v>53650401.439999998</v>
      </c>
      <c r="F26" s="733">
        <v>5865426.1100000003</v>
      </c>
      <c r="G26" s="733">
        <v>35553018.93</v>
      </c>
      <c r="H26" s="733">
        <f t="shared" si="6"/>
        <v>35766934.293333329</v>
      </c>
      <c r="I26" s="44">
        <f t="shared" si="7"/>
        <v>-213915.36333332956</v>
      </c>
      <c r="J26" s="330">
        <f t="shared" si="8"/>
        <v>-5.9808134960340079E-3</v>
      </c>
      <c r="K26" s="735">
        <f t="shared" si="9"/>
        <v>53650401.439999998</v>
      </c>
    </row>
    <row r="27" spans="1:11" ht="12.75" customHeight="1" x14ac:dyDescent="0.25">
      <c r="A27" s="86" t="s">
        <v>611</v>
      </c>
      <c r="B27" s="421"/>
      <c r="C27" s="748"/>
      <c r="D27" s="745">
        <v>123904143.27200001</v>
      </c>
      <c r="E27" s="733">
        <v>123904143.27200001</v>
      </c>
      <c r="F27" s="733">
        <v>41716.419999999984</v>
      </c>
      <c r="G27" s="733">
        <v>81494907.719999999</v>
      </c>
      <c r="H27" s="733">
        <f t="shared" si="6"/>
        <v>82602762.181333348</v>
      </c>
      <c r="I27" s="44">
        <f t="shared" si="7"/>
        <v>-1107854.4613333493</v>
      </c>
      <c r="J27" s="330">
        <f t="shared" si="8"/>
        <v>-1.3411833116443936E-2</v>
      </c>
      <c r="K27" s="735">
        <f t="shared" si="9"/>
        <v>123904143.27200001</v>
      </c>
    </row>
    <row r="28" spans="1:11" ht="12.75" customHeight="1" x14ac:dyDescent="0.25">
      <c r="A28" s="86" t="s">
        <v>664</v>
      </c>
      <c r="B28" s="421"/>
      <c r="C28" s="748"/>
      <c r="D28" s="745">
        <v>489941448.27473986</v>
      </c>
      <c r="E28" s="733">
        <v>482441449.27473998</v>
      </c>
      <c r="F28" s="733">
        <v>32524868.070000011</v>
      </c>
      <c r="G28" s="733">
        <v>281220239.93000007</v>
      </c>
      <c r="H28" s="733">
        <f t="shared" si="6"/>
        <v>321627632.84982663</v>
      </c>
      <c r="I28" s="44">
        <f t="shared" si="7"/>
        <v>-40407392.919826567</v>
      </c>
      <c r="J28" s="330">
        <f t="shared" si="8"/>
        <v>-0.12563408361959205</v>
      </c>
      <c r="K28" s="735">
        <f t="shared" si="9"/>
        <v>482441449.27473998</v>
      </c>
    </row>
    <row r="29" spans="1:11" ht="12.75" customHeight="1" x14ac:dyDescent="0.25">
      <c r="A29" s="86" t="s">
        <v>452</v>
      </c>
      <c r="B29" s="421"/>
      <c r="C29" s="748"/>
      <c r="D29" s="745">
        <v>31793212.220000003</v>
      </c>
      <c r="E29" s="733">
        <v>36505334.219999969</v>
      </c>
      <c r="F29" s="733">
        <v>2575288.0100000002</v>
      </c>
      <c r="G29" s="733">
        <v>24969974.100000001</v>
      </c>
      <c r="H29" s="733">
        <f t="shared" si="6"/>
        <v>24336889.479999978</v>
      </c>
      <c r="I29" s="44">
        <f t="shared" si="7"/>
        <v>633084.62000002339</v>
      </c>
      <c r="J29" s="330">
        <f t="shared" si="8"/>
        <v>2.6013374491439898E-2</v>
      </c>
      <c r="K29" s="735">
        <f t="shared" si="9"/>
        <v>36505334.219999969</v>
      </c>
    </row>
    <row r="30" spans="1:11" ht="12.75" customHeight="1" x14ac:dyDescent="0.25">
      <c r="A30" s="86" t="s">
        <v>844</v>
      </c>
      <c r="B30" s="421"/>
      <c r="C30" s="748"/>
      <c r="D30" s="745">
        <v>2608224084.5041752</v>
      </c>
      <c r="E30" s="733">
        <v>2551671974.5041752</v>
      </c>
      <c r="F30" s="733">
        <v>177184082.38</v>
      </c>
      <c r="G30" s="733">
        <v>1769106178.3500001</v>
      </c>
      <c r="H30" s="733">
        <f t="shared" si="6"/>
        <v>1701114649.66945</v>
      </c>
      <c r="I30" s="44">
        <f t="shared" si="7"/>
        <v>67991528.680550098</v>
      </c>
      <c r="J30" s="330">
        <f t="shared" si="8"/>
        <v>3.996881027023181E-2</v>
      </c>
      <c r="K30" s="735">
        <f t="shared" si="9"/>
        <v>2551671974.5041752</v>
      </c>
    </row>
    <row r="31" spans="1:11" ht="12.75" customHeight="1" x14ac:dyDescent="0.25">
      <c r="A31" s="86" t="s">
        <v>920</v>
      </c>
      <c r="B31" s="421"/>
      <c r="C31" s="748"/>
      <c r="D31" s="745">
        <v>46613414.686963424</v>
      </c>
      <c r="E31" s="733">
        <v>66137657.143800952</v>
      </c>
      <c r="F31" s="733">
        <v>2937117.2299999995</v>
      </c>
      <c r="G31" s="733">
        <v>23257228.460000008</v>
      </c>
      <c r="H31" s="733">
        <f t="shared" si="6"/>
        <v>44091771.429200634</v>
      </c>
      <c r="I31" s="44">
        <f t="shared" si="7"/>
        <v>-20834542.969200626</v>
      </c>
      <c r="J31" s="330">
        <f t="shared" si="8"/>
        <v>-0.47252678433787182</v>
      </c>
      <c r="K31" s="735">
        <f t="shared" si="9"/>
        <v>66137657.143800952</v>
      </c>
    </row>
    <row r="32" spans="1:11" ht="12.75" customHeight="1" x14ac:dyDescent="0.25">
      <c r="A32" s="86" t="s">
        <v>845</v>
      </c>
      <c r="B32" s="421"/>
      <c r="C32" s="748"/>
      <c r="D32" s="745">
        <v>464722594.2633999</v>
      </c>
      <c r="E32" s="733">
        <v>636216030.0508498</v>
      </c>
      <c r="F32" s="733">
        <v>42149499.589999989</v>
      </c>
      <c r="G32" s="733">
        <v>301859550.32999974</v>
      </c>
      <c r="H32" s="733">
        <f t="shared" si="6"/>
        <v>424144020.03389984</v>
      </c>
      <c r="I32" s="44">
        <f t="shared" si="7"/>
        <v>-122284469.7039001</v>
      </c>
      <c r="J32" s="330">
        <f t="shared" si="8"/>
        <v>-0.28830883833780441</v>
      </c>
      <c r="K32" s="735">
        <f t="shared" si="9"/>
        <v>636216030.0508498</v>
      </c>
    </row>
    <row r="33" spans="1:12" ht="12.75" customHeight="1" x14ac:dyDescent="0.25">
      <c r="A33" s="517" t="s">
        <v>1118</v>
      </c>
      <c r="B33" s="421"/>
      <c r="C33" s="748"/>
      <c r="D33" s="745">
        <v>25080461.44304001</v>
      </c>
      <c r="E33" s="733">
        <v>59680462</v>
      </c>
      <c r="F33" s="733">
        <v>5573958.1299999999</v>
      </c>
      <c r="G33" s="733">
        <v>31482959.32</v>
      </c>
      <c r="H33" s="733">
        <f t="shared" si="6"/>
        <v>39786974.666666664</v>
      </c>
      <c r="I33" s="44">
        <f t="shared" si="7"/>
        <v>-8304015.3466666639</v>
      </c>
      <c r="J33" s="330">
        <f t="shared" si="8"/>
        <v>-0.20871190675434109</v>
      </c>
      <c r="K33" s="735">
        <f t="shared" si="9"/>
        <v>59680462</v>
      </c>
    </row>
    <row r="34" spans="1:12" ht="12.75" customHeight="1" x14ac:dyDescent="0.25">
      <c r="A34" s="86" t="s">
        <v>434</v>
      </c>
      <c r="B34" s="421"/>
      <c r="C34" s="748"/>
      <c r="D34" s="745">
        <v>194223408.19064996</v>
      </c>
      <c r="E34" s="733">
        <v>188215605.26623628</v>
      </c>
      <c r="F34" s="733">
        <v>4383837.5699999956</v>
      </c>
      <c r="G34" s="733">
        <v>97994263.810000002</v>
      </c>
      <c r="H34" s="733">
        <f t="shared" si="6"/>
        <v>125477070.17749085</v>
      </c>
      <c r="I34" s="44">
        <f t="shared" si="7"/>
        <v>-27482806.367490843</v>
      </c>
      <c r="J34" s="330">
        <f t="shared" si="8"/>
        <v>-0.21902652276320797</v>
      </c>
      <c r="K34" s="735">
        <f t="shared" si="9"/>
        <v>188215605.26623628</v>
      </c>
    </row>
    <row r="35" spans="1:12" ht="12.75" customHeight="1" x14ac:dyDescent="0.25">
      <c r="A35" s="990" t="s">
        <v>1370</v>
      </c>
      <c r="B35" s="419"/>
      <c r="C35" s="748"/>
      <c r="D35" s="745"/>
      <c r="E35" s="733">
        <v>70000</v>
      </c>
      <c r="F35" s="733"/>
      <c r="G35" s="733"/>
      <c r="H35" s="733">
        <f t="shared" si="6"/>
        <v>46666.666666666664</v>
      </c>
      <c r="I35" s="44">
        <f t="shared" si="7"/>
        <v>-46666.666666666664</v>
      </c>
      <c r="J35" s="330">
        <f t="shared" si="8"/>
        <v>-1</v>
      </c>
      <c r="K35" s="735">
        <f t="shared" si="9"/>
        <v>70000</v>
      </c>
    </row>
    <row r="36" spans="1:12" ht="12.75" customHeight="1" x14ac:dyDescent="0.25">
      <c r="A36" s="92" t="s">
        <v>488</v>
      </c>
      <c r="B36" s="422"/>
      <c r="C36" s="243">
        <f t="shared" ref="C36:K36" si="10">SUM(C25:C35)</f>
        <v>0</v>
      </c>
      <c r="D36" s="74">
        <f>SUM(D25:D35)</f>
        <v>5516477469.5446281</v>
      </c>
      <c r="E36" s="73">
        <f>SUM(E25:E35)</f>
        <v>5673151027.4213114</v>
      </c>
      <c r="F36" s="73">
        <f t="shared" si="10"/>
        <v>378215514.53000003</v>
      </c>
      <c r="G36" s="73">
        <f t="shared" si="10"/>
        <v>3562572434.5600014</v>
      </c>
      <c r="H36" s="73">
        <f t="shared" si="10"/>
        <v>3782100684.9475398</v>
      </c>
      <c r="I36" s="73">
        <f t="shared" si="7"/>
        <v>-219528250.38753843</v>
      </c>
      <c r="J36" s="331">
        <f t="shared" si="8"/>
        <v>-5.8043999532123358E-2</v>
      </c>
      <c r="K36" s="145">
        <f t="shared" si="10"/>
        <v>5673151027.4213114</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11">C22-C36</f>
        <v>0</v>
      </c>
      <c r="D38" s="51">
        <f t="shared" si="11"/>
        <v>401332788.32743359</v>
      </c>
      <c r="E38" s="50">
        <f t="shared" si="11"/>
        <v>389267677.45075035</v>
      </c>
      <c r="F38" s="50">
        <f t="shared" si="11"/>
        <v>8517071.9599999189</v>
      </c>
      <c r="G38" s="50">
        <f t="shared" si="11"/>
        <v>262446234.90999889</v>
      </c>
      <c r="H38" s="50">
        <f t="shared" si="11"/>
        <v>259511784.96716785</v>
      </c>
      <c r="I38" s="102">
        <f>I22-I36</f>
        <v>2934449.9428310394</v>
      </c>
      <c r="J38" s="102">
        <f t="shared" si="8"/>
        <v>1.1307578741375045E-2</v>
      </c>
      <c r="K38" s="194">
        <f>K22-K36</f>
        <v>389267677.45075035</v>
      </c>
    </row>
    <row r="39" spans="1:12" ht="19.899999999999999" customHeight="1" x14ac:dyDescent="0.25">
      <c r="A39" s="937" t="s">
        <v>1119</v>
      </c>
      <c r="B39" s="419"/>
      <c r="C39" s="748"/>
      <c r="D39" s="745">
        <v>525891580.99999982</v>
      </c>
      <c r="E39" s="733">
        <v>526485334.99999982</v>
      </c>
      <c r="F39" s="733">
        <v>30775637.649999999</v>
      </c>
      <c r="G39" s="733">
        <v>285306032.31999999</v>
      </c>
      <c r="H39" s="733">
        <f>E39/12*8</f>
        <v>350990223.33333319</v>
      </c>
      <c r="I39" s="47">
        <f>G39-H39</f>
        <v>-65684191.013333201</v>
      </c>
      <c r="J39" s="102">
        <f t="shared" si="8"/>
        <v>-0.18713965987295703</v>
      </c>
      <c r="K39" s="735">
        <f>E39</f>
        <v>526485334.99999982</v>
      </c>
    </row>
    <row r="40" spans="1:12" ht="39.6" customHeight="1" x14ac:dyDescent="0.25">
      <c r="A40" s="937" t="s">
        <v>1120</v>
      </c>
      <c r="B40" s="419"/>
      <c r="C40" s="748"/>
      <c r="D40" s="745"/>
      <c r="E40" s="733"/>
      <c r="F40" s="733"/>
      <c r="G40" s="733"/>
      <c r="H40" s="733"/>
      <c r="I40" s="47">
        <f>G40-H40</f>
        <v>0</v>
      </c>
      <c r="J40" s="102" t="str">
        <f t="shared" si="8"/>
        <v/>
      </c>
      <c r="K40" s="735"/>
    </row>
    <row r="41" spans="1:12" ht="12.75" customHeight="1" x14ac:dyDescent="0.25">
      <c r="A41" s="518" t="s">
        <v>1121</v>
      </c>
      <c r="B41" s="419"/>
      <c r="C41" s="749"/>
      <c r="D41" s="750"/>
      <c r="E41" s="751"/>
      <c r="F41" s="751"/>
      <c r="G41" s="751"/>
      <c r="H41" s="751"/>
      <c r="I41" s="47">
        <f>G41-H41</f>
        <v>0</v>
      </c>
      <c r="J41" s="102" t="str">
        <f t="shared" si="8"/>
        <v/>
      </c>
      <c r="K41" s="752"/>
    </row>
    <row r="42" spans="1:12" ht="25.5" x14ac:dyDescent="0.25">
      <c r="A42" s="250" t="s">
        <v>752</v>
      </c>
      <c r="B42" s="521"/>
      <c r="C42" s="252">
        <f t="shared" ref="C42:H42" si="12">C38+SUM(C39:C41)</f>
        <v>0</v>
      </c>
      <c r="D42" s="253">
        <f t="shared" si="12"/>
        <v>927224369.32743335</v>
      </c>
      <c r="E42" s="254">
        <f t="shared" si="12"/>
        <v>915753012.45075011</v>
      </c>
      <c r="F42" s="254">
        <f t="shared" si="12"/>
        <v>39292709.609999917</v>
      </c>
      <c r="G42" s="254">
        <f t="shared" si="12"/>
        <v>547752267.22999883</v>
      </c>
      <c r="H42" s="254">
        <f t="shared" si="12"/>
        <v>610502008.30050111</v>
      </c>
      <c r="I42" s="329"/>
      <c r="J42" s="329"/>
      <c r="K42" s="255">
        <f>K38+SUM(K39:K41)</f>
        <v>915753012.45075011</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3">C42-C43</f>
        <v>0</v>
      </c>
      <c r="D44" s="51">
        <f t="shared" si="13"/>
        <v>927224369.32743335</v>
      </c>
      <c r="E44" s="50">
        <f t="shared" si="13"/>
        <v>915753012.45075011</v>
      </c>
      <c r="F44" s="50">
        <f t="shared" si="13"/>
        <v>39292709.609999917</v>
      </c>
      <c r="G44" s="50">
        <f t="shared" si="13"/>
        <v>547752267.22999883</v>
      </c>
      <c r="H44" s="50">
        <f t="shared" si="13"/>
        <v>610502008.30050111</v>
      </c>
      <c r="I44" s="327"/>
      <c r="J44" s="327"/>
      <c r="K44" s="194">
        <f>K42-K43</f>
        <v>915753012.45075011</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4">SUM(C44:C45)</f>
        <v>0</v>
      </c>
      <c r="D46" s="530">
        <f t="shared" si="14"/>
        <v>927224369.32743335</v>
      </c>
      <c r="E46" s="528">
        <f t="shared" si="14"/>
        <v>915753012.45075011</v>
      </c>
      <c r="F46" s="528">
        <f t="shared" si="14"/>
        <v>39292709.609999917</v>
      </c>
      <c r="G46" s="528">
        <f t="shared" si="14"/>
        <v>547752267.22999883</v>
      </c>
      <c r="H46" s="528">
        <f t="shared" si="14"/>
        <v>610502008.30050111</v>
      </c>
      <c r="I46" s="273"/>
      <c r="J46" s="273"/>
      <c r="K46" s="529">
        <f>SUM(K44:K45)</f>
        <v>915753012.45075011</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5">C46+C47</f>
        <v>0</v>
      </c>
      <c r="D48" s="77">
        <f t="shared" si="15"/>
        <v>927224369.32743335</v>
      </c>
      <c r="E48" s="76">
        <f t="shared" si="15"/>
        <v>915753012.45075011</v>
      </c>
      <c r="F48" s="76">
        <f t="shared" si="15"/>
        <v>39292709.609999917</v>
      </c>
      <c r="G48" s="76">
        <f t="shared" si="15"/>
        <v>547752267.22999883</v>
      </c>
      <c r="H48" s="76">
        <f t="shared" si="15"/>
        <v>610502008.30050111</v>
      </c>
      <c r="I48" s="334"/>
      <c r="J48" s="334"/>
      <c r="K48" s="234">
        <f>K46+K47</f>
        <v>915753012.45075011</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6">C22+SUM(C39:C41)</f>
        <v>0</v>
      </c>
      <c r="D53" s="62">
        <f t="shared" si="16"/>
        <v>6443701838.8720617</v>
      </c>
      <c r="E53" s="62">
        <f t="shared" si="16"/>
        <v>6588904039.8720617</v>
      </c>
      <c r="F53" s="62">
        <f t="shared" si="16"/>
        <v>417508224.13999993</v>
      </c>
      <c r="G53" s="62">
        <f t="shared" si="16"/>
        <v>4110324701.7900004</v>
      </c>
      <c r="H53" s="62">
        <f t="shared" si="16"/>
        <v>4392602693.2480412</v>
      </c>
      <c r="I53" s="62"/>
      <c r="J53" s="62"/>
      <c r="K53" s="62">
        <f>K22+SUM(K39:K41)</f>
        <v>6588904039.8720617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35" activePane="bottomRight" state="frozen"/>
      <selection pane="topRight"/>
      <selection pane="bottomLeft"/>
      <selection pane="bottomRight" activeCell="P55" sqref="P55"/>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6" t="str">
        <f>muni&amp; " - "&amp;S71D&amp; " - "&amp;date</f>
        <v>KZN225 Msunduzi - Table C5 Consolidated Monthly Budget Statement - Capital Expenditure (municipal vote, functional classification and funding  - M08 February</v>
      </c>
      <c r="B1" s="1046"/>
      <c r="C1" s="1046"/>
      <c r="D1" s="1046"/>
      <c r="E1" s="1046"/>
      <c r="F1" s="1046"/>
      <c r="G1" s="1046"/>
      <c r="H1" s="1046"/>
      <c r="I1" s="1046"/>
      <c r="J1" s="1046"/>
      <c r="K1" s="1046"/>
    </row>
    <row r="2" spans="1:12" x14ac:dyDescent="0.25">
      <c r="A2" s="1044" t="str">
        <f>Vdesc</f>
        <v>Vote Description</v>
      </c>
      <c r="B2" s="1053" t="str">
        <f>head27</f>
        <v>Ref</v>
      </c>
      <c r="C2" s="139" t="str">
        <f>Head1</f>
        <v>2019/20</v>
      </c>
      <c r="D2" s="245" t="str">
        <f>Head2</f>
        <v>Budget Year 2020/21</v>
      </c>
      <c r="E2" s="229"/>
      <c r="F2" s="229"/>
      <c r="G2" s="229"/>
      <c r="H2" s="229"/>
      <c r="I2" s="229"/>
      <c r="J2" s="229"/>
      <c r="K2" s="230"/>
    </row>
    <row r="3" spans="1:12" ht="25.5" x14ac:dyDescent="0.25">
      <c r="A3" s="1045"/>
      <c r="B3" s="1054"/>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2300000</v>
      </c>
      <c r="F6" s="47">
        <f>'C5C'!F7</f>
        <v>0</v>
      </c>
      <c r="G6" s="47">
        <f>'C5C'!G7</f>
        <v>0</v>
      </c>
      <c r="H6" s="47">
        <f>'C5C'!H7</f>
        <v>1533333.3333333333</v>
      </c>
      <c r="I6" s="44">
        <f>G6-H6</f>
        <v>-1533333.3333333333</v>
      </c>
      <c r="J6" s="330">
        <f>IF(I6=0,"",I6/H6)</f>
        <v>-1</v>
      </c>
      <c r="K6" s="144">
        <f>'C5C'!K7</f>
        <v>2300000</v>
      </c>
      <c r="L6" s="100"/>
    </row>
    <row r="7" spans="1:12" ht="13.5" customHeight="1" x14ac:dyDescent="0.25">
      <c r="A7" s="407" t="str">
        <f>'Org structure'!A3</f>
        <v>Vote 2 - City Finance</v>
      </c>
      <c r="B7" s="419"/>
      <c r="C7" s="648">
        <f>'C5C'!C12</f>
        <v>0</v>
      </c>
      <c r="D7" s="670">
        <f>'C5C'!D12</f>
        <v>12500000</v>
      </c>
      <c r="E7" s="408">
        <f>'C5C'!E12</f>
        <v>4720000</v>
      </c>
      <c r="F7" s="408">
        <f>'C5C'!F12</f>
        <v>0</v>
      </c>
      <c r="G7" s="408">
        <f>'C5C'!G12</f>
        <v>0</v>
      </c>
      <c r="H7" s="408">
        <f>'C5C'!H12</f>
        <v>3146666.6666666665</v>
      </c>
      <c r="I7" s="44">
        <f>G7-H7</f>
        <v>-3146666.6666666665</v>
      </c>
      <c r="J7" s="330">
        <f>IF(I7=0,"",I7/H7)</f>
        <v>-1</v>
      </c>
      <c r="K7" s="642">
        <f>'C5C'!K12</f>
        <v>4720000</v>
      </c>
      <c r="L7" s="100"/>
    </row>
    <row r="8" spans="1:12" ht="13.5" customHeight="1" x14ac:dyDescent="0.25">
      <c r="A8" s="407" t="str">
        <f>'Org structure'!A4</f>
        <v>Vote 3 - Community Services and Social Equity</v>
      </c>
      <c r="B8" s="419"/>
      <c r="C8" s="648">
        <f>'C5C'!C18</f>
        <v>0</v>
      </c>
      <c r="D8" s="670">
        <f>'C5C'!D18</f>
        <v>23812425</v>
      </c>
      <c r="E8" s="408">
        <f>'C5C'!E18</f>
        <v>46120040</v>
      </c>
      <c r="F8" s="408">
        <f>'C5C'!F18</f>
        <v>0</v>
      </c>
      <c r="G8" s="408">
        <f>'C5C'!G18</f>
        <v>0</v>
      </c>
      <c r="H8" s="408">
        <f>'C5C'!H18</f>
        <v>30746693.333333336</v>
      </c>
      <c r="I8" s="44">
        <f t="shared" ref="I8:I17" si="0">G8-H8</f>
        <v>-30746693.333333336</v>
      </c>
      <c r="J8" s="330">
        <f t="shared" ref="J8:J17" si="1">IF(I8=0,"",I8/H8)</f>
        <v>-1</v>
      </c>
      <c r="K8" s="642">
        <f>'C5C'!K18</f>
        <v>46120040</v>
      </c>
      <c r="L8" s="697"/>
    </row>
    <row r="9" spans="1:12" ht="13.5" customHeight="1" x14ac:dyDescent="0.25">
      <c r="A9" s="407" t="str">
        <f>'Org structure'!A5</f>
        <v>Vote 4 - Corporate Services</v>
      </c>
      <c r="B9" s="419"/>
      <c r="C9" s="648">
        <f>'C5C'!C23</f>
        <v>0</v>
      </c>
      <c r="D9" s="670">
        <f>'C5C'!D23</f>
        <v>0</v>
      </c>
      <c r="E9" s="408">
        <f>'C5C'!E23</f>
        <v>1970000</v>
      </c>
      <c r="F9" s="408">
        <f>'C5C'!F23</f>
        <v>6002670.4900000002</v>
      </c>
      <c r="G9" s="408">
        <f>'C5C'!G23</f>
        <v>16368405.739999998</v>
      </c>
      <c r="H9" s="408">
        <f>'C5C'!H23</f>
        <v>1313333.3333333333</v>
      </c>
      <c r="I9" s="44">
        <f t="shared" si="0"/>
        <v>15055072.406666664</v>
      </c>
      <c r="J9" s="330">
        <f t="shared" si="1"/>
        <v>11.463253101522842</v>
      </c>
      <c r="K9" s="642">
        <f>'C5C'!K23</f>
        <v>1970000</v>
      </c>
      <c r="L9" s="697"/>
    </row>
    <row r="10" spans="1:12" ht="13.5" customHeight="1" x14ac:dyDescent="0.25">
      <c r="A10" s="407" t="str">
        <f>'Org structure'!A6</f>
        <v>Vote 5 - Infrastructure Services</v>
      </c>
      <c r="B10" s="419"/>
      <c r="C10" s="648">
        <f>'C5C'!C29</f>
        <v>0</v>
      </c>
      <c r="D10" s="670">
        <f>'C5C'!D29</f>
        <v>168455000</v>
      </c>
      <c r="E10" s="408">
        <f>'C5C'!E29</f>
        <v>7780000</v>
      </c>
      <c r="F10" s="408">
        <f>'C5C'!F29</f>
        <v>6969997.1600000001</v>
      </c>
      <c r="G10" s="408">
        <f>'C5C'!G29</f>
        <v>122418480.51000002</v>
      </c>
      <c r="H10" s="408">
        <f>'C5C'!H29</f>
        <v>5186666.666666667</v>
      </c>
      <c r="I10" s="44">
        <f t="shared" si="0"/>
        <v>117231813.84333335</v>
      </c>
      <c r="J10" s="330">
        <f t="shared" si="1"/>
        <v>22.602534802699232</v>
      </c>
      <c r="K10" s="642">
        <f>'C5C'!K29</f>
        <v>7780000</v>
      </c>
      <c r="L10" s="697"/>
    </row>
    <row r="11" spans="1:12" ht="13.5" customHeight="1" x14ac:dyDescent="0.25">
      <c r="A11" s="407" t="str">
        <f>'Org structure'!A7</f>
        <v>Vote 6 - Sustainable Development and City Enterprises</v>
      </c>
      <c r="B11" s="419"/>
      <c r="C11" s="648">
        <f>'C5C'!C35</f>
        <v>0</v>
      </c>
      <c r="D11" s="670">
        <f>'C5C'!D35</f>
        <v>300600156</v>
      </c>
      <c r="E11" s="408">
        <f>'C5C'!E35</f>
        <v>319509531.77999997</v>
      </c>
      <c r="F11" s="408">
        <f>'C5C'!F35</f>
        <v>4011574.51</v>
      </c>
      <c r="G11" s="408">
        <f>'C5C'!G35</f>
        <v>37483470.760000005</v>
      </c>
      <c r="H11" s="408">
        <f>'C5C'!H35</f>
        <v>213006354.51999998</v>
      </c>
      <c r="I11" s="44">
        <f t="shared" si="0"/>
        <v>-175522883.75999999</v>
      </c>
      <c r="J11" s="330">
        <f t="shared" si="1"/>
        <v>-0.82402651392974979</v>
      </c>
      <c r="K11" s="642">
        <f>'C5C'!K35</f>
        <v>319509531.77999997</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382399571.77999997</v>
      </c>
      <c r="F21" s="430">
        <f t="shared" si="2"/>
        <v>16984242.16</v>
      </c>
      <c r="G21" s="430">
        <f t="shared" si="2"/>
        <v>176270357.01000005</v>
      </c>
      <c r="H21" s="430">
        <f t="shared" si="2"/>
        <v>254933047.85333332</v>
      </c>
      <c r="I21" s="430">
        <f t="shared" si="2"/>
        <v>-78662690.843333304</v>
      </c>
      <c r="J21" s="431">
        <f>IF(I21=0,"",I21/H21)</f>
        <v>-0.3085621558511672</v>
      </c>
      <c r="K21" s="513">
        <f>SUM(K6:K20)</f>
        <v>382399571.77999997</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1500000</v>
      </c>
      <c r="F24" s="44">
        <f>'C5C'!F149</f>
        <v>0</v>
      </c>
      <c r="G24" s="44">
        <f>'C5C'!G149</f>
        <v>1142694.8500000001</v>
      </c>
      <c r="H24" s="44">
        <f>'C5C'!H149</f>
        <v>1000000</v>
      </c>
      <c r="I24" s="44">
        <f>'C5C'!I149</f>
        <v>142694.85000000009</v>
      </c>
      <c r="J24" s="330">
        <f>IF(I24=0,"",I24/H24)</f>
        <v>0.1426948500000001</v>
      </c>
      <c r="K24" s="144">
        <f>'C5C'!K149</f>
        <v>1500000</v>
      </c>
      <c r="L24" s="100"/>
    </row>
    <row r="25" spans="1:12" ht="12.75" customHeight="1" x14ac:dyDescent="0.25">
      <c r="A25" s="407" t="str">
        <f>'Org structure'!A3</f>
        <v>Vote 2 - City Finance</v>
      </c>
      <c r="B25" s="419"/>
      <c r="C25" s="134">
        <f>'C5C'!C160</f>
        <v>0</v>
      </c>
      <c r="D25" s="258">
        <f>'C5C'!D160</f>
        <v>15000000</v>
      </c>
      <c r="E25" s="44">
        <f>'C5C'!E160</f>
        <v>27914416</v>
      </c>
      <c r="F25" s="44">
        <f>'C5C'!F160</f>
        <v>6438.59</v>
      </c>
      <c r="G25" s="44">
        <f>'C5C'!G160</f>
        <v>361546.49</v>
      </c>
      <c r="H25" s="44">
        <f>'C5C'!H160</f>
        <v>18609610.666666668</v>
      </c>
      <c r="I25" s="44">
        <f>'C5C'!I160</f>
        <v>-18248064.17666667</v>
      </c>
      <c r="J25" s="330">
        <f t="shared" ref="J25:J39" si="3">IF(I25=0,"",I25/H25)</f>
        <v>-0.98057205513452272</v>
      </c>
      <c r="K25" s="144">
        <f>'C5C'!K160</f>
        <v>27914416</v>
      </c>
      <c r="L25" s="100"/>
    </row>
    <row r="26" spans="1:12" ht="12.75" customHeight="1" x14ac:dyDescent="0.25">
      <c r="A26" s="407" t="str">
        <f>'Org structure'!A4</f>
        <v>Vote 3 - Community Services and Social Equity</v>
      </c>
      <c r="B26" s="419"/>
      <c r="C26" s="134">
        <f>'C5C'!C171</f>
        <v>0</v>
      </c>
      <c r="D26" s="258">
        <f>'C5C'!D171</f>
        <v>13700000</v>
      </c>
      <c r="E26" s="44">
        <f>'C5C'!E171</f>
        <v>19124760</v>
      </c>
      <c r="F26" s="44">
        <f>'C5C'!F171</f>
        <v>0</v>
      </c>
      <c r="G26" s="44">
        <f>'C5C'!G171</f>
        <v>0</v>
      </c>
      <c r="H26" s="44">
        <f>'C5C'!H171</f>
        <v>12749840</v>
      </c>
      <c r="I26" s="44">
        <f>'C5C'!I171</f>
        <v>-12749840</v>
      </c>
      <c r="J26" s="330">
        <f t="shared" si="3"/>
        <v>-1</v>
      </c>
      <c r="K26" s="144">
        <f>'C5C'!K171</f>
        <v>19124760</v>
      </c>
      <c r="L26" s="697"/>
    </row>
    <row r="27" spans="1:12" ht="12.75" customHeight="1" x14ac:dyDescent="0.25">
      <c r="A27" s="407" t="str">
        <f>'Org structure'!A5</f>
        <v>Vote 4 - Corporate Services</v>
      </c>
      <c r="B27" s="419"/>
      <c r="C27" s="134">
        <f>'C5C'!C182</f>
        <v>0</v>
      </c>
      <c r="D27" s="258">
        <f>'C5C'!D182</f>
        <v>0</v>
      </c>
      <c r="E27" s="44">
        <f>'C5C'!E182</f>
        <v>530000</v>
      </c>
      <c r="F27" s="44">
        <f>'C5C'!F182</f>
        <v>2129341.34</v>
      </c>
      <c r="G27" s="44">
        <f>'C5C'!G182</f>
        <v>5706139.8399999999</v>
      </c>
      <c r="H27" s="44">
        <f>'C5C'!H182</f>
        <v>353333.33333333331</v>
      </c>
      <c r="I27" s="44">
        <f>'C5C'!I182</f>
        <v>5352806.5066666668</v>
      </c>
      <c r="J27" s="330">
        <f t="shared" si="3"/>
        <v>15.149452377358491</v>
      </c>
      <c r="K27" s="144">
        <f>'C5C'!K182</f>
        <v>530000</v>
      </c>
      <c r="L27" s="697"/>
    </row>
    <row r="28" spans="1:12" ht="12.75" customHeight="1" x14ac:dyDescent="0.25">
      <c r="A28" s="407" t="str">
        <f>'Org structure'!A6</f>
        <v>Vote 5 - Infrastructure Services</v>
      </c>
      <c r="B28" s="419"/>
      <c r="C28" s="134">
        <f>'C5C'!C193</f>
        <v>0</v>
      </c>
      <c r="D28" s="258">
        <f>'C5C'!D193</f>
        <v>33000000</v>
      </c>
      <c r="E28" s="44">
        <f>'C5C'!E193</f>
        <v>310123978</v>
      </c>
      <c r="F28" s="44">
        <f>'C5C'!F193</f>
        <v>14626818.969999999</v>
      </c>
      <c r="G28" s="44">
        <f>'C5C'!G193</f>
        <v>99861828.279999971</v>
      </c>
      <c r="H28" s="44">
        <f>'C5C'!H193</f>
        <v>206749318.66666666</v>
      </c>
      <c r="I28" s="44">
        <f>'C5C'!I193</f>
        <v>-106887490.38666669</v>
      </c>
      <c r="J28" s="330">
        <f t="shared" si="3"/>
        <v>-0.51699077450889663</v>
      </c>
      <c r="K28" s="144">
        <f>'C5C'!K193</f>
        <v>310123978</v>
      </c>
      <c r="L28" s="697"/>
    </row>
    <row r="29" spans="1:12" ht="12.75" customHeight="1" x14ac:dyDescent="0.25">
      <c r="A29" s="407" t="str">
        <f>'Org structure'!A7</f>
        <v>Vote 6 - Sustainable Development and City Enterprises</v>
      </c>
      <c r="B29" s="419"/>
      <c r="C29" s="134">
        <f>'C5C'!C204</f>
        <v>0</v>
      </c>
      <c r="D29" s="258">
        <f>'C5C'!D204</f>
        <v>10024000</v>
      </c>
      <c r="E29" s="44">
        <f>'C5C'!E204</f>
        <v>5597634</v>
      </c>
      <c r="F29" s="44">
        <f>'C5C'!F204</f>
        <v>1441536</v>
      </c>
      <c r="G29" s="44">
        <f>'C5C'!G204</f>
        <v>2661112.7699999521</v>
      </c>
      <c r="H29" s="44">
        <f>'C5C'!H204</f>
        <v>3731756</v>
      </c>
      <c r="I29" s="44">
        <f>'C5C'!I204</f>
        <v>-1070643.2300000479</v>
      </c>
      <c r="J29" s="330">
        <f t="shared" si="3"/>
        <v>-0.28690065213268173</v>
      </c>
      <c r="K29" s="144">
        <f>'C5C'!K204</f>
        <v>5597634</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364790788</v>
      </c>
      <c r="F39" s="161">
        <f t="shared" si="4"/>
        <v>18204134.899999999</v>
      </c>
      <c r="G39" s="161">
        <f t="shared" si="4"/>
        <v>109733322.22999993</v>
      </c>
      <c r="H39" s="161">
        <f t="shared" si="4"/>
        <v>243193858.66666666</v>
      </c>
      <c r="I39" s="73">
        <f t="shared" si="4"/>
        <v>-133460536.43666673</v>
      </c>
      <c r="J39" s="331">
        <f t="shared" si="3"/>
        <v>-0.54878251107316911</v>
      </c>
      <c r="K39" s="263">
        <f>SUM(K24:K38)</f>
        <v>364790788</v>
      </c>
      <c r="L39" s="100"/>
    </row>
    <row r="40" spans="1:12" ht="12.75" customHeight="1" x14ac:dyDescent="0.25">
      <c r="A40" s="92" t="s">
        <v>761</v>
      </c>
      <c r="B40" s="422"/>
      <c r="C40" s="243">
        <f t="shared" ref="C40:I40" si="5">C39+C21</f>
        <v>0</v>
      </c>
      <c r="D40" s="260">
        <f t="shared" si="5"/>
        <v>580891581</v>
      </c>
      <c r="E40" s="73">
        <f t="shared" si="5"/>
        <v>747190359.77999997</v>
      </c>
      <c r="F40" s="73">
        <f t="shared" si="5"/>
        <v>35188377.060000002</v>
      </c>
      <c r="G40" s="73">
        <f t="shared" si="5"/>
        <v>286003679.24000001</v>
      </c>
      <c r="H40" s="73">
        <f t="shared" si="5"/>
        <v>498126906.51999998</v>
      </c>
      <c r="I40" s="73">
        <f t="shared" si="5"/>
        <v>-212123227.28000003</v>
      </c>
      <c r="J40" s="331">
        <f>IF(I40=0,"",I40/H40)</f>
        <v>-0.42584173732338471</v>
      </c>
      <c r="K40" s="145">
        <f>K39+K21</f>
        <v>747190359.77999997</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38934416</v>
      </c>
      <c r="F43" s="637">
        <f t="shared" si="6"/>
        <v>4053100.4900000039</v>
      </c>
      <c r="G43" s="637">
        <f t="shared" si="6"/>
        <v>5109525.4200000037</v>
      </c>
      <c r="H43" s="637">
        <f t="shared" si="6"/>
        <v>25956277.333333332</v>
      </c>
      <c r="I43" s="44">
        <f t="shared" ref="I43:I62" si="7">G43-H43</f>
        <v>-20846751.913333327</v>
      </c>
      <c r="J43" s="330">
        <f>IF(I43=0,"",I43/H43)</f>
        <v>-0.80314875841466304</v>
      </c>
      <c r="K43" s="641">
        <f>SUM(K44:K46)</f>
        <v>38934416</v>
      </c>
      <c r="L43" s="100"/>
    </row>
    <row r="44" spans="1:12" ht="12.75" customHeight="1" x14ac:dyDescent="0.25">
      <c r="A44" s="416" t="s">
        <v>108</v>
      </c>
      <c r="B44" s="419"/>
      <c r="C44" s="735"/>
      <c r="D44" s="753">
        <v>5000000</v>
      </c>
      <c r="E44" s="733">
        <v>3800000</v>
      </c>
      <c r="F44" s="733">
        <v>1493513.7300000042</v>
      </c>
      <c r="G44" s="733">
        <v>2629113.7300000042</v>
      </c>
      <c r="H44" s="733">
        <f>E44/12*8</f>
        <v>2533333.3333333335</v>
      </c>
      <c r="I44" s="44">
        <f t="shared" si="7"/>
        <v>95780.396666670684</v>
      </c>
      <c r="J44" s="330">
        <f t="shared" ref="J44:J63" si="8">IF(I44=0,"",I44/H44)</f>
        <v>3.7808051315791055E-2</v>
      </c>
      <c r="K44" s="735">
        <f>E44</f>
        <v>3800000</v>
      </c>
      <c r="L44" s="100"/>
    </row>
    <row r="45" spans="1:12" ht="12.75" customHeight="1" x14ac:dyDescent="0.25">
      <c r="A45" s="416" t="s">
        <v>1123</v>
      </c>
      <c r="B45" s="419"/>
      <c r="C45" s="754"/>
      <c r="D45" s="755">
        <v>27500000</v>
      </c>
      <c r="E45" s="756">
        <v>35134416</v>
      </c>
      <c r="F45" s="756">
        <v>2559586.7599999998</v>
      </c>
      <c r="G45" s="756">
        <v>2480411.69</v>
      </c>
      <c r="H45" s="756">
        <f>E45/12*8</f>
        <v>23422944</v>
      </c>
      <c r="I45" s="44">
        <f t="shared" si="7"/>
        <v>-20942532.309999999</v>
      </c>
      <c r="J45" s="330">
        <f t="shared" si="8"/>
        <v>-0.89410333346653603</v>
      </c>
      <c r="K45" s="754">
        <f>E45</f>
        <v>35134416</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322085541.77999997</v>
      </c>
      <c r="F47" s="637">
        <f t="shared" si="9"/>
        <v>7401684.1200000001</v>
      </c>
      <c r="G47" s="637">
        <f t="shared" si="9"/>
        <v>48414429.570000015</v>
      </c>
      <c r="H47" s="637">
        <f t="shared" si="9"/>
        <v>214723694.51999998</v>
      </c>
      <c r="I47" s="44">
        <f t="shared" si="7"/>
        <v>-166309264.94999996</v>
      </c>
      <c r="J47" s="330">
        <f t="shared" si="8"/>
        <v>-0.77452684167796604</v>
      </c>
      <c r="K47" s="641">
        <f>SUM(K48:K52)</f>
        <v>322085541.77999997</v>
      </c>
      <c r="L47" s="100"/>
    </row>
    <row r="48" spans="1:12" ht="12.75" customHeight="1" x14ac:dyDescent="0.25">
      <c r="A48" s="416" t="s">
        <v>110</v>
      </c>
      <c r="B48" s="419"/>
      <c r="C48" s="735"/>
      <c r="D48" s="753">
        <v>45972000</v>
      </c>
      <c r="E48" s="733">
        <v>37482375</v>
      </c>
      <c r="F48" s="733">
        <v>2378819.0300000003</v>
      </c>
      <c r="G48" s="733">
        <v>10007280.690000001</v>
      </c>
      <c r="H48" s="733">
        <f>E48/12*8</f>
        <v>24988250</v>
      </c>
      <c r="I48" s="44">
        <f t="shared" si="7"/>
        <v>-14980969.309999999</v>
      </c>
      <c r="J48" s="330">
        <f t="shared" si="8"/>
        <v>-0.59952054705711677</v>
      </c>
      <c r="K48" s="735">
        <f>E48</f>
        <v>37482375</v>
      </c>
      <c r="L48" s="100"/>
    </row>
    <row r="49" spans="1:12" ht="12.75" customHeight="1" x14ac:dyDescent="0.25">
      <c r="A49" s="416" t="s">
        <v>111</v>
      </c>
      <c r="B49" s="419"/>
      <c r="C49" s="735"/>
      <c r="D49" s="753"/>
      <c r="E49" s="733">
        <v>0</v>
      </c>
      <c r="F49" s="733">
        <v>447816.41</v>
      </c>
      <c r="G49" s="733">
        <v>488068.77999999991</v>
      </c>
      <c r="H49" s="733"/>
      <c r="I49" s="44">
        <f t="shared" si="7"/>
        <v>488068.77999999991</v>
      </c>
      <c r="J49" s="330" t="e">
        <f t="shared" si="8"/>
        <v>#DIV/0!</v>
      </c>
      <c r="K49" s="735"/>
      <c r="L49" s="100"/>
    </row>
    <row r="50" spans="1:12" ht="12.75" customHeight="1" x14ac:dyDescent="0.25">
      <c r="A50" s="416" t="s">
        <v>112</v>
      </c>
      <c r="B50" s="419"/>
      <c r="C50" s="735"/>
      <c r="D50" s="753"/>
      <c r="E50" s="733">
        <v>0</v>
      </c>
      <c r="F50" s="733"/>
      <c r="G50" s="733">
        <v>169552.05</v>
      </c>
      <c r="H50" s="733"/>
      <c r="I50" s="44">
        <f t="shared" si="7"/>
        <v>169552.05</v>
      </c>
      <c r="J50" s="330" t="e">
        <f t="shared" si="8"/>
        <v>#DIV/0!</v>
      </c>
      <c r="K50" s="735"/>
      <c r="L50" s="100"/>
    </row>
    <row r="51" spans="1:12" ht="12.75" customHeight="1" x14ac:dyDescent="0.25">
      <c r="A51" s="416" t="s">
        <v>711</v>
      </c>
      <c r="B51" s="419"/>
      <c r="C51" s="735"/>
      <c r="D51" s="753">
        <v>278902092</v>
      </c>
      <c r="E51" s="733">
        <v>284603166.77999997</v>
      </c>
      <c r="F51" s="733">
        <v>4575048.68</v>
      </c>
      <c r="G51" s="733">
        <v>37749528.050000012</v>
      </c>
      <c r="H51" s="733">
        <f>E51/12*8</f>
        <v>189735444.51999998</v>
      </c>
      <c r="I51" s="44">
        <f t="shared" si="7"/>
        <v>-151985916.46999997</v>
      </c>
      <c r="J51" s="330">
        <f t="shared" si="8"/>
        <v>-0.80104124379342923</v>
      </c>
      <c r="K51" s="735">
        <f>E51</f>
        <v>284603166.77999997</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197865670</v>
      </c>
      <c r="F53" s="637">
        <f t="shared" si="10"/>
        <v>11288853.569999998</v>
      </c>
      <c r="G53" s="637">
        <f t="shared" si="10"/>
        <v>88826812.080000013</v>
      </c>
      <c r="H53" s="637">
        <f t="shared" si="10"/>
        <v>131910446.66666667</v>
      </c>
      <c r="I53" s="44">
        <f t="shared" si="7"/>
        <v>-43083634.586666659</v>
      </c>
      <c r="J53" s="330">
        <f t="shared" si="8"/>
        <v>-0.32661275642207155</v>
      </c>
      <c r="K53" s="641">
        <f>SUM(K54:K56)</f>
        <v>197865670</v>
      </c>
      <c r="L53" s="100"/>
    </row>
    <row r="54" spans="1:12" ht="12.75" customHeight="1" x14ac:dyDescent="0.25">
      <c r="A54" s="416" t="s">
        <v>114</v>
      </c>
      <c r="B54" s="419"/>
      <c r="C54" s="735"/>
      <c r="D54" s="753">
        <v>13936064</v>
      </c>
      <c r="E54" s="733">
        <v>37856365</v>
      </c>
      <c r="F54" s="733"/>
      <c r="G54" s="733"/>
      <c r="H54" s="733">
        <f t="shared" ref="H54:H55" si="11">E54/12*8</f>
        <v>25237576.666666668</v>
      </c>
      <c r="I54" s="44">
        <f t="shared" si="7"/>
        <v>-25237576.666666668</v>
      </c>
      <c r="J54" s="330">
        <f t="shared" si="8"/>
        <v>-1</v>
      </c>
      <c r="K54" s="735">
        <f t="shared" ref="K54:K55" si="12">E54</f>
        <v>37856365</v>
      </c>
      <c r="L54" s="100"/>
    </row>
    <row r="55" spans="1:12" ht="12.75" customHeight="1" x14ac:dyDescent="0.25">
      <c r="A55" s="416" t="s">
        <v>115</v>
      </c>
      <c r="B55" s="419"/>
      <c r="C55" s="735"/>
      <c r="D55" s="753">
        <v>90636000</v>
      </c>
      <c r="E55" s="733">
        <v>160009305</v>
      </c>
      <c r="F55" s="733">
        <v>11288853.569999998</v>
      </c>
      <c r="G55" s="733">
        <v>88826812.080000013</v>
      </c>
      <c r="H55" s="733">
        <f t="shared" si="11"/>
        <v>106672870</v>
      </c>
      <c r="I55" s="44">
        <f t="shared" si="7"/>
        <v>-17846057.919999987</v>
      </c>
      <c r="J55" s="330">
        <f t="shared" si="8"/>
        <v>-0.16729706363014313</v>
      </c>
      <c r="K55" s="735">
        <f t="shared" si="12"/>
        <v>160009305</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185657098</v>
      </c>
      <c r="F57" s="637">
        <f t="shared" si="13"/>
        <v>12444738.880000001</v>
      </c>
      <c r="G57" s="637">
        <f t="shared" si="13"/>
        <v>98080175.079999998</v>
      </c>
      <c r="H57" s="637">
        <f t="shared" si="13"/>
        <v>123771398.66666667</v>
      </c>
      <c r="I57" s="44">
        <f t="shared" si="7"/>
        <v>-25691223.586666673</v>
      </c>
      <c r="J57" s="330">
        <f t="shared" si="8"/>
        <v>-0.20756995447596627</v>
      </c>
      <c r="K57" s="641">
        <f>SUM(K58:K61)</f>
        <v>185657098</v>
      </c>
      <c r="L57" s="100"/>
    </row>
    <row r="58" spans="1:12" ht="12.75" customHeight="1" x14ac:dyDescent="0.25">
      <c r="A58" s="416" t="s">
        <v>1191</v>
      </c>
      <c r="B58" s="419"/>
      <c r="C58" s="735"/>
      <c r="D58" s="753">
        <v>12500000</v>
      </c>
      <c r="E58" s="733">
        <v>16134330</v>
      </c>
      <c r="F58" s="733">
        <v>386073.15</v>
      </c>
      <c r="G58" s="733">
        <v>2957033.65</v>
      </c>
      <c r="H58" s="733">
        <f t="shared" ref="H58:H62" si="14">E58/12*8</f>
        <v>10756220</v>
      </c>
      <c r="I58" s="44">
        <f t="shared" si="7"/>
        <v>-7799186.3499999996</v>
      </c>
      <c r="J58" s="330">
        <f t="shared" si="8"/>
        <v>-0.72508616874701337</v>
      </c>
      <c r="K58" s="735">
        <f t="shared" ref="K58:K62" si="15">E58</f>
        <v>16134330</v>
      </c>
      <c r="L58" s="100"/>
    </row>
    <row r="59" spans="1:12" ht="12.75" customHeight="1" x14ac:dyDescent="0.25">
      <c r="A59" s="416" t="s">
        <v>1195</v>
      </c>
      <c r="B59" s="419"/>
      <c r="C59" s="735"/>
      <c r="D59" s="753">
        <v>59255000</v>
      </c>
      <c r="E59" s="733">
        <v>68660397</v>
      </c>
      <c r="F59" s="733">
        <v>10620986.99</v>
      </c>
      <c r="G59" s="733">
        <v>47469567.390000015</v>
      </c>
      <c r="H59" s="733">
        <f t="shared" si="14"/>
        <v>45773598</v>
      </c>
      <c r="I59" s="44">
        <f t="shared" si="7"/>
        <v>1695969.3900000155</v>
      </c>
      <c r="J59" s="330">
        <f t="shared" si="8"/>
        <v>3.705125801996198E-2</v>
      </c>
      <c r="K59" s="735">
        <f t="shared" si="15"/>
        <v>68660397</v>
      </c>
      <c r="L59" s="100"/>
    </row>
    <row r="60" spans="1:12" ht="12.75" customHeight="1" x14ac:dyDescent="0.25">
      <c r="A60" s="416" t="s">
        <v>118</v>
      </c>
      <c r="B60" s="419"/>
      <c r="C60" s="754"/>
      <c r="D60" s="755">
        <v>27514000</v>
      </c>
      <c r="E60" s="756">
        <v>73099946</v>
      </c>
      <c r="F60" s="756">
        <v>1260528.1499999999</v>
      </c>
      <c r="G60" s="756">
        <v>39827050.43999999</v>
      </c>
      <c r="H60" s="756">
        <f t="shared" si="14"/>
        <v>48733297.333333336</v>
      </c>
      <c r="I60" s="44">
        <f t="shared" si="7"/>
        <v>-8906246.8933333457</v>
      </c>
      <c r="J60" s="330">
        <f t="shared" si="8"/>
        <v>-0.18275485921699611</v>
      </c>
      <c r="K60" s="754">
        <f t="shared" si="15"/>
        <v>73099946</v>
      </c>
      <c r="L60" s="100"/>
    </row>
    <row r="61" spans="1:12" ht="12.75" customHeight="1" x14ac:dyDescent="0.25">
      <c r="A61" s="416" t="s">
        <v>119</v>
      </c>
      <c r="B61" s="419"/>
      <c r="C61" s="735"/>
      <c r="D61" s="753">
        <v>4500000</v>
      </c>
      <c r="E61" s="733">
        <v>27762425</v>
      </c>
      <c r="F61" s="733">
        <v>177150.59</v>
      </c>
      <c r="G61" s="733">
        <v>7826523.5999999996</v>
      </c>
      <c r="H61" s="733">
        <f t="shared" si="14"/>
        <v>18508283.333333332</v>
      </c>
      <c r="I61" s="44">
        <f t="shared" si="7"/>
        <v>-10681759.733333332</v>
      </c>
      <c r="J61" s="330">
        <f t="shared" si="8"/>
        <v>-0.57713400756598165</v>
      </c>
      <c r="K61" s="735">
        <f t="shared" si="15"/>
        <v>27762425</v>
      </c>
      <c r="L61" s="100"/>
    </row>
    <row r="62" spans="1:12" ht="12.75" customHeight="1" x14ac:dyDescent="0.25">
      <c r="A62" s="414" t="s">
        <v>718</v>
      </c>
      <c r="B62" s="419"/>
      <c r="C62" s="735"/>
      <c r="D62" s="753">
        <v>2500000</v>
      </c>
      <c r="E62" s="733">
        <v>2647634</v>
      </c>
      <c r="F62" s="733"/>
      <c r="G62" s="733">
        <v>45572737.089999996</v>
      </c>
      <c r="H62" s="733">
        <f t="shared" si="14"/>
        <v>1765089.3333333333</v>
      </c>
      <c r="I62" s="44">
        <f t="shared" si="7"/>
        <v>43807647.75666666</v>
      </c>
      <c r="J62" s="330">
        <f t="shared" si="8"/>
        <v>24.818940848697363</v>
      </c>
      <c r="K62" s="735">
        <f t="shared" si="15"/>
        <v>2647634</v>
      </c>
      <c r="L62" s="100"/>
    </row>
    <row r="63" spans="1:12" ht="12.75" customHeight="1" x14ac:dyDescent="0.25">
      <c r="A63" s="537" t="s">
        <v>1213</v>
      </c>
      <c r="B63" s="539">
        <v>3</v>
      </c>
      <c r="C63" s="540">
        <f>C43+C47+C53+C57+C62</f>
        <v>0</v>
      </c>
      <c r="D63" s="541">
        <f t="shared" ref="D63:I63" si="16">D43+D47+D53+D57+D62</f>
        <v>568215156</v>
      </c>
      <c r="E63" s="478">
        <f t="shared" si="16"/>
        <v>747190359.77999997</v>
      </c>
      <c r="F63" s="478">
        <f t="shared" si="16"/>
        <v>35188377.060000002</v>
      </c>
      <c r="G63" s="478">
        <f t="shared" si="16"/>
        <v>286003679.24000001</v>
      </c>
      <c r="H63" s="478">
        <f t="shared" si="16"/>
        <v>498126906.51999998</v>
      </c>
      <c r="I63" s="478">
        <f t="shared" si="16"/>
        <v>-212123227.27999994</v>
      </c>
      <c r="J63" s="542">
        <f t="shared" si="8"/>
        <v>-0.42584173732338448</v>
      </c>
      <c r="K63" s="543">
        <f>K43+K47+K53+K57+K62</f>
        <v>747190359.77999997</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308119500.77999997</v>
      </c>
      <c r="F66" s="733">
        <v>23904521.219999999</v>
      </c>
      <c r="G66" s="733">
        <v>216128271.92999998</v>
      </c>
      <c r="H66" s="733">
        <f t="shared" ref="H66:H67" si="17">E66/12*8</f>
        <v>205413000.51999998</v>
      </c>
      <c r="I66" s="44">
        <f t="shared" ref="I66:I74" si="18">G66-H66</f>
        <v>10715271.409999996</v>
      </c>
      <c r="J66" s="330">
        <f t="shared" ref="J66:J74" si="19">IF(I66=0,"",I66/H66)</f>
        <v>5.216452407040667E-2</v>
      </c>
      <c r="K66" s="735">
        <f t="shared" ref="K66:K67" si="20">E66</f>
        <v>308119500.77999997</v>
      </c>
      <c r="L66" s="100"/>
    </row>
    <row r="67" spans="1:12" ht="12.75" customHeight="1" x14ac:dyDescent="0.25">
      <c r="A67" s="107" t="s">
        <v>603</v>
      </c>
      <c r="B67" s="169"/>
      <c r="C67" s="748"/>
      <c r="D67" s="753">
        <v>270624156</v>
      </c>
      <c r="E67" s="733">
        <v>340486443</v>
      </c>
      <c r="F67" s="733">
        <v>5273276.0999999996</v>
      </c>
      <c r="G67" s="733">
        <v>39657147.150000006</v>
      </c>
      <c r="H67" s="733">
        <f t="shared" si="17"/>
        <v>226990962</v>
      </c>
      <c r="I67" s="44">
        <f t="shared" si="18"/>
        <v>-187333814.84999999</v>
      </c>
      <c r="J67" s="330">
        <f t="shared" si="19"/>
        <v>-0.8252919552365261</v>
      </c>
      <c r="K67" s="735">
        <f t="shared" si="20"/>
        <v>340486443</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648605943.77999997</v>
      </c>
      <c r="F70" s="50">
        <f t="shared" si="21"/>
        <v>29177797.32</v>
      </c>
      <c r="G70" s="50">
        <f t="shared" si="21"/>
        <v>255785419.07999998</v>
      </c>
      <c r="H70" s="50">
        <f t="shared" si="21"/>
        <v>432403962.51999998</v>
      </c>
      <c r="I70" s="50">
        <f t="shared" si="18"/>
        <v>-176618543.44</v>
      </c>
      <c r="J70" s="146">
        <f t="shared" si="19"/>
        <v>-0.40845727317272412</v>
      </c>
      <c r="K70" s="50">
        <f>SUM(K66:K69)</f>
        <v>648605943.77999997</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98584414</v>
      </c>
      <c r="F73" s="751">
        <v>6010579.7400000002</v>
      </c>
      <c r="G73" s="751">
        <v>30218260.160000011</v>
      </c>
      <c r="H73" s="751">
        <f>E73/12*8</f>
        <v>65722942.666666664</v>
      </c>
      <c r="I73" s="99">
        <f t="shared" si="18"/>
        <v>-35504682.506666653</v>
      </c>
      <c r="J73" s="335">
        <f t="shared" si="19"/>
        <v>-0.54021748062528407</v>
      </c>
      <c r="K73" s="752">
        <f>E73</f>
        <v>98584414</v>
      </c>
      <c r="L73" s="100"/>
    </row>
    <row r="74" spans="1:12" ht="12.75" customHeight="1" x14ac:dyDescent="0.25">
      <c r="A74" s="538" t="s">
        <v>892</v>
      </c>
      <c r="B74" s="119"/>
      <c r="C74" s="244">
        <f t="shared" ref="C74:H74" si="22">+C70+C72+C73</f>
        <v>0</v>
      </c>
      <c r="D74" s="265">
        <f t="shared" si="22"/>
        <v>580891580.99999988</v>
      </c>
      <c r="E74" s="76">
        <f t="shared" si="22"/>
        <v>747190357.77999997</v>
      </c>
      <c r="F74" s="76">
        <f t="shared" si="22"/>
        <v>35188377.060000002</v>
      </c>
      <c r="G74" s="76">
        <f t="shared" si="22"/>
        <v>286003679.24000001</v>
      </c>
      <c r="H74" s="76">
        <f t="shared" si="22"/>
        <v>498126905.18666667</v>
      </c>
      <c r="I74" s="76">
        <f t="shared" si="18"/>
        <v>-212123225.94666666</v>
      </c>
      <c r="J74" s="333">
        <f t="shared" si="19"/>
        <v>-0.42584173578653856</v>
      </c>
      <c r="K74" s="234">
        <f>+K70+K72+K73</f>
        <v>747190357.77999997</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6" t="s">
        <v>143</v>
      </c>
      <c r="B77" s="1056"/>
      <c r="C77" s="1056"/>
      <c r="D77" s="1056"/>
      <c r="E77" s="1056"/>
      <c r="F77" s="1056"/>
      <c r="G77" s="1056"/>
      <c r="H77" s="1056"/>
      <c r="I77" s="1056"/>
      <c r="J77" s="1056"/>
      <c r="K77" s="1056"/>
    </row>
    <row r="78" spans="1:12" ht="12" customHeight="1" x14ac:dyDescent="0.25">
      <c r="A78" s="1056" t="s">
        <v>1215</v>
      </c>
      <c r="B78" s="1056"/>
      <c r="C78" s="1056"/>
      <c r="D78" s="1056"/>
      <c r="E78" s="1056"/>
      <c r="F78" s="1056"/>
      <c r="G78" s="1056"/>
      <c r="H78" s="1056"/>
      <c r="I78" s="1056"/>
      <c r="J78" s="1056"/>
      <c r="K78" s="1056"/>
    </row>
    <row r="79" spans="1:12" ht="12" customHeight="1" x14ac:dyDescent="0.25">
      <c r="A79" s="1057" t="s">
        <v>524</v>
      </c>
      <c r="B79" s="1056"/>
      <c r="C79" s="1056"/>
      <c r="D79" s="1056"/>
      <c r="E79" s="1056"/>
      <c r="F79" s="1056"/>
      <c r="G79" s="1056"/>
      <c r="H79" s="1056"/>
      <c r="I79" s="1056"/>
      <c r="J79" s="1056"/>
      <c r="K79" s="1056"/>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2</v>
      </c>
      <c r="F86" s="693">
        <f t="shared" si="23"/>
        <v>0</v>
      </c>
      <c r="G86" s="693">
        <f t="shared" si="23"/>
        <v>0</v>
      </c>
      <c r="H86" s="693">
        <f t="shared" si="23"/>
        <v>1.3333333134651184</v>
      </c>
      <c r="I86" s="693"/>
      <c r="J86" s="693"/>
      <c r="K86" s="693">
        <f t="shared" si="23"/>
        <v>2</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182" activePane="bottomRight" state="frozen"/>
      <selection pane="topRight"/>
      <selection pane="bottomLeft"/>
      <selection pane="bottomRight" activeCell="H332" sqref="H332"/>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6" t="str">
        <f>muni&amp; " - "&amp;S71D&amp; " - "&amp;"A"&amp; " - "&amp;date</f>
        <v>KZN225 Msunduzi - Table C5 Consolidated Monthly Budget Statement - Capital Expenditure (municipal vote, functional classification and funding  - A - M08 February</v>
      </c>
      <c r="B1" s="1046"/>
      <c r="C1" s="1046"/>
      <c r="D1" s="1046"/>
      <c r="E1" s="1046"/>
      <c r="F1" s="1046"/>
      <c r="G1" s="1046"/>
      <c r="H1" s="1046"/>
      <c r="I1" s="1046"/>
      <c r="J1" s="1046"/>
      <c r="K1" s="1046"/>
    </row>
    <row r="2" spans="1:23" ht="28.5" customHeight="1" x14ac:dyDescent="0.25">
      <c r="A2" s="435" t="str">
        <f>Vdesc</f>
        <v>Vote Description</v>
      </c>
      <c r="B2" s="436" t="str">
        <f>head27</f>
        <v>Ref</v>
      </c>
      <c r="C2" s="142" t="str">
        <f>Head1</f>
        <v>2019/20</v>
      </c>
      <c r="D2" s="1039" t="str">
        <f>Head2</f>
        <v>Budget Year 2020/21</v>
      </c>
      <c r="E2" s="1040"/>
      <c r="F2" s="1040"/>
      <c r="G2" s="1040"/>
      <c r="H2" s="1040"/>
      <c r="I2" s="1040"/>
      <c r="J2" s="1040"/>
      <c r="K2" s="1041"/>
      <c r="L2" s="1050" t="e">
        <f>Head4</f>
        <v>#REF!</v>
      </c>
      <c r="M2" s="1051"/>
      <c r="N2" s="1051"/>
      <c r="O2" s="1051"/>
      <c r="P2" s="1051"/>
      <c r="Q2" s="1051"/>
      <c r="R2" s="1051"/>
      <c r="S2" s="1051"/>
      <c r="T2" s="1051"/>
      <c r="U2" s="1051"/>
      <c r="V2" s="1051"/>
      <c r="W2" s="1052"/>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2300000</v>
      </c>
      <c r="F7" s="443">
        <f t="shared" si="0"/>
        <v>0</v>
      </c>
      <c r="G7" s="441">
        <f t="shared" si="0"/>
        <v>0</v>
      </c>
      <c r="H7" s="443">
        <f t="shared" si="0"/>
        <v>1533333.3333333333</v>
      </c>
      <c r="I7" s="50">
        <f t="shared" ref="I7:I43" si="1">G7-H7</f>
        <v>-1533333.3333333333</v>
      </c>
      <c r="J7" s="146">
        <f t="shared" ref="J7:J43" si="2">IF(I7=0,"",I7/H7)</f>
        <v>-1</v>
      </c>
      <c r="K7" s="442">
        <f>SUM(K8:K11)</f>
        <v>2300000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2300000</v>
      </c>
      <c r="F9" s="742"/>
      <c r="G9" s="741"/>
      <c r="H9" s="742">
        <f>E9/12*8</f>
        <v>1533333.3333333333</v>
      </c>
      <c r="I9" s="44">
        <f t="shared" si="1"/>
        <v>-1533333.3333333333</v>
      </c>
      <c r="J9" s="330">
        <f t="shared" si="2"/>
        <v>-1</v>
      </c>
      <c r="K9" s="743">
        <f t="shared" ref="K9" si="3">E9</f>
        <v>2300000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4720000</v>
      </c>
      <c r="F12" s="443">
        <f t="shared" si="4"/>
        <v>0</v>
      </c>
      <c r="G12" s="441">
        <f t="shared" si="4"/>
        <v>0</v>
      </c>
      <c r="H12" s="443">
        <f t="shared" si="4"/>
        <v>3146666.6666666665</v>
      </c>
      <c r="I12" s="44">
        <f t="shared" si="1"/>
        <v>-3146666.6666666665</v>
      </c>
      <c r="J12" s="330">
        <f t="shared" si="2"/>
        <v>-1</v>
      </c>
      <c r="K12" s="442">
        <f>SUM(K13:K17)</f>
        <v>4720000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4720000</v>
      </c>
      <c r="F14" s="742"/>
      <c r="G14" s="741"/>
      <c r="H14" s="742">
        <f>E14/12*8</f>
        <v>3146666.6666666665</v>
      </c>
      <c r="I14" s="44">
        <f t="shared" si="1"/>
        <v>-3146666.6666666665</v>
      </c>
      <c r="J14" s="330">
        <f t="shared" si="2"/>
        <v>-1</v>
      </c>
      <c r="K14" s="743">
        <f t="shared" ref="K14" si="5">E14</f>
        <v>4720000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46120040</v>
      </c>
      <c r="F18" s="443">
        <f t="shared" si="6"/>
        <v>0</v>
      </c>
      <c r="G18" s="441">
        <f t="shared" si="6"/>
        <v>0</v>
      </c>
      <c r="H18" s="443">
        <f t="shared" si="6"/>
        <v>30746693.333333336</v>
      </c>
      <c r="I18" s="44">
        <f t="shared" si="1"/>
        <v>-30746693.333333336</v>
      </c>
      <c r="J18" s="330">
        <f t="shared" si="2"/>
        <v>-1</v>
      </c>
      <c r="K18" s="442">
        <f>SUM(K19:K22)</f>
        <v>46120040</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23320040</v>
      </c>
      <c r="F21" s="742"/>
      <c r="G21" s="741"/>
      <c r="H21" s="742">
        <f t="shared" ref="H21:H22" si="7">E21/12*8</f>
        <v>15546693.333333334</v>
      </c>
      <c r="I21" s="44">
        <f t="shared" si="1"/>
        <v>-15546693.333333334</v>
      </c>
      <c r="J21" s="330">
        <f t="shared" si="2"/>
        <v>-1</v>
      </c>
      <c r="K21" s="743">
        <f t="shared" ref="K21:K22" si="8">E21</f>
        <v>23320040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22800000</v>
      </c>
      <c r="F22" s="742"/>
      <c r="G22" s="741"/>
      <c r="H22" s="742">
        <f t="shared" si="7"/>
        <v>15200000</v>
      </c>
      <c r="I22" s="44">
        <f t="shared" si="1"/>
        <v>-15200000</v>
      </c>
      <c r="J22" s="330">
        <f t="shared" si="2"/>
        <v>-1</v>
      </c>
      <c r="K22" s="743">
        <f t="shared" si="8"/>
        <v>22800000</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1970000</v>
      </c>
      <c r="F23" s="443">
        <f t="shared" si="9"/>
        <v>6002670.4900000002</v>
      </c>
      <c r="G23" s="441">
        <f t="shared" si="9"/>
        <v>16368405.739999998</v>
      </c>
      <c r="H23" s="443">
        <f t="shared" si="9"/>
        <v>1313333.3333333333</v>
      </c>
      <c r="I23" s="44">
        <f t="shared" si="1"/>
        <v>15055072.406666664</v>
      </c>
      <c r="J23" s="330">
        <f t="shared" si="2"/>
        <v>11.463253101522842</v>
      </c>
      <c r="K23" s="442">
        <f>SUM(K24:K28)</f>
        <v>1970000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v>679869.5</v>
      </c>
      <c r="G24" s="741">
        <v>1352719.45</v>
      </c>
      <c r="H24" s="742"/>
      <c r="I24" s="44">
        <f t="shared" si="1"/>
        <v>1352719.45</v>
      </c>
      <c r="J24" s="330" t="e">
        <f t="shared" si="2"/>
        <v>#DIV/0!</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v>1970000</v>
      </c>
      <c r="F25" s="742"/>
      <c r="G25" s="741"/>
      <c r="H25" s="742">
        <f t="shared" ref="H25" si="10">E25/12*8</f>
        <v>1313333.3333333333</v>
      </c>
      <c r="I25" s="44">
        <f t="shared" si="1"/>
        <v>-1313333.3333333333</v>
      </c>
      <c r="J25" s="330">
        <f t="shared" si="2"/>
        <v>-1</v>
      </c>
      <c r="K25" s="743">
        <f t="shared" ref="K25" si="11">E25</f>
        <v>1970000</v>
      </c>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v>5322800.99</v>
      </c>
      <c r="G27" s="741">
        <v>15015686.289999999</v>
      </c>
      <c r="H27" s="742"/>
      <c r="I27" s="44">
        <f t="shared" si="1"/>
        <v>15015686.289999999</v>
      </c>
      <c r="J27" s="330" t="e">
        <f t="shared" si="2"/>
        <v>#DIV/0!</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2">SUM(C30:C34)</f>
        <v>0</v>
      </c>
      <c r="D29" s="444">
        <f t="shared" si="12"/>
        <v>168455000</v>
      </c>
      <c r="E29" s="441">
        <f t="shared" si="12"/>
        <v>7780000</v>
      </c>
      <c r="F29" s="443">
        <f t="shared" si="12"/>
        <v>6969997.1600000001</v>
      </c>
      <c r="G29" s="441">
        <f t="shared" si="12"/>
        <v>122418480.51000002</v>
      </c>
      <c r="H29" s="443">
        <f t="shared" si="12"/>
        <v>5186666.666666667</v>
      </c>
      <c r="I29" s="44">
        <f t="shared" si="1"/>
        <v>117231813.84333335</v>
      </c>
      <c r="J29" s="330">
        <f t="shared" si="2"/>
        <v>22.602534802699232</v>
      </c>
      <c r="K29" s="442">
        <f>SUM(K30:K34)</f>
        <v>7780000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v>7780000</v>
      </c>
      <c r="F30" s="742">
        <v>4006228.88</v>
      </c>
      <c r="G30" s="741">
        <v>5142831.32</v>
      </c>
      <c r="H30" s="742">
        <f t="shared" ref="H30" si="13">E30/12*8</f>
        <v>5186666.666666667</v>
      </c>
      <c r="I30" s="44">
        <f t="shared" si="1"/>
        <v>-43835.346666666679</v>
      </c>
      <c r="J30" s="330">
        <f t="shared" si="2"/>
        <v>-8.4515449871465313E-3</v>
      </c>
      <c r="K30" s="743">
        <f t="shared" ref="K30" si="14">E30</f>
        <v>7780000</v>
      </c>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c r="F32" s="742">
        <v>311415.15000000002</v>
      </c>
      <c r="G32" s="741">
        <v>77849373.660000011</v>
      </c>
      <c r="H32" s="742"/>
      <c r="I32" s="44">
        <f t="shared" si="1"/>
        <v>77849373.660000011</v>
      </c>
      <c r="J32" s="330" t="e">
        <f t="shared" si="2"/>
        <v>#DIV/0!</v>
      </c>
      <c r="K32" s="743"/>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c r="F33" s="742">
        <v>2652353.13</v>
      </c>
      <c r="G33" s="741">
        <v>39426275.530000009</v>
      </c>
      <c r="H33" s="742"/>
      <c r="I33" s="44">
        <f t="shared" si="1"/>
        <v>39426275.530000009</v>
      </c>
      <c r="J33" s="330" t="e">
        <f t="shared" si="2"/>
        <v>#DIV/0!</v>
      </c>
      <c r="K33" s="743"/>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5">SUM(C36:C45)</f>
        <v>0</v>
      </c>
      <c r="D35" s="444">
        <f t="shared" si="15"/>
        <v>300600156</v>
      </c>
      <c r="E35" s="441">
        <f t="shared" si="15"/>
        <v>319509531.77999997</v>
      </c>
      <c r="F35" s="443">
        <f t="shared" si="15"/>
        <v>4011574.51</v>
      </c>
      <c r="G35" s="441">
        <f t="shared" si="15"/>
        <v>37483470.760000005</v>
      </c>
      <c r="H35" s="443">
        <f t="shared" si="15"/>
        <v>213006354.51999998</v>
      </c>
      <c r="I35" s="44">
        <f t="shared" si="1"/>
        <v>-175522883.75999999</v>
      </c>
      <c r="J35" s="330">
        <f t="shared" si="2"/>
        <v>-0.82402651392974979</v>
      </c>
      <c r="K35" s="442">
        <f>SUM(K36:K45)</f>
        <v>319509531.77999997</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2500000</v>
      </c>
      <c r="F36" s="742"/>
      <c r="G36" s="741"/>
      <c r="H36" s="742">
        <f t="shared" ref="H36:H39" si="16">E36/12*8</f>
        <v>1666666.6666666667</v>
      </c>
      <c r="I36" s="44">
        <f t="shared" si="1"/>
        <v>-1666666.6666666667</v>
      </c>
      <c r="J36" s="330">
        <f t="shared" si="2"/>
        <v>-1</v>
      </c>
      <c r="K36" s="743">
        <f t="shared" ref="K36:K39" si="17">E36</f>
        <v>2500000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20224298</v>
      </c>
      <c r="F37" s="742">
        <v>430245.42</v>
      </c>
      <c r="G37" s="741">
        <v>1175478.71</v>
      </c>
      <c r="H37" s="742">
        <f t="shared" si="16"/>
        <v>13482865.333333334</v>
      </c>
      <c r="I37" s="44">
        <f t="shared" si="1"/>
        <v>-12307386.623333335</v>
      </c>
      <c r="J37" s="330">
        <f t="shared" si="2"/>
        <v>-0.91281684709155297</v>
      </c>
      <c r="K37" s="743">
        <f t="shared" si="17"/>
        <v>20224298</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279353166.77999997</v>
      </c>
      <c r="F38" s="742">
        <v>3581329.09</v>
      </c>
      <c r="G38" s="741">
        <v>36307992.050000004</v>
      </c>
      <c r="H38" s="742">
        <f t="shared" si="16"/>
        <v>186235444.51999998</v>
      </c>
      <c r="I38" s="44">
        <f t="shared" si="1"/>
        <v>-149927452.46999997</v>
      </c>
      <c r="J38" s="330">
        <f t="shared" si="2"/>
        <v>-0.80504252483419791</v>
      </c>
      <c r="K38" s="743">
        <f t="shared" si="17"/>
        <v>279353166.77999997</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v>17432067</v>
      </c>
      <c r="F39" s="742"/>
      <c r="G39" s="741"/>
      <c r="H39" s="742">
        <f t="shared" si="16"/>
        <v>11621378</v>
      </c>
      <c r="I39" s="44">
        <f t="shared" si="1"/>
        <v>-11621378</v>
      </c>
      <c r="J39" s="330">
        <f t="shared" si="2"/>
        <v>-1</v>
      </c>
      <c r="K39" s="743">
        <f t="shared" si="17"/>
        <v>17432067</v>
      </c>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8">G44-H44</f>
        <v>0</v>
      </c>
      <c r="J44" s="330" t="str">
        <f t="shared" ref="J44:J107" si="19">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8"/>
        <v>0</v>
      </c>
      <c r="J45" s="330" t="str">
        <f t="shared" si="19"/>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20">SUM(C47:C56)</f>
        <v>0</v>
      </c>
      <c r="D46" s="444">
        <f t="shared" si="20"/>
        <v>0</v>
      </c>
      <c r="E46" s="441">
        <f t="shared" si="20"/>
        <v>0</v>
      </c>
      <c r="F46" s="443">
        <f t="shared" si="20"/>
        <v>0</v>
      </c>
      <c r="G46" s="441">
        <f t="shared" si="20"/>
        <v>0</v>
      </c>
      <c r="H46" s="443">
        <f t="shared" si="20"/>
        <v>0</v>
      </c>
      <c r="I46" s="44">
        <f t="shared" si="18"/>
        <v>0</v>
      </c>
      <c r="J46" s="330" t="str">
        <f t="shared" si="19"/>
        <v/>
      </c>
      <c r="K46" s="442">
        <f t="shared" si="20"/>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8"/>
        <v>0</v>
      </c>
      <c r="J47" s="330" t="str">
        <f t="shared" si="19"/>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8"/>
        <v>0</v>
      </c>
      <c r="J48" s="330" t="str">
        <f t="shared" si="19"/>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8"/>
        <v>0</v>
      </c>
      <c r="J49" s="330" t="str">
        <f t="shared" si="19"/>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8"/>
        <v>0</v>
      </c>
      <c r="J50" s="330" t="str">
        <f t="shared" si="19"/>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8"/>
        <v>0</v>
      </c>
      <c r="J51" s="330" t="str">
        <f t="shared" si="19"/>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8"/>
        <v>0</v>
      </c>
      <c r="J52" s="330" t="str">
        <f t="shared" si="19"/>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8"/>
        <v>0</v>
      </c>
      <c r="J53" s="330" t="str">
        <f t="shared" si="19"/>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8"/>
        <v>0</v>
      </c>
      <c r="J54" s="330" t="str">
        <f t="shared" si="19"/>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8"/>
        <v>0</v>
      </c>
      <c r="J55" s="330" t="str">
        <f t="shared" si="19"/>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8"/>
        <v>0</v>
      </c>
      <c r="J56" s="330" t="str">
        <f t="shared" si="19"/>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21">SUM(D58:D67)</f>
        <v>0</v>
      </c>
      <c r="E57" s="441">
        <f t="shared" si="21"/>
        <v>0</v>
      </c>
      <c r="F57" s="443">
        <f t="shared" si="21"/>
        <v>0</v>
      </c>
      <c r="G57" s="441">
        <f t="shared" si="21"/>
        <v>0</v>
      </c>
      <c r="H57" s="443">
        <f t="shared" si="21"/>
        <v>0</v>
      </c>
      <c r="I57" s="44">
        <f t="shared" si="18"/>
        <v>0</v>
      </c>
      <c r="J57" s="330" t="str">
        <f t="shared" si="19"/>
        <v/>
      </c>
      <c r="K57" s="442">
        <f t="shared" si="21"/>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8"/>
        <v>0</v>
      </c>
      <c r="J58" s="330" t="str">
        <f t="shared" si="19"/>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8"/>
        <v>0</v>
      </c>
      <c r="J59" s="330" t="str">
        <f t="shared" si="19"/>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8"/>
        <v>0</v>
      </c>
      <c r="J60" s="330" t="str">
        <f t="shared" si="19"/>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8"/>
        <v>0</v>
      </c>
      <c r="J61" s="330" t="str">
        <f t="shared" si="19"/>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8"/>
        <v>0</v>
      </c>
      <c r="J62" s="330" t="str">
        <f t="shared" si="19"/>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8"/>
        <v>0</v>
      </c>
      <c r="J63" s="330" t="str">
        <f t="shared" si="19"/>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8"/>
        <v>0</v>
      </c>
      <c r="J64" s="330" t="str">
        <f t="shared" si="19"/>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8"/>
        <v>0</v>
      </c>
      <c r="J65" s="330" t="str">
        <f t="shared" si="19"/>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8"/>
        <v>0</v>
      </c>
      <c r="J66" s="330" t="str">
        <f t="shared" si="19"/>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8"/>
        <v>0</v>
      </c>
      <c r="J67" s="330" t="str">
        <f t="shared" si="19"/>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2">SUM(D69:D78)</f>
        <v>0</v>
      </c>
      <c r="E68" s="441">
        <f t="shared" si="22"/>
        <v>0</v>
      </c>
      <c r="F68" s="443">
        <f t="shared" si="22"/>
        <v>0</v>
      </c>
      <c r="G68" s="441">
        <f t="shared" si="22"/>
        <v>0</v>
      </c>
      <c r="H68" s="443">
        <f t="shared" si="22"/>
        <v>0</v>
      </c>
      <c r="I68" s="44">
        <f t="shared" si="18"/>
        <v>0</v>
      </c>
      <c r="J68" s="330" t="str">
        <f t="shared" si="19"/>
        <v/>
      </c>
      <c r="K68" s="442">
        <f t="shared" si="22"/>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8"/>
        <v>0</v>
      </c>
      <c r="J69" s="330" t="str">
        <f t="shared" si="19"/>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8"/>
        <v>0</v>
      </c>
      <c r="J70" s="330" t="str">
        <f t="shared" si="19"/>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8"/>
        <v>0</v>
      </c>
      <c r="J71" s="330" t="str">
        <f t="shared" si="19"/>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8"/>
        <v>0</v>
      </c>
      <c r="J72" s="330" t="str">
        <f t="shared" si="19"/>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8"/>
        <v>0</v>
      </c>
      <c r="J73" s="330" t="str">
        <f t="shared" si="19"/>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8"/>
        <v>0</v>
      </c>
      <c r="J74" s="330" t="str">
        <f t="shared" si="19"/>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8"/>
        <v>0</v>
      </c>
      <c r="J75" s="330" t="str">
        <f t="shared" si="19"/>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8"/>
        <v>0</v>
      </c>
      <c r="J76" s="330" t="str">
        <f t="shared" si="19"/>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8"/>
        <v>0</v>
      </c>
      <c r="J77" s="330" t="str">
        <f t="shared" si="19"/>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8"/>
        <v>0</v>
      </c>
      <c r="J78" s="330" t="str">
        <f t="shared" si="19"/>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3">SUM(D80:D89)</f>
        <v>0</v>
      </c>
      <c r="E79" s="441">
        <f t="shared" si="23"/>
        <v>0</v>
      </c>
      <c r="F79" s="443">
        <f t="shared" si="23"/>
        <v>0</v>
      </c>
      <c r="G79" s="441">
        <f t="shared" si="23"/>
        <v>0</v>
      </c>
      <c r="H79" s="443">
        <f t="shared" si="23"/>
        <v>0</v>
      </c>
      <c r="I79" s="44">
        <f t="shared" si="18"/>
        <v>0</v>
      </c>
      <c r="J79" s="330" t="str">
        <f t="shared" si="19"/>
        <v/>
      </c>
      <c r="K79" s="442">
        <f t="shared" si="23"/>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8"/>
        <v>0</v>
      </c>
      <c r="J80" s="330" t="str">
        <f t="shared" si="19"/>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8"/>
        <v>0</v>
      </c>
      <c r="J81" s="330" t="str">
        <f t="shared" si="19"/>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8"/>
        <v>0</v>
      </c>
      <c r="J82" s="330" t="str">
        <f t="shared" si="19"/>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8"/>
        <v>0</v>
      </c>
      <c r="J83" s="330" t="str">
        <f t="shared" si="19"/>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8"/>
        <v>0</v>
      </c>
      <c r="J84" s="330" t="str">
        <f t="shared" si="19"/>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8"/>
        <v>0</v>
      </c>
      <c r="J85" s="330" t="str">
        <f t="shared" si="19"/>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8"/>
        <v>0</v>
      </c>
      <c r="J86" s="330" t="str">
        <f t="shared" si="19"/>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8"/>
        <v>0</v>
      </c>
      <c r="J87" s="330" t="str">
        <f t="shared" si="19"/>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8"/>
        <v>0</v>
      </c>
      <c r="J88" s="330" t="str">
        <f t="shared" si="19"/>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8"/>
        <v>0</v>
      </c>
      <c r="J89" s="330" t="str">
        <f t="shared" si="19"/>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4">SUM(D91:D100)</f>
        <v>0</v>
      </c>
      <c r="E90" s="441">
        <f t="shared" si="24"/>
        <v>0</v>
      </c>
      <c r="F90" s="443">
        <f t="shared" si="24"/>
        <v>0</v>
      </c>
      <c r="G90" s="441">
        <f t="shared" si="24"/>
        <v>0</v>
      </c>
      <c r="H90" s="443">
        <f t="shared" si="24"/>
        <v>0</v>
      </c>
      <c r="I90" s="44">
        <f t="shared" si="18"/>
        <v>0</v>
      </c>
      <c r="J90" s="330" t="str">
        <f t="shared" si="19"/>
        <v/>
      </c>
      <c r="K90" s="442">
        <f t="shared" si="24"/>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8"/>
        <v>0</v>
      </c>
      <c r="J91" s="330" t="str">
        <f t="shared" si="19"/>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8"/>
        <v>0</v>
      </c>
      <c r="J92" s="330" t="str">
        <f t="shared" si="19"/>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8"/>
        <v>0</v>
      </c>
      <c r="J93" s="330" t="str">
        <f t="shared" si="19"/>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8"/>
        <v>0</v>
      </c>
      <c r="J94" s="330" t="str">
        <f t="shared" si="19"/>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8"/>
        <v>0</v>
      </c>
      <c r="J95" s="330" t="str">
        <f t="shared" si="19"/>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8"/>
        <v>0</v>
      </c>
      <c r="J96" s="330" t="str">
        <f t="shared" si="19"/>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8"/>
        <v>0</v>
      </c>
      <c r="J97" s="330" t="str">
        <f t="shared" si="19"/>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8"/>
        <v>0</v>
      </c>
      <c r="J98" s="330" t="str">
        <f t="shared" si="19"/>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8"/>
        <v>0</v>
      </c>
      <c r="J99" s="330" t="str">
        <f t="shared" si="19"/>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8"/>
        <v>0</v>
      </c>
      <c r="J100" s="330" t="str">
        <f t="shared" si="19"/>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5">SUM(D102:D111)</f>
        <v>0</v>
      </c>
      <c r="E101" s="441">
        <f t="shared" si="25"/>
        <v>0</v>
      </c>
      <c r="F101" s="443">
        <f t="shared" si="25"/>
        <v>0</v>
      </c>
      <c r="G101" s="441">
        <f t="shared" si="25"/>
        <v>0</v>
      </c>
      <c r="H101" s="443">
        <f t="shared" si="25"/>
        <v>0</v>
      </c>
      <c r="I101" s="44">
        <f t="shared" si="18"/>
        <v>0</v>
      </c>
      <c r="J101" s="330" t="str">
        <f t="shared" si="19"/>
        <v/>
      </c>
      <c r="K101" s="442">
        <f t="shared" si="25"/>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8"/>
        <v>0</v>
      </c>
      <c r="J102" s="330" t="str">
        <f t="shared" si="19"/>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8"/>
        <v>0</v>
      </c>
      <c r="J103" s="330" t="str">
        <f t="shared" si="19"/>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8"/>
        <v>0</v>
      </c>
      <c r="J104" s="330" t="str">
        <f t="shared" si="19"/>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8"/>
        <v>0</v>
      </c>
      <c r="J105" s="330" t="str">
        <f t="shared" si="19"/>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8"/>
        <v>0</v>
      </c>
      <c r="J106" s="330" t="str">
        <f t="shared" si="19"/>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8"/>
        <v>0</v>
      </c>
      <c r="J107" s="330" t="str">
        <f t="shared" si="19"/>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6">G108-H108</f>
        <v>0</v>
      </c>
      <c r="J108" s="330" t="str">
        <f t="shared" ref="J108:J172" si="27">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6"/>
        <v>0</v>
      </c>
      <c r="J109" s="330" t="str">
        <f t="shared" si="27"/>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6"/>
        <v>0</v>
      </c>
      <c r="J110" s="330" t="str">
        <f t="shared" si="27"/>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6"/>
        <v>0</v>
      </c>
      <c r="J111" s="330" t="str">
        <f t="shared" si="27"/>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8">SUM(D113:D122)</f>
        <v>0</v>
      </c>
      <c r="E112" s="441">
        <f t="shared" si="28"/>
        <v>0</v>
      </c>
      <c r="F112" s="443">
        <f t="shared" si="28"/>
        <v>0</v>
      </c>
      <c r="G112" s="441">
        <f t="shared" si="28"/>
        <v>0</v>
      </c>
      <c r="H112" s="443">
        <f t="shared" si="28"/>
        <v>0</v>
      </c>
      <c r="I112" s="44">
        <f t="shared" si="26"/>
        <v>0</v>
      </c>
      <c r="J112" s="330" t="str">
        <f t="shared" si="27"/>
        <v/>
      </c>
      <c r="K112" s="442">
        <f t="shared" si="28"/>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6"/>
        <v>0</v>
      </c>
      <c r="J113" s="330" t="str">
        <f t="shared" si="27"/>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6"/>
        <v>0</v>
      </c>
      <c r="J114" s="330" t="str">
        <f t="shared" si="27"/>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6"/>
        <v>0</v>
      </c>
      <c r="J115" s="330" t="str">
        <f t="shared" si="27"/>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6"/>
        <v>0</v>
      </c>
      <c r="J116" s="330" t="str">
        <f t="shared" si="27"/>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6"/>
        <v>0</v>
      </c>
      <c r="J117" s="330" t="str">
        <f t="shared" si="27"/>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6"/>
        <v>0</v>
      </c>
      <c r="J118" s="330" t="str">
        <f t="shared" si="27"/>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6"/>
        <v>0</v>
      </c>
      <c r="J119" s="330" t="str">
        <f t="shared" si="27"/>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6"/>
        <v>0</v>
      </c>
      <c r="J120" s="330" t="str">
        <f t="shared" si="27"/>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6"/>
        <v>0</v>
      </c>
      <c r="J121" s="330" t="str">
        <f t="shared" si="27"/>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6"/>
        <v>0</v>
      </c>
      <c r="J122" s="330" t="str">
        <f t="shared" si="27"/>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9">SUM(D124:D133)</f>
        <v>0</v>
      </c>
      <c r="E123" s="441">
        <f t="shared" si="29"/>
        <v>0</v>
      </c>
      <c r="F123" s="443">
        <f t="shared" si="29"/>
        <v>0</v>
      </c>
      <c r="G123" s="441">
        <f t="shared" si="29"/>
        <v>0</v>
      </c>
      <c r="H123" s="443">
        <f t="shared" si="29"/>
        <v>0</v>
      </c>
      <c r="I123" s="44">
        <f t="shared" si="26"/>
        <v>0</v>
      </c>
      <c r="J123" s="330" t="str">
        <f t="shared" si="27"/>
        <v/>
      </c>
      <c r="K123" s="442">
        <f t="shared" si="29"/>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6"/>
        <v>0</v>
      </c>
      <c r="J124" s="330" t="str">
        <f t="shared" si="27"/>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6"/>
        <v>0</v>
      </c>
      <c r="J125" s="330" t="str">
        <f t="shared" si="27"/>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6"/>
        <v>0</v>
      </c>
      <c r="J126" s="330" t="str">
        <f t="shared" si="27"/>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6"/>
        <v>0</v>
      </c>
      <c r="J127" s="330" t="str">
        <f t="shared" si="27"/>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6"/>
        <v>0</v>
      </c>
      <c r="J128" s="330" t="str">
        <f t="shared" si="27"/>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6"/>
        <v>0</v>
      </c>
      <c r="J129" s="330" t="str">
        <f t="shared" si="27"/>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6"/>
        <v>0</v>
      </c>
      <c r="J130" s="330" t="str">
        <f t="shared" si="27"/>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6"/>
        <v>0</v>
      </c>
      <c r="J131" s="330" t="str">
        <f t="shared" si="27"/>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6"/>
        <v>0</v>
      </c>
      <c r="J132" s="330" t="str">
        <f t="shared" si="27"/>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6"/>
        <v>0</v>
      </c>
      <c r="J133" s="330" t="str">
        <f t="shared" si="27"/>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30">SUM(D135:D144)</f>
        <v>0</v>
      </c>
      <c r="E134" s="441">
        <f t="shared" si="30"/>
        <v>0</v>
      </c>
      <c r="F134" s="443">
        <f t="shared" si="30"/>
        <v>0</v>
      </c>
      <c r="G134" s="441">
        <f t="shared" si="30"/>
        <v>0</v>
      </c>
      <c r="H134" s="443">
        <f t="shared" si="30"/>
        <v>0</v>
      </c>
      <c r="I134" s="44">
        <f t="shared" si="26"/>
        <v>0</v>
      </c>
      <c r="J134" s="330" t="str">
        <f t="shared" si="27"/>
        <v/>
      </c>
      <c r="K134" s="442">
        <f t="shared" si="30"/>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6"/>
        <v>0</v>
      </c>
      <c r="J135" s="330" t="str">
        <f t="shared" si="27"/>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6"/>
        <v>0</v>
      </c>
      <c r="J136" s="330" t="str">
        <f t="shared" si="27"/>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6"/>
        <v>0</v>
      </c>
      <c r="J137" s="330" t="str">
        <f t="shared" si="27"/>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6"/>
        <v>0</v>
      </c>
      <c r="J138" s="330" t="str">
        <f t="shared" si="27"/>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6"/>
        <v>0</v>
      </c>
      <c r="J139" s="330" t="str">
        <f t="shared" si="27"/>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6"/>
        <v>0</v>
      </c>
      <c r="J140" s="330" t="str">
        <f t="shared" si="27"/>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6"/>
        <v>0</v>
      </c>
      <c r="J141" s="330" t="str">
        <f t="shared" si="27"/>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6"/>
        <v>0</v>
      </c>
      <c r="J142" s="330" t="str">
        <f t="shared" si="27"/>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6"/>
        <v>0</v>
      </c>
      <c r="J143" s="330" t="str">
        <f t="shared" si="27"/>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6"/>
        <v>0</v>
      </c>
      <c r="J144" s="330" t="str">
        <f t="shared" si="27"/>
        <v/>
      </c>
      <c r="K144" s="743"/>
      <c r="L144" s="452">
        <f t="shared" ref="L144:W144" si="31">SUM(L52:L55)</f>
        <v>0</v>
      </c>
      <c r="M144" s="453">
        <f t="shared" si="31"/>
        <v>0</v>
      </c>
      <c r="N144" s="453">
        <f t="shared" si="31"/>
        <v>0</v>
      </c>
      <c r="O144" s="453">
        <f t="shared" si="31"/>
        <v>0</v>
      </c>
      <c r="P144" s="453">
        <f t="shared" si="31"/>
        <v>0</v>
      </c>
      <c r="Q144" s="453">
        <f t="shared" si="31"/>
        <v>0</v>
      </c>
      <c r="R144" s="453">
        <f t="shared" si="31"/>
        <v>0</v>
      </c>
      <c r="S144" s="453">
        <f t="shared" si="31"/>
        <v>0</v>
      </c>
      <c r="T144" s="453">
        <f t="shared" si="31"/>
        <v>0</v>
      </c>
      <c r="U144" s="453">
        <f t="shared" si="31"/>
        <v>0</v>
      </c>
      <c r="V144" s="453">
        <f t="shared" si="31"/>
        <v>0</v>
      </c>
      <c r="W144" s="453">
        <f t="shared" si="31"/>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382399571.77999997</v>
      </c>
      <c r="F145" s="450">
        <f>F7+F12+F18+F23+F29+F35+F46+F57+F68+F79+F90+F101+F112+F123+F134</f>
        <v>16984242.16</v>
      </c>
      <c r="G145" s="448">
        <f>G7+G12+G18+G23+G29+G35+G46+G57+G68+G79+G90+G101+G112+G123+G134</f>
        <v>176270357.01000005</v>
      </c>
      <c r="H145" s="450">
        <f>H7+H12+H18+H23+H29+H35+H46+H57+H68+H79+H90+H101+H112+H123+H134</f>
        <v>254933047.85333332</v>
      </c>
      <c r="I145" s="514">
        <f t="shared" si="26"/>
        <v>-78662690.843333274</v>
      </c>
      <c r="J145" s="515">
        <f t="shared" si="27"/>
        <v>-0.30856215585116709</v>
      </c>
      <c r="K145" s="449">
        <f>K7+K12+K18+K23+K29+K35+K46+K57+K68+K79+K90+K101+K112+K123+K134</f>
        <v>382399571.77999997</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6"/>
        <v>0</v>
      </c>
      <c r="J146" s="133" t="str">
        <f t="shared" si="27"/>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6"/>
        <v>0</v>
      </c>
      <c r="J148" s="330" t="str">
        <f t="shared" si="27"/>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2">SUM(C150:C159)</f>
        <v>0</v>
      </c>
      <c r="D149" s="471">
        <f t="shared" si="32"/>
        <v>0</v>
      </c>
      <c r="E149" s="468">
        <f t="shared" si="32"/>
        <v>1500000</v>
      </c>
      <c r="F149" s="470">
        <f t="shared" si="32"/>
        <v>0</v>
      </c>
      <c r="G149" s="468">
        <f t="shared" si="32"/>
        <v>1142694.8500000001</v>
      </c>
      <c r="H149" s="470">
        <f t="shared" si="32"/>
        <v>1000000</v>
      </c>
      <c r="I149" s="44">
        <f t="shared" si="26"/>
        <v>142694.85000000009</v>
      </c>
      <c r="J149" s="330">
        <f t="shared" si="27"/>
        <v>0.1426948500000001</v>
      </c>
      <c r="K149" s="469">
        <f t="shared" si="32"/>
        <v>1500000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6"/>
        <v>0</v>
      </c>
      <c r="J150" s="330" t="str">
        <f t="shared" si="27"/>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v>1310000</v>
      </c>
      <c r="F151" s="746"/>
      <c r="G151" s="733">
        <v>1142694.8500000001</v>
      </c>
      <c r="H151" s="746">
        <f t="shared" ref="H151:H152" si="33">E151/12*8</f>
        <v>873333.33333333337</v>
      </c>
      <c r="I151" s="44">
        <f t="shared" si="26"/>
        <v>269361.51666666672</v>
      </c>
      <c r="J151" s="330">
        <f t="shared" si="27"/>
        <v>0.30842921755725194</v>
      </c>
      <c r="K151" s="747">
        <f t="shared" ref="K151:K152" si="34">E151</f>
        <v>1310000</v>
      </c>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v>190000</v>
      </c>
      <c r="F152" s="746"/>
      <c r="G152" s="733"/>
      <c r="H152" s="746">
        <f t="shared" si="33"/>
        <v>126666.66666666667</v>
      </c>
      <c r="I152" s="44">
        <f t="shared" si="26"/>
        <v>-126666.66666666667</v>
      </c>
      <c r="J152" s="330">
        <f t="shared" si="27"/>
        <v>-1</v>
      </c>
      <c r="K152" s="747">
        <f t="shared" si="34"/>
        <v>190000</v>
      </c>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6"/>
        <v>0</v>
      </c>
      <c r="J153" s="330" t="str">
        <f t="shared" si="27"/>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6"/>
        <v>0</v>
      </c>
      <c r="J154" s="330" t="str">
        <f t="shared" si="27"/>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6"/>
        <v>0</v>
      </c>
      <c r="J155" s="330" t="str">
        <f t="shared" si="27"/>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6"/>
        <v>0</v>
      </c>
      <c r="J156" s="330" t="str">
        <f t="shared" si="27"/>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6"/>
        <v>0</v>
      </c>
      <c r="J157" s="330" t="str">
        <f t="shared" si="27"/>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6"/>
        <v>0</v>
      </c>
      <c r="J158" s="330" t="str">
        <f t="shared" si="27"/>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6"/>
        <v>0</v>
      </c>
      <c r="J159" s="330" t="str">
        <f t="shared" si="27"/>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5">SUM(E161:E170)</f>
        <v>27914416</v>
      </c>
      <c r="F160" s="443">
        <f t="shared" si="35"/>
        <v>6438.59</v>
      </c>
      <c r="G160" s="441">
        <f t="shared" si="35"/>
        <v>361546.49</v>
      </c>
      <c r="H160" s="443">
        <f t="shared" si="35"/>
        <v>18609610.666666668</v>
      </c>
      <c r="I160" s="44">
        <f t="shared" si="26"/>
        <v>-18248064.17666667</v>
      </c>
      <c r="J160" s="330">
        <f t="shared" si="27"/>
        <v>-0.98057205513452272</v>
      </c>
      <c r="K160" s="442">
        <f t="shared" si="35"/>
        <v>27914416</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13500000</v>
      </c>
      <c r="F161" s="746"/>
      <c r="G161" s="733"/>
      <c r="H161" s="746">
        <f t="shared" ref="H161:H162" si="36">E161/12*8</f>
        <v>9000000</v>
      </c>
      <c r="I161" s="44">
        <f t="shared" si="26"/>
        <v>-9000000</v>
      </c>
      <c r="J161" s="330">
        <f t="shared" si="27"/>
        <v>-1</v>
      </c>
      <c r="K161" s="747">
        <f>E161</f>
        <v>13500000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13879416</v>
      </c>
      <c r="F162" s="746">
        <v>6438.59</v>
      </c>
      <c r="G162" s="733">
        <v>337237.24</v>
      </c>
      <c r="H162" s="746">
        <f t="shared" si="36"/>
        <v>9252944</v>
      </c>
      <c r="I162" s="44">
        <f t="shared" si="26"/>
        <v>-8915706.7599999998</v>
      </c>
      <c r="J162" s="330">
        <f t="shared" si="27"/>
        <v>-0.96355351983109372</v>
      </c>
      <c r="K162" s="747">
        <f>E162</f>
        <v>13879416</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v>0</v>
      </c>
      <c r="F163" s="746"/>
      <c r="G163" s="733"/>
      <c r="H163" s="746"/>
      <c r="I163" s="44">
        <f t="shared" si="26"/>
        <v>0</v>
      </c>
      <c r="J163" s="330" t="str">
        <f t="shared" si="27"/>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v>0</v>
      </c>
      <c r="F164" s="746"/>
      <c r="G164" s="733"/>
      <c r="H164" s="746"/>
      <c r="I164" s="44">
        <f t="shared" si="26"/>
        <v>0</v>
      </c>
      <c r="J164" s="330" t="str">
        <f t="shared" si="27"/>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535000</v>
      </c>
      <c r="F165" s="746"/>
      <c r="G165" s="733">
        <v>24309.25</v>
      </c>
      <c r="H165" s="746">
        <f>E165/12*8</f>
        <v>356666.66666666669</v>
      </c>
      <c r="I165" s="44">
        <f t="shared" si="26"/>
        <v>-332357.41666666669</v>
      </c>
      <c r="J165" s="330">
        <f t="shared" si="27"/>
        <v>-0.93184322429906541</v>
      </c>
      <c r="K165" s="747">
        <f>E165</f>
        <v>535000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6"/>
        <v>0</v>
      </c>
      <c r="J166" s="330" t="str">
        <f t="shared" si="27"/>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6"/>
        <v>0</v>
      </c>
      <c r="J167" s="330" t="str">
        <f t="shared" si="27"/>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6"/>
        <v>0</v>
      </c>
      <c r="J168" s="330" t="str">
        <f t="shared" si="27"/>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6"/>
        <v>0</v>
      </c>
      <c r="J169" s="330" t="str">
        <f t="shared" si="27"/>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6"/>
        <v>0</v>
      </c>
      <c r="J170" s="330" t="str">
        <f t="shared" si="27"/>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7">SUM(C172:C181)</f>
        <v>0</v>
      </c>
      <c r="D171" s="444">
        <f t="shared" si="37"/>
        <v>13700000</v>
      </c>
      <c r="E171" s="441">
        <f t="shared" si="37"/>
        <v>19124760</v>
      </c>
      <c r="F171" s="443">
        <f t="shared" si="37"/>
        <v>0</v>
      </c>
      <c r="G171" s="441">
        <f t="shared" si="37"/>
        <v>0</v>
      </c>
      <c r="H171" s="443">
        <f t="shared" si="37"/>
        <v>12749840</v>
      </c>
      <c r="I171" s="44">
        <f t="shared" si="26"/>
        <v>-12749840</v>
      </c>
      <c r="J171" s="330">
        <f t="shared" si="27"/>
        <v>-1</v>
      </c>
      <c r="K171" s="442">
        <f t="shared" si="37"/>
        <v>19124760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0</v>
      </c>
      <c r="F172" s="746"/>
      <c r="G172" s="733"/>
      <c r="H172" s="746">
        <f>E172/12*8</f>
        <v>0</v>
      </c>
      <c r="I172" s="44">
        <f t="shared" si="26"/>
        <v>0</v>
      </c>
      <c r="J172" s="330" t="str">
        <f t="shared" si="27"/>
        <v/>
      </c>
      <c r="K172" s="747">
        <f>E172</f>
        <v>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v>2000000</v>
      </c>
      <c r="F173" s="746"/>
      <c r="G173" s="733"/>
      <c r="H173" s="746">
        <f>E173/12*8</f>
        <v>1333333.3333333333</v>
      </c>
      <c r="I173" s="44">
        <f t="shared" ref="I173:I236" si="38">G173-H173</f>
        <v>-1333333.3333333333</v>
      </c>
      <c r="J173" s="330">
        <f t="shared" ref="J173:J236" si="39">IF(I173=0,"",I173/H173)</f>
        <v>-1</v>
      </c>
      <c r="K173" s="747">
        <f t="shared" ref="K173:K175" si="40">E173</f>
        <v>2000000</v>
      </c>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12162335</v>
      </c>
      <c r="F174" s="472"/>
      <c r="G174" s="384"/>
      <c r="H174" s="472">
        <f t="shared" ref="H174:H175" si="41">E174/12*8</f>
        <v>8108223.333333333</v>
      </c>
      <c r="I174" s="44">
        <f t="shared" si="38"/>
        <v>-8108223.333333333</v>
      </c>
      <c r="J174" s="330">
        <f t="shared" si="39"/>
        <v>-1</v>
      </c>
      <c r="K174" s="395">
        <f t="shared" si="40"/>
        <v>12162335</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4962425</v>
      </c>
      <c r="F175" s="472"/>
      <c r="G175" s="384"/>
      <c r="H175" s="472">
        <f t="shared" si="41"/>
        <v>3308283.3333333335</v>
      </c>
      <c r="I175" s="44">
        <f t="shared" si="38"/>
        <v>-3308283.3333333335</v>
      </c>
      <c r="J175" s="330">
        <f t="shared" si="39"/>
        <v>-1</v>
      </c>
      <c r="K175" s="395">
        <f t="shared" si="40"/>
        <v>4962425</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8"/>
        <v>0</v>
      </c>
      <c r="J176" s="330" t="str">
        <f t="shared" si="39"/>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8"/>
        <v>0</v>
      </c>
      <c r="J177" s="330" t="str">
        <f t="shared" si="39"/>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8"/>
        <v>0</v>
      </c>
      <c r="J178" s="330" t="str">
        <f t="shared" si="39"/>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8"/>
        <v>0</v>
      </c>
      <c r="J179" s="330" t="str">
        <f t="shared" si="39"/>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8"/>
        <v>0</v>
      </c>
      <c r="J180" s="330" t="str">
        <f t="shared" si="39"/>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8"/>
        <v>0</v>
      </c>
      <c r="J181" s="330" t="str">
        <f t="shared" si="39"/>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42">SUM(C183:C192)</f>
        <v>0</v>
      </c>
      <c r="D182" s="444">
        <f t="shared" si="42"/>
        <v>0</v>
      </c>
      <c r="E182" s="441">
        <f t="shared" si="42"/>
        <v>530000</v>
      </c>
      <c r="F182" s="443">
        <f t="shared" si="42"/>
        <v>2129341.34</v>
      </c>
      <c r="G182" s="441">
        <f t="shared" si="42"/>
        <v>5706139.8399999999</v>
      </c>
      <c r="H182" s="443">
        <f t="shared" si="42"/>
        <v>353333.33333333331</v>
      </c>
      <c r="I182" s="44">
        <f t="shared" si="38"/>
        <v>5352806.5066666668</v>
      </c>
      <c r="J182" s="330">
        <f t="shared" si="39"/>
        <v>15.149452377358491</v>
      </c>
      <c r="K182" s="442">
        <f t="shared" si="42"/>
        <v>530000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2129341.34</v>
      </c>
      <c r="G183" s="384">
        <v>5706139.8399999999</v>
      </c>
      <c r="H183" s="472"/>
      <c r="I183" s="44">
        <f t="shared" si="38"/>
        <v>5706139.8399999999</v>
      </c>
      <c r="J183" s="330" t="e">
        <f t="shared" si="39"/>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v>530000</v>
      </c>
      <c r="F184" s="472"/>
      <c r="G184" s="384"/>
      <c r="H184" s="472">
        <f t="shared" ref="H184" si="43">E184/12*8</f>
        <v>353333.33333333331</v>
      </c>
      <c r="I184" s="44">
        <f t="shared" si="38"/>
        <v>-353333.33333333331</v>
      </c>
      <c r="J184" s="330">
        <f t="shared" si="39"/>
        <v>-1</v>
      </c>
      <c r="K184" s="395">
        <f t="shared" ref="K184" si="44">E184</f>
        <v>530000</v>
      </c>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8"/>
        <v>0</v>
      </c>
      <c r="J185" s="330" t="str">
        <f t="shared" si="39"/>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8"/>
        <v>0</v>
      </c>
      <c r="J186" s="330" t="str">
        <f t="shared" si="39"/>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8"/>
        <v>0</v>
      </c>
      <c r="J187" s="330" t="str">
        <f t="shared" si="39"/>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8"/>
        <v>0</v>
      </c>
      <c r="J188" s="330" t="str">
        <f t="shared" si="39"/>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8"/>
        <v>0</v>
      </c>
      <c r="J189" s="330" t="str">
        <f t="shared" si="39"/>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8"/>
        <v>0</v>
      </c>
      <c r="J190" s="330" t="str">
        <f t="shared" si="39"/>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8"/>
        <v>0</v>
      </c>
      <c r="J191" s="330" t="str">
        <f t="shared" si="39"/>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8"/>
        <v>0</v>
      </c>
      <c r="J192" s="330" t="str">
        <f t="shared" si="39"/>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45">SUM(C194:C203)</f>
        <v>0</v>
      </c>
      <c r="D193" s="444">
        <f t="shared" si="45"/>
        <v>33000000</v>
      </c>
      <c r="E193" s="441">
        <f t="shared" si="45"/>
        <v>310123978</v>
      </c>
      <c r="F193" s="443">
        <f t="shared" si="45"/>
        <v>14626818.969999999</v>
      </c>
      <c r="G193" s="441">
        <f t="shared" si="45"/>
        <v>99861828.279999971</v>
      </c>
      <c r="H193" s="443">
        <f t="shared" si="45"/>
        <v>206749318.66666666</v>
      </c>
      <c r="I193" s="44">
        <f t="shared" si="38"/>
        <v>-106887490.38666669</v>
      </c>
      <c r="J193" s="330">
        <f t="shared" si="39"/>
        <v>-0.51699077450889663</v>
      </c>
      <c r="K193" s="442">
        <f t="shared" si="45"/>
        <v>310123978</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8354330</v>
      </c>
      <c r="F194" s="472">
        <v>1660525.64</v>
      </c>
      <c r="G194" s="384">
        <v>3094883.7</v>
      </c>
      <c r="H194" s="472">
        <f>E194/12*8</f>
        <v>5569553.333333333</v>
      </c>
      <c r="I194" s="44">
        <f t="shared" si="38"/>
        <v>-2474669.6333333328</v>
      </c>
      <c r="J194" s="330">
        <f t="shared" si="39"/>
        <v>-0.44432102275107632</v>
      </c>
      <c r="K194" s="395">
        <f>E194</f>
        <v>8354330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v>0</v>
      </c>
      <c r="F195" s="472"/>
      <c r="G195" s="384"/>
      <c r="H195" s="472"/>
      <c r="I195" s="44">
        <f t="shared" si="38"/>
        <v>0</v>
      </c>
      <c r="J195" s="330" t="str">
        <f t="shared" si="39"/>
        <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160009305</v>
      </c>
      <c r="F196" s="472">
        <v>9158515.839999998</v>
      </c>
      <c r="G196" s="384">
        <v>54392644.799999967</v>
      </c>
      <c r="H196" s="472">
        <f t="shared" ref="H196:H197" si="46">E196/12*8</f>
        <v>106672870</v>
      </c>
      <c r="I196" s="44">
        <f t="shared" si="38"/>
        <v>-52280225.200000033</v>
      </c>
      <c r="J196" s="330">
        <f t="shared" si="39"/>
        <v>-0.49009860895277341</v>
      </c>
      <c r="K196" s="395">
        <f>E196</f>
        <v>160009305</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141760343</v>
      </c>
      <c r="F197" s="472">
        <v>3807777.49</v>
      </c>
      <c r="G197" s="384">
        <v>42374299.779999994</v>
      </c>
      <c r="H197" s="472">
        <f t="shared" si="46"/>
        <v>94506895.333333328</v>
      </c>
      <c r="I197" s="44">
        <f t="shared" si="38"/>
        <v>-52132595.553333335</v>
      </c>
      <c r="J197" s="330">
        <f t="shared" si="39"/>
        <v>-0.5516274274957137</v>
      </c>
      <c r="K197" s="395">
        <f>E197</f>
        <v>141760343</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8"/>
        <v>0</v>
      </c>
      <c r="J198" s="330" t="str">
        <f t="shared" si="39"/>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8"/>
        <v>0</v>
      </c>
      <c r="J199" s="330" t="str">
        <f t="shared" si="39"/>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8"/>
        <v>0</v>
      </c>
      <c r="J200" s="330" t="str">
        <f t="shared" si="39"/>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8"/>
        <v>0</v>
      </c>
      <c r="J201" s="330" t="str">
        <f t="shared" si="39"/>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8"/>
        <v>0</v>
      </c>
      <c r="J202" s="330" t="str">
        <f t="shared" si="39"/>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8"/>
        <v>0</v>
      </c>
      <c r="J203" s="330" t="str">
        <f t="shared" si="39"/>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47">SUM(C205:C214)</f>
        <v>0</v>
      </c>
      <c r="D204" s="444">
        <f t="shared" si="47"/>
        <v>10024000</v>
      </c>
      <c r="E204" s="441">
        <f t="shared" si="47"/>
        <v>5597634</v>
      </c>
      <c r="F204" s="443">
        <f t="shared" si="47"/>
        <v>1441536</v>
      </c>
      <c r="G204" s="441">
        <f t="shared" si="47"/>
        <v>2661112.7699999521</v>
      </c>
      <c r="H204" s="443">
        <f t="shared" si="47"/>
        <v>3731756</v>
      </c>
      <c r="I204" s="44">
        <f t="shared" si="38"/>
        <v>-1070643.2300000479</v>
      </c>
      <c r="J204" s="330">
        <f t="shared" si="39"/>
        <v>-0.28690065213268173</v>
      </c>
      <c r="K204" s="442">
        <f t="shared" si="47"/>
        <v>5597634</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147634</v>
      </c>
      <c r="F205" s="472"/>
      <c r="G205" s="384">
        <v>169552.04999995232</v>
      </c>
      <c r="H205" s="472">
        <f t="shared" ref="H205:H208" si="48">E205/12*8</f>
        <v>98422.666666666672</v>
      </c>
      <c r="I205" s="44">
        <f t="shared" si="38"/>
        <v>71129.383333285645</v>
      </c>
      <c r="J205" s="330">
        <f t="shared" si="39"/>
        <v>0.72269311269713254</v>
      </c>
      <c r="K205" s="395">
        <f t="shared" ref="K205:K206" si="49">E205</f>
        <v>147634</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0</v>
      </c>
      <c r="F206" s="472">
        <v>1441536</v>
      </c>
      <c r="G206" s="384">
        <v>2491560.7199999997</v>
      </c>
      <c r="H206" s="472"/>
      <c r="I206" s="44">
        <f t="shared" si="38"/>
        <v>2491560.7199999997</v>
      </c>
      <c r="J206" s="330" t="e">
        <f t="shared" si="39"/>
        <v>#DIV/0!</v>
      </c>
      <c r="K206" s="395">
        <f t="shared" si="49"/>
        <v>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5250000</v>
      </c>
      <c r="F207" s="472"/>
      <c r="G207" s="384"/>
      <c r="H207" s="472">
        <f t="shared" si="48"/>
        <v>3500000</v>
      </c>
      <c r="I207" s="44">
        <f t="shared" si="38"/>
        <v>-3500000</v>
      </c>
      <c r="J207" s="330">
        <f t="shared" si="39"/>
        <v>-1</v>
      </c>
      <c r="K207" s="395">
        <f>E207</f>
        <v>5250000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v>200000</v>
      </c>
      <c r="F208" s="472"/>
      <c r="G208" s="384"/>
      <c r="H208" s="472">
        <f t="shared" si="48"/>
        <v>133333.33333333334</v>
      </c>
      <c r="I208" s="44">
        <f t="shared" si="38"/>
        <v>-133333.33333333334</v>
      </c>
      <c r="J208" s="330">
        <f t="shared" si="39"/>
        <v>-1</v>
      </c>
      <c r="K208" s="395">
        <f>E208</f>
        <v>200000</v>
      </c>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8"/>
        <v>0</v>
      </c>
      <c r="J209" s="330" t="str">
        <f t="shared" si="39"/>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8"/>
        <v>0</v>
      </c>
      <c r="J210" s="330" t="str">
        <f t="shared" si="39"/>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8"/>
        <v>0</v>
      </c>
      <c r="J211" s="330" t="str">
        <f t="shared" si="39"/>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8"/>
        <v>0</v>
      </c>
      <c r="J212" s="330" t="str">
        <f t="shared" si="39"/>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8"/>
        <v>0</v>
      </c>
      <c r="J213" s="330" t="str">
        <f t="shared" si="39"/>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8"/>
        <v>0</v>
      </c>
      <c r="J214" s="330" t="str">
        <f t="shared" si="39"/>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50">SUM(C216:C225)</f>
        <v>0</v>
      </c>
      <c r="D215" s="444">
        <f t="shared" si="50"/>
        <v>0</v>
      </c>
      <c r="E215" s="441">
        <f t="shared" si="50"/>
        <v>0</v>
      </c>
      <c r="F215" s="443">
        <f t="shared" si="50"/>
        <v>0</v>
      </c>
      <c r="G215" s="441">
        <f t="shared" si="50"/>
        <v>0</v>
      </c>
      <c r="H215" s="443">
        <f t="shared" si="50"/>
        <v>0</v>
      </c>
      <c r="I215" s="44">
        <f t="shared" si="38"/>
        <v>0</v>
      </c>
      <c r="J215" s="330" t="str">
        <f t="shared" si="39"/>
        <v/>
      </c>
      <c r="K215" s="442">
        <f t="shared" si="50"/>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8"/>
        <v>0</v>
      </c>
      <c r="J216" s="330" t="str">
        <f t="shared" si="39"/>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8"/>
        <v>0</v>
      </c>
      <c r="J217" s="330" t="str">
        <f t="shared" si="39"/>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8"/>
        <v>0</v>
      </c>
      <c r="J218" s="330" t="str">
        <f t="shared" si="39"/>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8"/>
        <v>0</v>
      </c>
      <c r="J219" s="330" t="str">
        <f t="shared" si="39"/>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8"/>
        <v>0</v>
      </c>
      <c r="J220" s="330" t="str">
        <f t="shared" si="39"/>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8"/>
        <v>0</v>
      </c>
      <c r="J221" s="330" t="str">
        <f t="shared" si="39"/>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8"/>
        <v>0</v>
      </c>
      <c r="J222" s="330" t="str">
        <f t="shared" si="39"/>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8"/>
        <v>0</v>
      </c>
      <c r="J223" s="330" t="str">
        <f t="shared" si="39"/>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8"/>
        <v>0</v>
      </c>
      <c r="J224" s="330" t="str">
        <f t="shared" si="39"/>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8"/>
        <v>0</v>
      </c>
      <c r="J225" s="330" t="str">
        <f t="shared" si="39"/>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51">SUM(C227:C236)</f>
        <v>0</v>
      </c>
      <c r="D226" s="444">
        <f t="shared" si="51"/>
        <v>0</v>
      </c>
      <c r="E226" s="441">
        <f t="shared" si="51"/>
        <v>0</v>
      </c>
      <c r="F226" s="443">
        <f t="shared" si="51"/>
        <v>0</v>
      </c>
      <c r="G226" s="441">
        <f t="shared" si="51"/>
        <v>0</v>
      </c>
      <c r="H226" s="443">
        <f t="shared" si="51"/>
        <v>0</v>
      </c>
      <c r="I226" s="44">
        <f t="shared" si="38"/>
        <v>0</v>
      </c>
      <c r="J226" s="330" t="str">
        <f t="shared" si="39"/>
        <v/>
      </c>
      <c r="K226" s="442">
        <f t="shared" si="51"/>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8"/>
        <v>0</v>
      </c>
      <c r="J227" s="330" t="str">
        <f t="shared" si="39"/>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8"/>
        <v>0</v>
      </c>
      <c r="J228" s="330" t="str">
        <f t="shared" si="39"/>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8"/>
        <v>0</v>
      </c>
      <c r="J229" s="330" t="str">
        <f t="shared" si="39"/>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8"/>
        <v>0</v>
      </c>
      <c r="J230" s="330" t="str">
        <f t="shared" si="39"/>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8"/>
        <v>0</v>
      </c>
      <c r="J231" s="330" t="str">
        <f t="shared" si="39"/>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8"/>
        <v>0</v>
      </c>
      <c r="J232" s="330" t="str">
        <f t="shared" si="39"/>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8"/>
        <v>0</v>
      </c>
      <c r="J233" s="330" t="str">
        <f t="shared" si="39"/>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8"/>
        <v>0</v>
      </c>
      <c r="J234" s="330" t="str">
        <f t="shared" si="39"/>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8"/>
        <v>0</v>
      </c>
      <c r="J235" s="330" t="str">
        <f t="shared" si="39"/>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8"/>
        <v>0</v>
      </c>
      <c r="J236" s="330" t="str">
        <f t="shared" si="39"/>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52">SUM(C238:C247)</f>
        <v>0</v>
      </c>
      <c r="D237" s="444">
        <f t="shared" si="52"/>
        <v>0</v>
      </c>
      <c r="E237" s="441">
        <f t="shared" si="52"/>
        <v>0</v>
      </c>
      <c r="F237" s="443">
        <f t="shared" si="52"/>
        <v>0</v>
      </c>
      <c r="G237" s="441">
        <f t="shared" si="52"/>
        <v>0</v>
      </c>
      <c r="H237" s="443">
        <f t="shared" si="52"/>
        <v>0</v>
      </c>
      <c r="I237" s="44">
        <f t="shared" ref="I237:I300" si="53">G237-H237</f>
        <v>0</v>
      </c>
      <c r="J237" s="330" t="str">
        <f t="shared" ref="J237:J300" si="54">IF(I237=0,"",I237/H237)</f>
        <v/>
      </c>
      <c r="K237" s="442">
        <f t="shared" si="52"/>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53"/>
        <v>0</v>
      </c>
      <c r="J238" s="330" t="str">
        <f t="shared" si="54"/>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53"/>
        <v>0</v>
      </c>
      <c r="J239" s="330" t="str">
        <f t="shared" si="54"/>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53"/>
        <v>0</v>
      </c>
      <c r="J240" s="330" t="str">
        <f t="shared" si="54"/>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53"/>
        <v>0</v>
      </c>
      <c r="J241" s="330" t="str">
        <f t="shared" si="54"/>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53"/>
        <v>0</v>
      </c>
      <c r="J242" s="330" t="str">
        <f t="shared" si="54"/>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53"/>
        <v>0</v>
      </c>
      <c r="J243" s="330" t="str">
        <f t="shared" si="54"/>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53"/>
        <v>0</v>
      </c>
      <c r="J244" s="330" t="str">
        <f t="shared" si="54"/>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53"/>
        <v>0</v>
      </c>
      <c r="J245" s="330" t="str">
        <f t="shared" si="54"/>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53"/>
        <v>0</v>
      </c>
      <c r="J246" s="330" t="str">
        <f t="shared" si="54"/>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53"/>
        <v>0</v>
      </c>
      <c r="J247" s="330" t="str">
        <f t="shared" si="54"/>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55">SUM(C249:C258)</f>
        <v>0</v>
      </c>
      <c r="D248" s="444">
        <f t="shared" si="55"/>
        <v>0</v>
      </c>
      <c r="E248" s="441">
        <f t="shared" si="55"/>
        <v>0</v>
      </c>
      <c r="F248" s="443">
        <f t="shared" si="55"/>
        <v>0</v>
      </c>
      <c r="G248" s="441">
        <f t="shared" si="55"/>
        <v>0</v>
      </c>
      <c r="H248" s="443">
        <f t="shared" si="55"/>
        <v>0</v>
      </c>
      <c r="I248" s="44">
        <f t="shared" si="53"/>
        <v>0</v>
      </c>
      <c r="J248" s="330" t="str">
        <f t="shared" si="54"/>
        <v/>
      </c>
      <c r="K248" s="442">
        <f t="shared" si="55"/>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53"/>
        <v>0</v>
      </c>
      <c r="J249" s="330" t="str">
        <f t="shared" si="54"/>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53"/>
        <v>0</v>
      </c>
      <c r="J250" s="330" t="str">
        <f t="shared" si="54"/>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53"/>
        <v>0</v>
      </c>
      <c r="J251" s="330" t="str">
        <f t="shared" si="54"/>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53"/>
        <v>0</v>
      </c>
      <c r="J252" s="330" t="str">
        <f t="shared" si="54"/>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53"/>
        <v>0</v>
      </c>
      <c r="J253" s="330" t="str">
        <f t="shared" si="54"/>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53"/>
        <v>0</v>
      </c>
      <c r="J254" s="330" t="str">
        <f t="shared" si="54"/>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53"/>
        <v>0</v>
      </c>
      <c r="J255" s="330" t="str">
        <f t="shared" si="54"/>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53"/>
        <v>0</v>
      </c>
      <c r="J256" s="330" t="str">
        <f t="shared" si="54"/>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53"/>
        <v>0</v>
      </c>
      <c r="J257" s="330" t="str">
        <f t="shared" si="54"/>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53"/>
        <v>0</v>
      </c>
      <c r="J258" s="330" t="str">
        <f t="shared" si="54"/>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56">SUM(C260:C269)</f>
        <v>0</v>
      </c>
      <c r="D259" s="444">
        <f t="shared" si="56"/>
        <v>0</v>
      </c>
      <c r="E259" s="441">
        <f t="shared" si="56"/>
        <v>0</v>
      </c>
      <c r="F259" s="443">
        <f t="shared" si="56"/>
        <v>0</v>
      </c>
      <c r="G259" s="441">
        <f t="shared" si="56"/>
        <v>0</v>
      </c>
      <c r="H259" s="443">
        <f t="shared" si="56"/>
        <v>0</v>
      </c>
      <c r="I259" s="44">
        <f t="shared" si="53"/>
        <v>0</v>
      </c>
      <c r="J259" s="330" t="str">
        <f t="shared" si="54"/>
        <v/>
      </c>
      <c r="K259" s="442">
        <f t="shared" si="56"/>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53"/>
        <v>0</v>
      </c>
      <c r="J260" s="330" t="str">
        <f t="shared" si="54"/>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53"/>
        <v>0</v>
      </c>
      <c r="J261" s="330" t="str">
        <f t="shared" si="54"/>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53"/>
        <v>0</v>
      </c>
      <c r="J262" s="330" t="str">
        <f t="shared" si="54"/>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53"/>
        <v>0</v>
      </c>
      <c r="J263" s="330" t="str">
        <f t="shared" si="54"/>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53"/>
        <v>0</v>
      </c>
      <c r="J264" s="330" t="str">
        <f t="shared" si="54"/>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53"/>
        <v>0</v>
      </c>
      <c r="J265" s="330" t="str">
        <f t="shared" si="54"/>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53"/>
        <v>0</v>
      </c>
      <c r="J266" s="330" t="str">
        <f t="shared" si="54"/>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53"/>
        <v>0</v>
      </c>
      <c r="J267" s="330" t="str">
        <f t="shared" si="54"/>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53"/>
        <v>0</v>
      </c>
      <c r="J268" s="330" t="str">
        <f t="shared" si="54"/>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53"/>
        <v>0</v>
      </c>
      <c r="J269" s="330" t="str">
        <f t="shared" si="54"/>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57">SUM(C271:C280)</f>
        <v>0</v>
      </c>
      <c r="D270" s="444">
        <f t="shared" si="57"/>
        <v>0</v>
      </c>
      <c r="E270" s="441">
        <f t="shared" si="57"/>
        <v>0</v>
      </c>
      <c r="F270" s="443">
        <f t="shared" si="57"/>
        <v>0</v>
      </c>
      <c r="G270" s="441">
        <f t="shared" si="57"/>
        <v>0</v>
      </c>
      <c r="H270" s="443">
        <f t="shared" si="57"/>
        <v>0</v>
      </c>
      <c r="I270" s="44">
        <f t="shared" si="53"/>
        <v>0</v>
      </c>
      <c r="J270" s="330" t="str">
        <f t="shared" si="54"/>
        <v/>
      </c>
      <c r="K270" s="442">
        <f t="shared" si="57"/>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53"/>
        <v>0</v>
      </c>
      <c r="J271" s="330" t="str">
        <f t="shared" si="54"/>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53"/>
        <v>0</v>
      </c>
      <c r="J272" s="330" t="str">
        <f t="shared" si="54"/>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53"/>
        <v>0</v>
      </c>
      <c r="J273" s="330" t="str">
        <f t="shared" si="54"/>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53"/>
        <v>0</v>
      </c>
      <c r="J274" s="330" t="str">
        <f t="shared" si="54"/>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53"/>
        <v>0</v>
      </c>
      <c r="J275" s="330" t="str">
        <f t="shared" si="54"/>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53"/>
        <v>0</v>
      </c>
      <c r="J276" s="330" t="str">
        <f t="shared" si="54"/>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53"/>
        <v>0</v>
      </c>
      <c r="J277" s="330" t="str">
        <f t="shared" si="54"/>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53"/>
        <v>0</v>
      </c>
      <c r="J278" s="330" t="str">
        <f t="shared" si="54"/>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53"/>
        <v>0</v>
      </c>
      <c r="J279" s="330" t="str">
        <f t="shared" si="54"/>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53"/>
        <v>0</v>
      </c>
      <c r="J280" s="330" t="str">
        <f t="shared" si="54"/>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8">SUM(C282:C291)</f>
        <v>0</v>
      </c>
      <c r="D281" s="444">
        <f t="shared" si="58"/>
        <v>0</v>
      </c>
      <c r="E281" s="441">
        <f t="shared" si="58"/>
        <v>0</v>
      </c>
      <c r="F281" s="443">
        <f t="shared" si="58"/>
        <v>0</v>
      </c>
      <c r="G281" s="441">
        <f t="shared" si="58"/>
        <v>0</v>
      </c>
      <c r="H281" s="443">
        <f t="shared" si="58"/>
        <v>0</v>
      </c>
      <c r="I281" s="44">
        <f t="shared" si="53"/>
        <v>0</v>
      </c>
      <c r="J281" s="330" t="str">
        <f t="shared" si="54"/>
        <v/>
      </c>
      <c r="K281" s="442">
        <f t="shared" si="58"/>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53"/>
        <v>0</v>
      </c>
      <c r="J282" s="330" t="str">
        <f t="shared" si="54"/>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53"/>
        <v>0</v>
      </c>
      <c r="J283" s="330" t="str">
        <f t="shared" si="54"/>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53"/>
        <v>0</v>
      </c>
      <c r="J284" s="330" t="str">
        <f t="shared" si="54"/>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53"/>
        <v>0</v>
      </c>
      <c r="J285" s="330" t="str">
        <f t="shared" si="54"/>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53"/>
        <v>0</v>
      </c>
      <c r="J286" s="330" t="str">
        <f t="shared" si="54"/>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53"/>
        <v>0</v>
      </c>
      <c r="J287" s="330" t="str">
        <f t="shared" si="54"/>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53"/>
        <v>0</v>
      </c>
      <c r="J288" s="330" t="str">
        <f t="shared" si="54"/>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53"/>
        <v>0</v>
      </c>
      <c r="J289" s="330" t="str">
        <f t="shared" si="54"/>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53"/>
        <v>0</v>
      </c>
      <c r="J290" s="330" t="str">
        <f t="shared" si="54"/>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53"/>
        <v>0</v>
      </c>
      <c r="J291" s="330" t="str">
        <f t="shared" si="54"/>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9">SUM(C293:C302)</f>
        <v>0</v>
      </c>
      <c r="D292" s="444">
        <f t="shared" si="59"/>
        <v>0</v>
      </c>
      <c r="E292" s="441">
        <f t="shared" si="59"/>
        <v>0</v>
      </c>
      <c r="F292" s="443">
        <f t="shared" si="59"/>
        <v>0</v>
      </c>
      <c r="G292" s="441">
        <f t="shared" si="59"/>
        <v>0</v>
      </c>
      <c r="H292" s="443">
        <f t="shared" si="59"/>
        <v>0</v>
      </c>
      <c r="I292" s="44">
        <f t="shared" si="53"/>
        <v>0</v>
      </c>
      <c r="J292" s="330" t="str">
        <f t="shared" si="54"/>
        <v/>
      </c>
      <c r="K292" s="442">
        <f t="shared" si="59"/>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53"/>
        <v>0</v>
      </c>
      <c r="J293" s="330" t="str">
        <f t="shared" si="54"/>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53"/>
        <v>0</v>
      </c>
      <c r="J294" s="330" t="str">
        <f t="shared" si="54"/>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53"/>
        <v>0</v>
      </c>
      <c r="J295" s="330" t="str">
        <f t="shared" si="54"/>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53"/>
        <v>0</v>
      </c>
      <c r="J296" s="330" t="str">
        <f t="shared" si="54"/>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53"/>
        <v>0</v>
      </c>
      <c r="J297" s="330" t="str">
        <f t="shared" si="54"/>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53"/>
        <v>0</v>
      </c>
      <c r="J298" s="330" t="str">
        <f t="shared" si="54"/>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53"/>
        <v>0</v>
      </c>
      <c r="J299" s="330" t="str">
        <f t="shared" si="54"/>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53"/>
        <v>0</v>
      </c>
      <c r="J300" s="330" t="str">
        <f t="shared" si="54"/>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60">G301-H301</f>
        <v>0</v>
      </c>
      <c r="J301" s="330" t="str">
        <f t="shared" ref="J301:J316" si="61">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60"/>
        <v>0</v>
      </c>
      <c r="J302" s="330" t="str">
        <f t="shared" si="61"/>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62">SUM(C304:C313)</f>
        <v>0</v>
      </c>
      <c r="D303" s="444">
        <f t="shared" si="62"/>
        <v>0</v>
      </c>
      <c r="E303" s="441">
        <f t="shared" si="62"/>
        <v>0</v>
      </c>
      <c r="F303" s="443">
        <f t="shared" si="62"/>
        <v>0</v>
      </c>
      <c r="G303" s="441">
        <f t="shared" si="62"/>
        <v>0</v>
      </c>
      <c r="H303" s="443">
        <f t="shared" si="62"/>
        <v>0</v>
      </c>
      <c r="I303" s="44">
        <f t="shared" si="60"/>
        <v>0</v>
      </c>
      <c r="J303" s="330" t="str">
        <f t="shared" si="61"/>
        <v/>
      </c>
      <c r="K303" s="442">
        <f t="shared" si="62"/>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60"/>
        <v>0</v>
      </c>
      <c r="J304" s="330" t="str">
        <f t="shared" si="61"/>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60"/>
        <v>0</v>
      </c>
      <c r="J305" s="330" t="str">
        <f t="shared" si="61"/>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60"/>
        <v>0</v>
      </c>
      <c r="J306" s="330" t="str">
        <f t="shared" si="61"/>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60"/>
        <v>0</v>
      </c>
      <c r="J307" s="330" t="str">
        <f t="shared" si="61"/>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60"/>
        <v>0</v>
      </c>
      <c r="J308" s="330" t="str">
        <f t="shared" si="61"/>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60"/>
        <v>0</v>
      </c>
      <c r="J309" s="330" t="str">
        <f t="shared" si="61"/>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60"/>
        <v>0</v>
      </c>
      <c r="J310" s="330" t="str">
        <f t="shared" si="61"/>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60"/>
        <v>0</v>
      </c>
      <c r="J311" s="330" t="str">
        <f t="shared" si="61"/>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60"/>
        <v>0</v>
      </c>
      <c r="J312" s="330" t="str">
        <f t="shared" si="61"/>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60"/>
        <v>0</v>
      </c>
      <c r="J313" s="330" t="str">
        <f t="shared" si="61"/>
        <v/>
      </c>
      <c r="K313" s="395"/>
      <c r="L313" s="452">
        <f t="shared" ref="L313:W313" si="63">SUM(L148:L224)</f>
        <v>0</v>
      </c>
      <c r="M313" s="453">
        <f t="shared" si="63"/>
        <v>0</v>
      </c>
      <c r="N313" s="453">
        <f t="shared" si="63"/>
        <v>0</v>
      </c>
      <c r="O313" s="453">
        <f t="shared" si="63"/>
        <v>0</v>
      </c>
      <c r="P313" s="453">
        <f t="shared" si="63"/>
        <v>0</v>
      </c>
      <c r="Q313" s="453">
        <f t="shared" si="63"/>
        <v>0</v>
      </c>
      <c r="R313" s="453">
        <f t="shared" si="63"/>
        <v>0</v>
      </c>
      <c r="S313" s="453">
        <f t="shared" si="63"/>
        <v>0</v>
      </c>
      <c r="T313" s="453">
        <f t="shared" si="63"/>
        <v>0</v>
      </c>
      <c r="U313" s="453">
        <f t="shared" si="63"/>
        <v>0</v>
      </c>
      <c r="V313" s="453">
        <f t="shared" si="63"/>
        <v>0</v>
      </c>
      <c r="W313" s="453">
        <f t="shared" si="63"/>
        <v>0</v>
      </c>
    </row>
    <row r="314" spans="1:23" ht="12.75" customHeight="1" x14ac:dyDescent="0.25">
      <c r="A314" s="711" t="s">
        <v>799</v>
      </c>
      <c r="B314" s="712"/>
      <c r="C314" s="508">
        <f>C149+C160+C171+C182+C193+C204+C215+C226+C237+C259+C270+C281+C292+C303+C248</f>
        <v>0</v>
      </c>
      <c r="D314" s="475">
        <f t="shared" ref="D314:K314" si="64">D149+D160+D171+D182+D193+D204+D215+D226+D237+D259+D270+D281+D292+D303+D248</f>
        <v>71724000</v>
      </c>
      <c r="E314" s="430">
        <f t="shared" si="64"/>
        <v>364790788</v>
      </c>
      <c r="F314" s="474">
        <f t="shared" si="64"/>
        <v>18204134.899999999</v>
      </c>
      <c r="G314" s="430">
        <f t="shared" si="64"/>
        <v>109733322.22999993</v>
      </c>
      <c r="H314" s="474">
        <f t="shared" si="64"/>
        <v>243193858.66666666</v>
      </c>
      <c r="I314" s="430">
        <f t="shared" si="60"/>
        <v>-133460536.43666673</v>
      </c>
      <c r="J314" s="430">
        <f t="shared" si="61"/>
        <v>-0.54878251107316911</v>
      </c>
      <c r="K314" s="513">
        <f t="shared" si="64"/>
        <v>364790788</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60"/>
        <v>0</v>
      </c>
      <c r="J315" s="50" t="str">
        <f t="shared" si="61"/>
        <v/>
      </c>
      <c r="K315" s="194"/>
      <c r="L315" s="480">
        <f t="shared" ref="L315:W315" si="65">L144-L313</f>
        <v>0</v>
      </c>
      <c r="M315" s="481">
        <f t="shared" si="65"/>
        <v>0</v>
      </c>
      <c r="N315" s="481">
        <f t="shared" si="65"/>
        <v>0</v>
      </c>
      <c r="O315" s="481">
        <f t="shared" si="65"/>
        <v>0</v>
      </c>
      <c r="P315" s="481">
        <f t="shared" si="65"/>
        <v>0</v>
      </c>
      <c r="Q315" s="481">
        <f t="shared" si="65"/>
        <v>0</v>
      </c>
      <c r="R315" s="481">
        <f t="shared" si="65"/>
        <v>0</v>
      </c>
      <c r="S315" s="481">
        <f t="shared" si="65"/>
        <v>0</v>
      </c>
      <c r="T315" s="481">
        <f t="shared" si="65"/>
        <v>0</v>
      </c>
      <c r="U315" s="481">
        <f t="shared" si="65"/>
        <v>0</v>
      </c>
      <c r="V315" s="481">
        <f t="shared" si="65"/>
        <v>0</v>
      </c>
      <c r="W315" s="481">
        <f t="shared" si="65"/>
        <v>0</v>
      </c>
    </row>
    <row r="316" spans="1:23" s="486" customFormat="1" ht="13.5" customHeight="1" thickTop="1" x14ac:dyDescent="0.25">
      <c r="A316" s="53" t="s">
        <v>761</v>
      </c>
      <c r="B316" s="477"/>
      <c r="C316" s="509">
        <f>C145+C314</f>
        <v>0</v>
      </c>
      <c r="D316" s="512">
        <f t="shared" ref="D316:K316" si="66">D145+D314</f>
        <v>580891581</v>
      </c>
      <c r="E316" s="55">
        <f t="shared" si="66"/>
        <v>747190359.77999997</v>
      </c>
      <c r="F316" s="479">
        <f t="shared" si="66"/>
        <v>35188377.060000002</v>
      </c>
      <c r="G316" s="55">
        <f t="shared" si="66"/>
        <v>286003679.24000001</v>
      </c>
      <c r="H316" s="479">
        <f t="shared" si="66"/>
        <v>498126906.51999998</v>
      </c>
      <c r="I316" s="55">
        <f t="shared" si="60"/>
        <v>-212123227.27999997</v>
      </c>
      <c r="J316" s="55">
        <f t="shared" si="61"/>
        <v>-0.42584173732338459</v>
      </c>
      <c r="K316" s="235">
        <f t="shared" si="66"/>
        <v>747190359.77999997</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tabSelected="1" zoomScaleNormal="100" workbookViewId="0">
      <pane xSplit="2" ySplit="4" topLeftCell="C5" activePane="bottomRight" state="frozen"/>
      <selection pane="topRight"/>
      <selection pane="bottomLeft"/>
      <selection pane="bottomRight" activeCell="E43" sqref="E43"/>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9" t="str">
        <f>muni&amp; " - "&amp;S71E&amp; " - "&amp;date</f>
        <v>KZN225 Msunduzi - Table C6 Consolidated Monthly Budget Statement - Financial Position  - M08 February</v>
      </c>
      <c r="B1" s="1059"/>
      <c r="C1" s="1059"/>
      <c r="D1" s="1059"/>
      <c r="E1" s="1059"/>
      <c r="F1" s="1059"/>
      <c r="G1" s="1059"/>
    </row>
    <row r="2" spans="1:8" x14ac:dyDescent="0.25">
      <c r="A2" s="1044" t="str">
        <f>desc</f>
        <v>Description</v>
      </c>
      <c r="B2" s="1037" t="str">
        <f>head27</f>
        <v>Ref</v>
      </c>
      <c r="C2" s="140" t="str">
        <f>Head1</f>
        <v>2019/20</v>
      </c>
      <c r="D2" s="245" t="str">
        <f>Head2</f>
        <v>Budget Year 2020/21</v>
      </c>
      <c r="E2" s="229"/>
      <c r="F2" s="229"/>
      <c r="G2" s="230"/>
    </row>
    <row r="3" spans="1:8" ht="25.5" x14ac:dyDescent="0.25">
      <c r="A3" s="1045"/>
      <c r="B3" s="1048"/>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219655439.85161698</v>
      </c>
      <c r="F7" s="733">
        <v>-46344177.190000005</v>
      </c>
      <c r="G7" s="735">
        <f>E7</f>
        <v>219655439.85161698</v>
      </c>
    </row>
    <row r="8" spans="1:8" ht="12.75" customHeight="1" x14ac:dyDescent="0.25">
      <c r="A8" s="39" t="s">
        <v>590</v>
      </c>
      <c r="B8" s="169"/>
      <c r="C8" s="748"/>
      <c r="D8" s="753">
        <v>16771734.260000002</v>
      </c>
      <c r="E8" s="733">
        <v>67212254.891475201</v>
      </c>
      <c r="F8" s="733">
        <v>308598461.73999995</v>
      </c>
      <c r="G8" s="735">
        <f t="shared" ref="G8:G10" si="0">E8</f>
        <v>67212254.891475201</v>
      </c>
    </row>
    <row r="9" spans="1:8" ht="12.75" customHeight="1" x14ac:dyDescent="0.25">
      <c r="A9" s="39" t="s">
        <v>588</v>
      </c>
      <c r="B9" s="169"/>
      <c r="C9" s="748"/>
      <c r="D9" s="753">
        <v>2485904793.8587079</v>
      </c>
      <c r="E9" s="733">
        <v>2165986452.8837075</v>
      </c>
      <c r="F9" s="733">
        <v>2314274230.21</v>
      </c>
      <c r="G9" s="735">
        <f t="shared" si="0"/>
        <v>2165986452.8837075</v>
      </c>
    </row>
    <row r="10" spans="1:8" ht="12.75" customHeight="1" x14ac:dyDescent="0.25">
      <c r="A10" s="39" t="s">
        <v>589</v>
      </c>
      <c r="B10" s="169"/>
      <c r="C10" s="748"/>
      <c r="D10" s="753">
        <v>67823549.673443094</v>
      </c>
      <c r="E10" s="733">
        <v>67823549.673443094</v>
      </c>
      <c r="F10" s="733">
        <v>2644998.65</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173496047.05902392</v>
      </c>
      <c r="F12" s="733">
        <v>599077151.38999999</v>
      </c>
      <c r="G12" s="735">
        <f>E12</f>
        <v>173496047.05902392</v>
      </c>
    </row>
    <row r="13" spans="1:8" ht="12.75" customHeight="1" x14ac:dyDescent="0.25">
      <c r="A13" s="92" t="s">
        <v>632</v>
      </c>
      <c r="B13" s="233"/>
      <c r="C13" s="243">
        <f>SUM(C7:C12)</f>
        <v>0</v>
      </c>
      <c r="D13" s="260">
        <f>SUM(D7:D12)</f>
        <v>2972344764.6444831</v>
      </c>
      <c r="E13" s="73">
        <f>SUM(E7:E12)</f>
        <v>2694173744.3592668</v>
      </c>
      <c r="F13" s="73">
        <f>SUM(F7:F12)</f>
        <v>3178250664.8000002</v>
      </c>
      <c r="G13" s="145">
        <f>SUM(G7:G12)</f>
        <v>2694173744.3592668</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-1079064.27</v>
      </c>
      <c r="G16" s="733"/>
      <c r="H16" s="39"/>
    </row>
    <row r="17" spans="1:8" ht="12.75" customHeight="1" x14ac:dyDescent="0.25">
      <c r="A17" s="39" t="s">
        <v>544</v>
      </c>
      <c r="B17" s="169"/>
      <c r="C17" s="748"/>
      <c r="D17" s="753">
        <v>2969671.4292000006</v>
      </c>
      <c r="E17" s="733">
        <v>-328.5707999994047</v>
      </c>
      <c r="F17" s="733"/>
      <c r="G17" s="735">
        <v>-328.5707999994047</v>
      </c>
      <c r="H17" s="39"/>
    </row>
    <row r="18" spans="1:8" ht="12.75" customHeight="1" x14ac:dyDescent="0.25">
      <c r="A18" s="39" t="s">
        <v>585</v>
      </c>
      <c r="B18" s="169"/>
      <c r="C18" s="748"/>
      <c r="D18" s="753">
        <v>782332533.60000002</v>
      </c>
      <c r="E18" s="733">
        <v>782332533.60000002</v>
      </c>
      <c r="F18" s="733">
        <v>707626999.95000005</v>
      </c>
      <c r="G18" s="735">
        <f t="shared" ref="G17:G24" si="1">E18</f>
        <v>782332533.60000002</v>
      </c>
      <c r="H18" s="39"/>
    </row>
    <row r="19" spans="1:8" ht="12.75" customHeight="1" x14ac:dyDescent="0.25">
      <c r="A19" s="39" t="s">
        <v>278</v>
      </c>
      <c r="B19" s="169"/>
      <c r="C19" s="748"/>
      <c r="D19" s="753"/>
      <c r="E19" s="733">
        <v>0</v>
      </c>
      <c r="F19" s="733"/>
      <c r="G19" s="735"/>
      <c r="H19" s="39"/>
    </row>
    <row r="20" spans="1:8" ht="12.75" customHeight="1" x14ac:dyDescent="0.25">
      <c r="A20" s="39" t="s">
        <v>584</v>
      </c>
      <c r="B20" s="169"/>
      <c r="C20" s="748"/>
      <c r="D20" s="753">
        <v>7111997635.7252645</v>
      </c>
      <c r="E20" s="733">
        <v>7285796412.2295036</v>
      </c>
      <c r="F20" s="733">
        <v>6705933315.1400003</v>
      </c>
      <c r="G20" s="735">
        <f t="shared" si="1"/>
        <v>7285796412.2295036</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23727379.809999999</v>
      </c>
      <c r="G23" s="735">
        <f t="shared" si="1"/>
        <v>46132727.226800002</v>
      </c>
      <c r="H23" s="39"/>
    </row>
    <row r="24" spans="1:8" ht="12.75" customHeight="1" x14ac:dyDescent="0.25">
      <c r="A24" s="39" t="s">
        <v>795</v>
      </c>
      <c r="B24" s="169"/>
      <c r="C24" s="748"/>
      <c r="D24" s="753">
        <v>395927434.26520002</v>
      </c>
      <c r="E24" s="733">
        <v>395927434.26520002</v>
      </c>
      <c r="F24" s="733">
        <v>83200000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8511254429.0807037</v>
      </c>
      <c r="F25" s="73">
        <f>SUM(F16:F20)+SUM(F22:F24)</f>
        <v>7520478880.6300011</v>
      </c>
      <c r="G25" s="145">
        <f>SUM(G16:G20)+SUM(G22:G24)</f>
        <v>8511254429.0807037</v>
      </c>
      <c r="H25" s="39"/>
    </row>
    <row r="26" spans="1:8" ht="12.75" customHeight="1" x14ac:dyDescent="0.25">
      <c r="A26" s="92" t="s">
        <v>778</v>
      </c>
      <c r="B26" s="233"/>
      <c r="C26" s="243">
        <f>C13+C25</f>
        <v>0</v>
      </c>
      <c r="D26" s="260">
        <f>D13+D25</f>
        <v>11312770417.220949</v>
      </c>
      <c r="E26" s="73">
        <f>E13+E25</f>
        <v>11205428173.43997</v>
      </c>
      <c r="F26" s="73">
        <f>F13+F25</f>
        <v>10698729545.43</v>
      </c>
      <c r="G26" s="145">
        <f>G13+G25</f>
        <v>11205428173.43997</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40498374.420000002</v>
      </c>
      <c r="G31" s="735">
        <f t="shared" ref="G31:G34" si="2">E31</f>
        <v>85380595.876948789</v>
      </c>
    </row>
    <row r="32" spans="1:8" ht="12.75" customHeight="1" x14ac:dyDescent="0.25">
      <c r="A32" s="39" t="s">
        <v>583</v>
      </c>
      <c r="B32" s="169"/>
      <c r="C32" s="748"/>
      <c r="D32" s="753">
        <v>114344430.65218705</v>
      </c>
      <c r="E32" s="733">
        <v>114344430.65218705</v>
      </c>
      <c r="F32" s="733">
        <v>125126122.38</v>
      </c>
      <c r="G32" s="735">
        <f t="shared" si="2"/>
        <v>114344430.65218705</v>
      </c>
    </row>
    <row r="33" spans="1:7" ht="12.75" customHeight="1" x14ac:dyDescent="0.25">
      <c r="A33" s="39" t="s">
        <v>787</v>
      </c>
      <c r="B33" s="169"/>
      <c r="C33" s="748"/>
      <c r="D33" s="753">
        <v>1101595513.0999999</v>
      </c>
      <c r="E33" s="733">
        <v>1005724626.099849</v>
      </c>
      <c r="F33" s="733">
        <v>1231564144</v>
      </c>
      <c r="G33" s="735">
        <f t="shared" si="2"/>
        <v>1005724626.099849</v>
      </c>
    </row>
    <row r="34" spans="1:7" ht="12.75" customHeight="1" x14ac:dyDescent="0.25">
      <c r="A34" s="39" t="s">
        <v>546</v>
      </c>
      <c r="B34" s="169"/>
      <c r="C34" s="748"/>
      <c r="D34" s="753">
        <v>140397811.785</v>
      </c>
      <c r="E34" s="733">
        <v>140397811.785</v>
      </c>
      <c r="F34" s="733">
        <v>39036244</v>
      </c>
      <c r="G34" s="735">
        <f t="shared" si="2"/>
        <v>140397811.785</v>
      </c>
    </row>
    <row r="35" spans="1:7" ht="12.75" customHeight="1" x14ac:dyDescent="0.25">
      <c r="A35" s="92" t="s">
        <v>459</v>
      </c>
      <c r="B35" s="233"/>
      <c r="C35" s="243">
        <f>SUM(C30:C34)</f>
        <v>0</v>
      </c>
      <c r="D35" s="260">
        <f>SUM(D30:D34)</f>
        <v>1441718351.4141357</v>
      </c>
      <c r="E35" s="73">
        <f>SUM(E30:E34)</f>
        <v>1345847464.413985</v>
      </c>
      <c r="F35" s="73">
        <f>SUM(F30:F34)</f>
        <v>1436224884.8</v>
      </c>
      <c r="G35" s="145">
        <f>SUM(G30:G34)</f>
        <v>1345847464.413985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534772329.63999999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2437712416.3445511</v>
      </c>
      <c r="F41" s="73">
        <f>F35+F40</f>
        <v>2256315210.0900002</v>
      </c>
      <c r="G41" s="145">
        <f>G35+G40</f>
        <v>2437712416.3445511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8767715757.0954189</v>
      </c>
      <c r="F43" s="76">
        <f>F26-F41</f>
        <v>8442414335.3400002</v>
      </c>
      <c r="G43" s="234">
        <f>G26-G41</f>
        <v>8767715757.0954189</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8538802498.9995632</v>
      </c>
      <c r="F46" s="733">
        <v>8251851162.9200001</v>
      </c>
      <c r="G46" s="735">
        <f t="shared" ref="G46:G47" si="4">E46</f>
        <v>8538802498.9995632</v>
      </c>
    </row>
    <row r="47" spans="1:7" ht="12.75" customHeight="1" x14ac:dyDescent="0.25">
      <c r="A47" s="39" t="s">
        <v>902</v>
      </c>
      <c r="B47" s="169"/>
      <c r="C47" s="748"/>
      <c r="D47" s="753">
        <v>228913258</v>
      </c>
      <c r="E47" s="733">
        <v>228913258</v>
      </c>
      <c r="F47" s="733">
        <v>190563172.41999999</v>
      </c>
      <c r="G47" s="735">
        <f t="shared" si="4"/>
        <v>228913258</v>
      </c>
    </row>
    <row r="48" spans="1:7" ht="12.75" customHeight="1" x14ac:dyDescent="0.25">
      <c r="A48" s="53" t="s">
        <v>626</v>
      </c>
      <c r="B48" s="236">
        <v>2</v>
      </c>
      <c r="C48" s="112">
        <f>SUM(C46:C47)</f>
        <v>0</v>
      </c>
      <c r="D48" s="271">
        <f>SUM(D46:D47)</f>
        <v>8779187113.8762474</v>
      </c>
      <c r="E48" s="55">
        <f>SUM(E46:E47)</f>
        <v>8767715756.9995632</v>
      </c>
      <c r="F48" s="55">
        <f>SUM(F46:F47)</f>
        <v>8442414335.3400002</v>
      </c>
      <c r="G48" s="235">
        <f>SUM(G46:G47)</f>
        <v>8767715756.9995632</v>
      </c>
    </row>
    <row r="49" spans="1:7" ht="12.75" customHeight="1" x14ac:dyDescent="0.25">
      <c r="A49" s="78" t="str">
        <f>head27a</f>
        <v>References</v>
      </c>
      <c r="B49" s="58"/>
      <c r="C49" s="49"/>
      <c r="D49" s="49"/>
      <c r="E49" s="49"/>
      <c r="F49" s="49"/>
      <c r="G49" s="49"/>
    </row>
    <row r="50" spans="1:7" ht="13.5" customHeight="1" x14ac:dyDescent="0.25">
      <c r="A50" s="1058" t="s">
        <v>145</v>
      </c>
      <c r="B50" s="1058"/>
      <c r="C50" s="1058"/>
      <c r="D50" s="1058"/>
      <c r="E50" s="1058"/>
      <c r="F50" s="1058"/>
      <c r="G50" s="1058"/>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9.5855712890625E-2</v>
      </c>
      <c r="F54" s="118">
        <f>F43-F48</f>
        <v>0</v>
      </c>
      <c r="G54" s="118">
        <f>G43-G48</f>
        <v>9.5855712890625E-2</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E40" sqref="E40"/>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"&amp;S71F&amp; " - "&amp;date</f>
        <v>KZN225 Msunduzi - Table C7 Consolidated Monthly Budget Statement - Cash Flow  - M08 February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1041231567.0978758</v>
      </c>
      <c r="F7" s="733">
        <v>72091424.269999996</v>
      </c>
      <c r="G7" s="733">
        <v>137200485.66999972</v>
      </c>
      <c r="H7" s="733">
        <f>E7/12*8</f>
        <v>694154378.06525052</v>
      </c>
      <c r="I7" s="44">
        <f t="shared" ref="I7:I13" si="0">G7-H7</f>
        <v>-556953892.3952508</v>
      </c>
      <c r="J7" s="330">
        <f>IF(I7=0,"",I7/H7)</f>
        <v>-0.80234874257739985</v>
      </c>
      <c r="K7" s="735">
        <f>E7</f>
        <v>1041231567.0978758</v>
      </c>
    </row>
    <row r="8" spans="1:11" ht="12.75" customHeight="1" x14ac:dyDescent="0.25">
      <c r="A8" s="518" t="s">
        <v>962</v>
      </c>
      <c r="B8" s="169"/>
      <c r="C8" s="748"/>
      <c r="D8" s="745">
        <v>3039399061.9489746</v>
      </c>
      <c r="E8" s="733">
        <v>2932126153.8801875</v>
      </c>
      <c r="F8" s="733">
        <v>218966797.37000099</v>
      </c>
      <c r="G8" s="733">
        <v>405761038.22000301</v>
      </c>
      <c r="H8" s="733">
        <f t="shared" ref="H8:H12" si="1">E8/12*8</f>
        <v>1954750769.2534583</v>
      </c>
      <c r="I8" s="44">
        <f t="shared" si="0"/>
        <v>-1548989731.0334554</v>
      </c>
      <c r="J8" s="330">
        <f>IF(I8=0,"",I8/H8)</f>
        <v>-0.79242313413951604</v>
      </c>
      <c r="K8" s="735">
        <f t="shared" ref="K8:K12" si="2">E8</f>
        <v>2932126153.8801875</v>
      </c>
    </row>
    <row r="9" spans="1:11" ht="12.75" customHeight="1" x14ac:dyDescent="0.25">
      <c r="A9" s="518" t="s">
        <v>453</v>
      </c>
      <c r="B9" s="169"/>
      <c r="C9" s="748"/>
      <c r="D9" s="745">
        <v>152193014.45782498</v>
      </c>
      <c r="E9" s="733">
        <v>152193014.45782498</v>
      </c>
      <c r="F9" s="733">
        <v>104871279.36999901</v>
      </c>
      <c r="G9" s="733">
        <v>251147138.25999749</v>
      </c>
      <c r="H9" s="733">
        <f t="shared" si="1"/>
        <v>101462009.63854998</v>
      </c>
      <c r="I9" s="44">
        <f t="shared" si="0"/>
        <v>149685128.6214475</v>
      </c>
      <c r="J9" s="330">
        <f>IF(I9=0,"",I9/H9)</f>
        <v>1.4752825136687948</v>
      </c>
      <c r="K9" s="735">
        <f t="shared" si="2"/>
        <v>152193014.45782498</v>
      </c>
    </row>
    <row r="10" spans="1:11" ht="12.75" customHeight="1" x14ac:dyDescent="0.25">
      <c r="A10" s="992" t="s">
        <v>1372</v>
      </c>
      <c r="B10" s="171"/>
      <c r="C10" s="748"/>
      <c r="D10" s="745">
        <v>675483240</v>
      </c>
      <c r="E10" s="733">
        <v>819982787</v>
      </c>
      <c r="F10" s="733"/>
      <c r="G10" s="733">
        <v>301948058.13999999</v>
      </c>
      <c r="H10" s="733">
        <f t="shared" si="1"/>
        <v>546655191.33333337</v>
      </c>
      <c r="I10" s="44">
        <f t="shared" si="0"/>
        <v>-244707133.19333339</v>
      </c>
      <c r="J10" s="330">
        <f>IF(I10=0,"",I10/H10)</f>
        <v>-0.44764439645487347</v>
      </c>
      <c r="K10" s="735">
        <f t="shared" si="2"/>
        <v>819982787</v>
      </c>
    </row>
    <row r="11" spans="1:11" ht="12.75" customHeight="1" x14ac:dyDescent="0.25">
      <c r="A11" s="992" t="s">
        <v>1373</v>
      </c>
      <c r="B11" s="171"/>
      <c r="C11" s="748"/>
      <c r="D11" s="745">
        <v>525891580.99999982</v>
      </c>
      <c r="E11" s="733">
        <v>526485334.99999982</v>
      </c>
      <c r="F11" s="733">
        <v>4215397.12</v>
      </c>
      <c r="G11" s="733">
        <v>34561789.240000002</v>
      </c>
      <c r="H11" s="733">
        <f t="shared" si="1"/>
        <v>350990223.33333319</v>
      </c>
      <c r="I11" s="44">
        <f t="shared" si="0"/>
        <v>-316428434.09333318</v>
      </c>
      <c r="J11" s="330">
        <f t="shared" ref="J11:J18" si="3">IF(I11=0,"",I11/H11)</f>
        <v>-0.90153062124702854</v>
      </c>
      <c r="K11" s="735">
        <f t="shared" si="2"/>
        <v>526485334.99999982</v>
      </c>
    </row>
    <row r="12" spans="1:11" ht="12.75" customHeight="1" x14ac:dyDescent="0.25">
      <c r="A12" s="86" t="s">
        <v>886</v>
      </c>
      <c r="B12" s="171"/>
      <c r="C12" s="748"/>
      <c r="D12" s="745">
        <v>185060483.86592242</v>
      </c>
      <c r="E12" s="733">
        <v>185169383.865922</v>
      </c>
      <c r="F12" s="733">
        <v>24978</v>
      </c>
      <c r="G12" s="733">
        <v>123508</v>
      </c>
      <c r="H12" s="733">
        <f t="shared" si="1"/>
        <v>123446255.91061467</v>
      </c>
      <c r="I12" s="44">
        <f t="shared" si="0"/>
        <v>-123322747.91061467</v>
      </c>
      <c r="J12" s="330">
        <f t="shared" si="3"/>
        <v>-0.99899949983019798</v>
      </c>
      <c r="K12" s="735">
        <f t="shared" si="2"/>
        <v>185169383.865922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-4980315359.5587177</v>
      </c>
      <c r="F15" s="733">
        <f>(((-499096406.78-1167576)+-1316488)+-1231860)+-878964</f>
        <v>-503691294.77999997</v>
      </c>
      <c r="G15" s="733">
        <v>-1168910093.0799999</v>
      </c>
      <c r="H15" s="733">
        <f t="shared" ref="H15:H17" si="4">E15/12*8</f>
        <v>-3320210239.705812</v>
      </c>
      <c r="I15" s="44">
        <f>H15-G15</f>
        <v>-2151300146.6258121</v>
      </c>
      <c r="J15" s="330">
        <f t="shared" si="3"/>
        <v>0.64794094087741516</v>
      </c>
      <c r="K15" s="735">
        <f t="shared" ref="K15:K17" si="5">E15</f>
        <v>-4980315359.5587177</v>
      </c>
    </row>
    <row r="16" spans="1:11" ht="12.75" customHeight="1" x14ac:dyDescent="0.25">
      <c r="A16" s="86" t="s">
        <v>452</v>
      </c>
      <c r="B16" s="171"/>
      <c r="C16" s="748"/>
      <c r="D16" s="745">
        <v>-31793212.220000003</v>
      </c>
      <c r="E16" s="733">
        <v>-36505334.219999969</v>
      </c>
      <c r="F16" s="733">
        <v>-7584129.6500000004</v>
      </c>
      <c r="G16" s="733">
        <v>-12188526.43</v>
      </c>
      <c r="H16" s="733">
        <f t="shared" si="4"/>
        <v>-24336889.479999978</v>
      </c>
      <c r="I16" s="44">
        <f>H16-G16</f>
        <v>-12148363.049999978</v>
      </c>
      <c r="J16" s="330">
        <f t="shared" si="3"/>
        <v>0.49917484565903486</v>
      </c>
      <c r="K16" s="735">
        <f t="shared" si="5"/>
        <v>-36505334.219999969</v>
      </c>
    </row>
    <row r="17" spans="1:11" ht="12.75" customHeight="1" x14ac:dyDescent="0.25">
      <c r="A17" s="86" t="s">
        <v>69</v>
      </c>
      <c r="B17" s="171"/>
      <c r="C17" s="748"/>
      <c r="D17" s="745">
        <v>-25080461.44304001</v>
      </c>
      <c r="E17" s="733">
        <v>-46080462</v>
      </c>
      <c r="F17" s="733"/>
      <c r="G17" s="733"/>
      <c r="H17" s="733">
        <f t="shared" si="4"/>
        <v>-30720308</v>
      </c>
      <c r="I17" s="44">
        <f>H17-G17</f>
        <v>-30720308</v>
      </c>
      <c r="J17" s="330">
        <f t="shared" si="3"/>
        <v>1</v>
      </c>
      <c r="K17" s="735">
        <f t="shared" si="5"/>
        <v>-46080462</v>
      </c>
    </row>
    <row r="18" spans="1:11" ht="12.75" customHeight="1" x14ac:dyDescent="0.25">
      <c r="A18" s="92" t="s">
        <v>889</v>
      </c>
      <c r="B18" s="233"/>
      <c r="C18" s="243">
        <f t="shared" ref="C18:H18" si="6">SUM(C7:C13)+SUM(C15:C17)</f>
        <v>0</v>
      </c>
      <c r="D18" s="74">
        <f t="shared" si="6"/>
        <v>752533430.43256187</v>
      </c>
      <c r="E18" s="73">
        <f t="shared" si="6"/>
        <v>594287085.52309227</v>
      </c>
      <c r="F18" s="73">
        <f t="shared" si="6"/>
        <v>-111105548.29999995</v>
      </c>
      <c r="G18" s="73">
        <f t="shared" si="6"/>
        <v>-50356601.979999781</v>
      </c>
      <c r="H18" s="73">
        <f t="shared" si="6"/>
        <v>396191390.3487277</v>
      </c>
      <c r="I18" s="73">
        <f>H18-G18</f>
        <v>446547992.32872748</v>
      </c>
      <c r="J18" s="331">
        <f t="shared" si="3"/>
        <v>1.1271017069191631</v>
      </c>
      <c r="K18" s="145">
        <f>SUM(K7:K13)+SUM(K15:K17)</f>
        <v>594287085.52309227</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-747190357.77999985</v>
      </c>
      <c r="F27" s="733">
        <v>-51590954.259999998</v>
      </c>
      <c r="G27" s="733">
        <v>-32648395.490000002</v>
      </c>
      <c r="H27" s="733">
        <f>E27/12*8</f>
        <v>-498126905.18666655</v>
      </c>
      <c r="I27" s="44">
        <f>H27-G27</f>
        <v>-465478509.69666654</v>
      </c>
      <c r="J27" s="330">
        <f t="shared" si="7"/>
        <v>0.93445767504213517</v>
      </c>
      <c r="K27" s="735">
        <f>E27</f>
        <v>-747190357.77999985</v>
      </c>
    </row>
    <row r="28" spans="1:11" ht="12.75" customHeight="1" x14ac:dyDescent="0.25">
      <c r="A28" s="92" t="s">
        <v>890</v>
      </c>
      <c r="B28" s="233"/>
      <c r="C28" s="545">
        <f t="shared" ref="C28:H28" si="8">SUM(C22:C25)+C27</f>
        <v>0</v>
      </c>
      <c r="D28" s="74">
        <f>SUM(D22:D25)+D27</f>
        <v>-580891580.99999988</v>
      </c>
      <c r="E28" s="73">
        <f t="shared" si="8"/>
        <v>-747190357.77999985</v>
      </c>
      <c r="F28" s="73">
        <f t="shared" si="8"/>
        <v>-51590954.259999998</v>
      </c>
      <c r="G28" s="73">
        <f t="shared" si="8"/>
        <v>-32648395.490000002</v>
      </c>
      <c r="H28" s="73">
        <f t="shared" si="8"/>
        <v>-498126905.18666655</v>
      </c>
      <c r="I28" s="73">
        <f>H28-G28</f>
        <v>-465478509.69666654</v>
      </c>
      <c r="J28" s="331">
        <f t="shared" si="7"/>
        <v>0.93445767504213517</v>
      </c>
      <c r="K28" s="145">
        <f>SUM(K22:K25)+K27</f>
        <v>-747190357.77999985</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E36/12*8</f>
        <v>-52804000</v>
      </c>
      <c r="I36" s="44">
        <f>H36-G36</f>
        <v>-32547809.629999999</v>
      </c>
      <c r="J36" s="330">
        <f t="shared" si="9"/>
        <v>0.61638909230361338</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-52804000</v>
      </c>
      <c r="I37" s="73">
        <f>H37-G37</f>
        <v>-32547809.629999999</v>
      </c>
      <c r="J37" s="331">
        <f t="shared" si="9"/>
        <v>0.61638909230361338</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-232109272.25690758</v>
      </c>
      <c r="F39" s="50">
        <f t="shared" si="11"/>
        <v>-182263288.93999994</v>
      </c>
      <c r="G39" s="50">
        <f t="shared" si="11"/>
        <v>-103261187.83999979</v>
      </c>
      <c r="H39" s="50">
        <f t="shared" si="11"/>
        <v>-154739514.83793885</v>
      </c>
      <c r="I39" s="327"/>
      <c r="J39" s="327"/>
      <c r="K39" s="194">
        <f>K18+K28+K37</f>
        <v>-232109272.25690758</v>
      </c>
    </row>
    <row r="40" spans="1:11" ht="12.75" customHeight="1" x14ac:dyDescent="0.25">
      <c r="A40" s="39" t="s">
        <v>505</v>
      </c>
      <c r="B40" s="169"/>
      <c r="C40" s="748"/>
      <c r="D40" s="745">
        <v>290000000</v>
      </c>
      <c r="E40" s="733">
        <v>518976967</v>
      </c>
      <c r="F40" s="273"/>
      <c r="G40" s="733">
        <v>470048249</v>
      </c>
      <c r="H40" s="44">
        <f>IF(E40=0, D40, E40)</f>
        <v>518976967</v>
      </c>
      <c r="I40" s="273"/>
      <c r="J40" s="273"/>
      <c r="K40" s="385">
        <f>G40</f>
        <v>470048249</v>
      </c>
    </row>
    <row r="41" spans="1:11" ht="12.75" customHeight="1" x14ac:dyDescent="0.25">
      <c r="A41" s="129" t="s">
        <v>55</v>
      </c>
      <c r="B41" s="119"/>
      <c r="C41" s="225">
        <f>C39+C40</f>
        <v>0</v>
      </c>
      <c r="D41" s="116">
        <f>D39+D40</f>
        <v>382435849.43256199</v>
      </c>
      <c r="E41" s="115">
        <f>E39+E40</f>
        <v>286867694.74309242</v>
      </c>
      <c r="F41" s="274"/>
      <c r="G41" s="115">
        <f>G39+G40</f>
        <v>366787061.16000021</v>
      </c>
      <c r="H41" s="115">
        <f>H39+H40</f>
        <v>364237452.16206115</v>
      </c>
      <c r="I41" s="274"/>
      <c r="J41" s="274"/>
      <c r="K41" s="190">
        <f>K39+K40</f>
        <v>237938976.74309242</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5" t="str">
        <f>muni&amp; " - "&amp;S71G&amp; " - "&amp;date</f>
        <v>KZN225 Msunduzi - Supporting Table SC1 Material variance explanations  - M08 February</v>
      </c>
      <c r="B1" s="1055"/>
      <c r="C1" s="1055"/>
      <c r="D1" s="1055"/>
      <c r="E1" s="1055"/>
    </row>
    <row r="2" spans="1:5" x14ac:dyDescent="0.25">
      <c r="A2" s="1037" t="str">
        <f>head27</f>
        <v>Ref</v>
      </c>
      <c r="B2" s="1044" t="str">
        <f>desc</f>
        <v>Description</v>
      </c>
      <c r="C2" s="269"/>
      <c r="D2" s="269"/>
      <c r="E2" s="275"/>
    </row>
    <row r="3" spans="1:5" x14ac:dyDescent="0.25">
      <c r="A3" s="1048"/>
      <c r="B3" s="1045"/>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c r="C6" s="748"/>
      <c r="D6" s="758"/>
      <c r="E6" s="758"/>
    </row>
    <row r="7" spans="1:5" ht="11.25" customHeight="1" x14ac:dyDescent="0.25">
      <c r="A7" s="169"/>
      <c r="B7" s="758"/>
      <c r="C7" s="748"/>
      <c r="D7" s="758"/>
      <c r="E7" s="758"/>
    </row>
    <row r="8" spans="1:5" ht="11.25" customHeight="1" x14ac:dyDescent="0.25">
      <c r="A8" s="169"/>
      <c r="B8" s="758"/>
      <c r="C8" s="748"/>
      <c r="D8" s="758"/>
      <c r="E8" s="758"/>
    </row>
    <row r="9" spans="1:5" ht="11.25" customHeight="1" x14ac:dyDescent="0.25">
      <c r="A9" s="169"/>
      <c r="B9" s="758"/>
      <c r="C9" s="748"/>
      <c r="D9" s="758"/>
      <c r="E9" s="758"/>
    </row>
    <row r="10" spans="1:5" ht="11.25" customHeight="1" x14ac:dyDescent="0.25">
      <c r="A10" s="169">
        <v>2</v>
      </c>
      <c r="B10" s="386" t="str">
        <f>'C4-FinPerf RE'!A24</f>
        <v>Expenditure By Type</v>
      </c>
      <c r="C10" s="387"/>
      <c r="D10" s="387"/>
      <c r="E10" s="387"/>
    </row>
    <row r="11" spans="1:5" ht="11.25" customHeight="1" x14ac:dyDescent="0.25">
      <c r="A11" s="169"/>
      <c r="B11" s="758"/>
      <c r="C11" s="748"/>
      <c r="D11" s="758"/>
      <c r="E11" s="758"/>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c r="B14" s="758"/>
      <c r="C14" s="748"/>
      <c r="D14" s="758"/>
      <c r="E14" s="758"/>
    </row>
    <row r="15" spans="1:5" ht="11.25" customHeight="1" x14ac:dyDescent="0.25">
      <c r="A15" s="169">
        <v>3</v>
      </c>
      <c r="B15" s="386" t="str">
        <f>RIGHT('C5-Capex'!A40,19)</f>
        <v>Capital Expenditure</v>
      </c>
      <c r="C15" s="387"/>
      <c r="D15" s="387"/>
      <c r="E15" s="387"/>
    </row>
    <row r="16" spans="1:5" ht="11.25" customHeight="1" x14ac:dyDescent="0.25">
      <c r="A16" s="169"/>
      <c r="B16" s="758"/>
      <c r="C16" s="748"/>
      <c r="D16" s="758"/>
      <c r="E16" s="758"/>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29"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5" t="str">
        <f>muni&amp; " - "&amp;S71H&amp; " - "&amp;Head57</f>
        <v>KZN225 Msunduzi - Supporting Table SC2 Monthly Budget Statement - performance indicators   - M08 February</v>
      </c>
      <c r="B1" s="1055"/>
      <c r="C1" s="1055"/>
      <c r="D1" s="1055"/>
      <c r="E1" s="1055"/>
      <c r="F1" s="1055"/>
      <c r="G1" s="1055"/>
      <c r="H1" s="1055"/>
    </row>
    <row r="2" spans="1:11" ht="12.75" x14ac:dyDescent="0.25">
      <c r="A2" s="1060" t="s">
        <v>554</v>
      </c>
      <c r="B2" s="1044" t="s">
        <v>772</v>
      </c>
      <c r="C2" s="1037" t="str">
        <f>head27</f>
        <v>Ref</v>
      </c>
      <c r="D2" s="138" t="str">
        <f>Head1</f>
        <v>2019/20</v>
      </c>
      <c r="E2" s="245" t="str">
        <f>Head2</f>
        <v>Budget Year 2020/21</v>
      </c>
      <c r="F2" s="229"/>
      <c r="G2" s="229"/>
      <c r="H2" s="230"/>
    </row>
    <row r="3" spans="1:11" ht="25.5" x14ac:dyDescent="0.25">
      <c r="A3" s="1061"/>
      <c r="B3" s="1045"/>
      <c r="C3" s="1048"/>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9.1474170348435677E-2</v>
      </c>
      <c r="G7" s="124">
        <f>IF(ISERROR((G42+G44)/G45),0,((G42+G44)/G45))</f>
        <v>7.0089730268414708E-3</v>
      </c>
      <c r="H7" s="276">
        <f>IF(ISERROR((H42+H44)/H45),0,((H42+H44)/H45))</f>
        <v>1.5891650905154837E-2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0.15661898686445591</v>
      </c>
      <c r="G10" s="124">
        <f>IF(ISERROR(G48/G49),0,(G48/G49))</f>
        <v>0.18447098806212286</v>
      </c>
      <c r="H10" s="276">
        <f>IF(ISERROR(H48/H49),0,(H48/H49))</f>
        <v>0.15661898686445591</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1.4972357566611085</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2.0018418250186891</v>
      </c>
      <c r="G13" s="124">
        <f>IF(ISERROR(G52/G53),0,(G52/G53))</f>
        <v>2.2129199253100147</v>
      </c>
      <c r="H13" s="276">
        <f>IF(ISERROR(H52/H53),0,(H52/H53))</f>
        <v>2.0018418250186891</v>
      </c>
    </row>
    <row r="14" spans="1:11" ht="12.75" customHeight="1" x14ac:dyDescent="0.25">
      <c r="A14" s="126" t="s">
        <v>738</v>
      </c>
      <c r="B14" s="123" t="s">
        <v>436</v>
      </c>
      <c r="C14" s="174"/>
      <c r="D14" s="120">
        <f>IF(ISERROR(D54/D53),0,(D54/D53))</f>
        <v>0</v>
      </c>
      <c r="E14" s="282">
        <f>IF(ISERROR(E54/E53),0,(E54/E53))</f>
        <v>0.26526391167695329</v>
      </c>
      <c r="F14" s="124">
        <f>IF(ISERROR(F54/F53),0,(F54/F53))</f>
        <v>0.21315022863159416</v>
      </c>
      <c r="G14" s="124">
        <f>IF(ISERROR(G54/G53),0,(G54/G53))</f>
        <v>0.18259973582515937</v>
      </c>
      <c r="H14" s="276">
        <f>IF(ISERROR(H54/H53),0,(H54/H53))</f>
        <v>0.21315022863159416</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0.36846844655614924</v>
      </c>
      <c r="G17" s="124">
        <f>IF(ISERROR(G59/G55),0,(G59/G55))</f>
        <v>0.60544545392006832</v>
      </c>
      <c r="H17" s="276">
        <f>IF(ISERROR(H59/H55),0,(H59/H55))</f>
        <v>0.36846844655614924</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0.2432458135998426</v>
      </c>
      <c r="G26" s="124">
        <f>IF(ISERROR(G40/G55),0,(G40/G55))</f>
        <v>0.23938029921743423</v>
      </c>
      <c r="H26" s="276">
        <f>IF(ISERROR(H40/H55),0,(H40/H55))</f>
        <v>0.2432458135998426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8.5600617304391807E-2</v>
      </c>
      <c r="G28" s="124">
        <f>IF(ISERROR((G42+G44)/G55),0,((G42+G44)/G55))</f>
        <v>6.5280659410375834E-3</v>
      </c>
      <c r="H28" s="276">
        <f>IF(ISERROR((H42+H44)/H55),0,((H42+H44)/H55))</f>
        <v>1.487124859712285E-2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11205428173.43997</v>
      </c>
      <c r="G39" s="97">
        <f>'C6-FinPos'!F26</f>
        <v>10698729545.43</v>
      </c>
      <c r="H39" s="48">
        <f>'C6-FinPos'!G26</f>
        <v>11205428173.43997</v>
      </c>
    </row>
    <row r="40" spans="1:9" ht="12.75" customHeight="1" x14ac:dyDescent="0.25">
      <c r="A40" s="42" t="str">
        <f>'C4-FinPerf RE'!A25</f>
        <v>Employee related costs</v>
      </c>
      <c r="B40" s="67"/>
      <c r="C40" s="67"/>
      <c r="D40" s="84">
        <f>'C4-FinPerf RE'!C25</f>
        <v>0</v>
      </c>
      <c r="E40" s="84">
        <f>'C4-FinPerf RE'!D25</f>
        <v>1478324301.5741799</v>
      </c>
      <c r="F40" s="84">
        <f>'C4-FinPerf RE'!E25</f>
        <v>1474657970.2495086</v>
      </c>
      <c r="G40" s="97">
        <f>'C4-FinPerf RE'!G25</f>
        <v>915634113.61000085</v>
      </c>
      <c r="H40" s="48">
        <f>'C4-FinPerf RE'!K25</f>
        <v>1474657970.2495086</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24969974.100000001</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482441449.27473998</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5673151027.4213114</v>
      </c>
      <c r="G45" s="97">
        <f>'C4-FinPerf RE'!G36</f>
        <v>3562572434.5600014</v>
      </c>
      <c r="H45" s="48">
        <f>'C4-FinPerf RE'!K36</f>
        <v>5673151027.4213114</v>
      </c>
    </row>
    <row r="46" spans="1:9" ht="12.75" customHeight="1" x14ac:dyDescent="0.25">
      <c r="A46" s="42" t="str">
        <f>'C5-Capex'!A40</f>
        <v>Total Capital Expenditure</v>
      </c>
      <c r="B46" s="67"/>
      <c r="C46" s="67"/>
      <c r="D46" s="84">
        <f>'C5-Capex'!C40</f>
        <v>0</v>
      </c>
      <c r="E46" s="84">
        <f>'C5-Capex'!D40</f>
        <v>580891581</v>
      </c>
      <c r="F46" s="84">
        <f>'C5-Capex'!E40</f>
        <v>747190359.77999997</v>
      </c>
      <c r="G46" s="97">
        <f>'C5-Capex'!G40</f>
        <v>286003679.24000001</v>
      </c>
      <c r="H46" s="48">
        <f>'C5-Capex'!K40</f>
        <v>747190359.77999997</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1373190758.9767978</v>
      </c>
      <c r="G48" s="84">
        <f>'C6-FinPos'!F30+'C6-FinPos'!F31+'C6-FinPos'!F33+'C6-FinPos'!F38</f>
        <v>1557380514.0700002</v>
      </c>
      <c r="H48" s="48">
        <f>'C6-FinPos'!G30+'C6-FinPos'!G31+'C6-FinPos'!G33+'C6-FinPos'!G38</f>
        <v>1373190758.9767978</v>
      </c>
    </row>
    <row r="49" spans="1:8" ht="12.75" customHeight="1" x14ac:dyDescent="0.25">
      <c r="A49" s="42" t="s">
        <v>532</v>
      </c>
      <c r="B49" s="67"/>
      <c r="C49" s="67"/>
      <c r="D49" s="84">
        <f>'C6-FinPos'!C48</f>
        <v>0</v>
      </c>
      <c r="E49" s="84">
        <f>'C6-FinPos'!D48</f>
        <v>8779187113.8762474</v>
      </c>
      <c r="F49" s="84">
        <f>'C6-FinPos'!E48</f>
        <v>8767715756.9995632</v>
      </c>
      <c r="G49" s="97">
        <f>'C6-FinPos'!F48</f>
        <v>8442414335.3400002</v>
      </c>
      <c r="H49" s="48">
        <f>'C6-FinPos'!G48</f>
        <v>8767715756.9995632</v>
      </c>
    </row>
    <row r="50" spans="1:8" ht="12.75" customHeight="1" x14ac:dyDescent="0.25">
      <c r="A50" s="42" t="str">
        <f>'C6-FinPos'!A47</f>
        <v>Reserves</v>
      </c>
      <c r="B50" s="67"/>
      <c r="C50" s="67"/>
      <c r="D50" s="84">
        <f>'C6-FinPos'!C47</f>
        <v>0</v>
      </c>
      <c r="E50" s="84">
        <f>'C6-FinPos'!D47</f>
        <v>228913258</v>
      </c>
      <c r="F50" s="84">
        <f>'C6-FinPos'!E47</f>
        <v>228913258</v>
      </c>
      <c r="G50" s="97">
        <f>'C6-FinPos'!F47</f>
        <v>190563172.41999999</v>
      </c>
      <c r="H50" s="48">
        <f>'C6-FinPos'!G47</f>
        <v>228913258</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2694173744.3592668</v>
      </c>
      <c r="G52" s="97">
        <f>'C6-FinPos'!F13</f>
        <v>3178250664.8000002</v>
      </c>
      <c r="H52" s="48">
        <f>'C6-FinPos'!G13</f>
        <v>2694173744.3592668</v>
      </c>
    </row>
    <row r="53" spans="1:8" ht="12.75" customHeight="1" x14ac:dyDescent="0.25">
      <c r="A53" s="42" t="str">
        <f>'C6-FinPos'!A29</f>
        <v>Current liabilities</v>
      </c>
      <c r="B53" s="67"/>
      <c r="C53" s="67"/>
      <c r="D53" s="84">
        <f>'C6-FinPos'!C35</f>
        <v>0</v>
      </c>
      <c r="E53" s="84">
        <f>'C6-FinPos'!D35</f>
        <v>1441718351.4141357</v>
      </c>
      <c r="F53" s="84">
        <f>'C6-FinPos'!E35</f>
        <v>1345847464.413985</v>
      </c>
      <c r="G53" s="97">
        <f>'C6-FinPos'!F35</f>
        <v>1436224884.8</v>
      </c>
      <c r="H53" s="48">
        <f>'C6-FinPos'!G35</f>
        <v>1345847464.413985</v>
      </c>
    </row>
    <row r="54" spans="1:8" ht="12.75" customHeight="1" x14ac:dyDescent="0.25">
      <c r="A54" s="42" t="s">
        <v>534</v>
      </c>
      <c r="B54" s="67"/>
      <c r="C54" s="67"/>
      <c r="D54" s="84">
        <f>'C6-FinPos'!C7+'C6-FinPos'!C8</f>
        <v>0</v>
      </c>
      <c r="E54" s="84">
        <f>'C6-FinPos'!D7+'C6-FinPos'!D8</f>
        <v>382435849.43256199</v>
      </c>
      <c r="F54" s="84">
        <f>'C6-FinPos'!E7+'C6-FinPos'!E8</f>
        <v>286867694.74309218</v>
      </c>
      <c r="G54" s="97">
        <f>'C6-FinPos'!F7+'C6-FinPos'!F8</f>
        <v>262254284.54999995</v>
      </c>
      <c r="H54" s="48">
        <f>'C6-FinPos'!G7+'C6-FinPos'!G8</f>
        <v>286867694.74309218</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6062418704.8720617</v>
      </c>
      <c r="G55" s="97">
        <f>'C4-FinPerf RE'!G22</f>
        <v>3825018669.4700003</v>
      </c>
      <c r="H55" s="48">
        <f>'C4-FinPerf RE'!K22</f>
        <v>6062418704.8720617</v>
      </c>
    </row>
    <row r="56" spans="1:8" ht="12.75" customHeight="1" x14ac:dyDescent="0.25">
      <c r="A56" s="42" t="str">
        <f>'C4-FinPerf RE'!A19</f>
        <v>Transfers and subsidies</v>
      </c>
      <c r="B56" s="67"/>
      <c r="C56" s="67"/>
      <c r="D56" s="84">
        <f>'C4-FinPerf RE'!C19</f>
        <v>0</v>
      </c>
      <c r="E56" s="84">
        <f>'C4-FinPerf RE'!D19</f>
        <v>675483240</v>
      </c>
      <c r="F56" s="84">
        <f>'C4-FinPerf RE'!E19</f>
        <v>819982787</v>
      </c>
      <c r="G56" s="97">
        <f>'C4-FinPerf RE'!G19</f>
        <v>578024097.55999994</v>
      </c>
      <c r="H56" s="48">
        <f>'C4-FinPerf RE'!K19</f>
        <v>819982787</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526485334.99999982</v>
      </c>
      <c r="G57" s="97">
        <f>'C4-FinPerf RE'!G39</f>
        <v>285306032.31999999</v>
      </c>
      <c r="H57" s="48">
        <f>'C4-FinPerf RE'!K39</f>
        <v>526485334.99999982</v>
      </c>
    </row>
    <row r="58" spans="1:8" ht="12.75" customHeight="1" x14ac:dyDescent="0.25">
      <c r="A58" s="42" t="s">
        <v>446</v>
      </c>
      <c r="B58" s="67"/>
      <c r="C58" s="67"/>
      <c r="D58" s="84">
        <f>'C7-CFlow'!C12+'C7-CFlow'!C36</f>
        <v>0</v>
      </c>
      <c r="E58" s="84">
        <f>'C7-CFlow'!D12+'C7-CFlow'!D36</f>
        <v>105854483.86592242</v>
      </c>
      <c r="F58" s="84">
        <f>'C7-CFlow'!E12+'C7-CFlow'!E36</f>
        <v>105963383.865922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2233810002.5571508</v>
      </c>
      <c r="G59" s="97">
        <f>'C6-FinPos'!F9+'C6-FinPos'!F10+'C6-FinPos'!F11+'C6-FinPos'!F16</f>
        <v>2315840164.5900002</v>
      </c>
      <c r="H59" s="48">
        <f>'C6-FinPos'!G9+'C6-FinPos'!G10+'C6-FinPos'!G11+'C6-FinPos'!G16</f>
        <v>2233810002.5571508</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2242004099.6500001</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286867366.17229217</v>
      </c>
      <c r="G61" s="97">
        <f>'C6-FinPos'!F7+'C6-FinPos'!F8+'C6-FinPos'!F17-'C6-FinPos'!F30</f>
        <v>262254284.54999995</v>
      </c>
      <c r="H61" s="48">
        <f>'C6-FinPos'!G7+'C6-FinPos'!G8+'C6-FinPos'!G17-'C6-FinPos'!G30</f>
        <v>286867366.17229217</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-1079064.27</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D35" sqref="D35"/>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5" t="str">
        <f>muni&amp; " - "&amp;S71I&amp; " - "&amp;Head57</f>
        <v>KZN225 Msunduzi - Supporting Table SC3 Monthly Budget Statement - aged debtors - M08 February</v>
      </c>
      <c r="B1" s="1055"/>
      <c r="C1" s="1062"/>
      <c r="D1" s="1062"/>
      <c r="E1" s="1062"/>
      <c r="F1" s="1062"/>
      <c r="G1" s="1062"/>
      <c r="H1" s="1062"/>
      <c r="I1" s="1062"/>
      <c r="J1" s="1062"/>
      <c r="K1" s="1062"/>
      <c r="L1" s="1062"/>
      <c r="M1" s="1062"/>
      <c r="N1" s="162"/>
      <c r="O1" s="406"/>
    </row>
    <row r="2" spans="1:16" ht="13.35" customHeight="1" x14ac:dyDescent="0.25">
      <c r="A2" s="355" t="str">
        <f>desc</f>
        <v>Description</v>
      </c>
      <c r="B2" s="894"/>
      <c r="C2" s="1063" t="str">
        <f>Head2</f>
        <v>Budget Year 2020/21</v>
      </c>
      <c r="D2" s="1064"/>
      <c r="E2" s="1064"/>
      <c r="F2" s="1064"/>
      <c r="G2" s="1064"/>
      <c r="H2" s="1064"/>
      <c r="I2" s="1064"/>
      <c r="J2" s="1064"/>
      <c r="K2" s="1064"/>
      <c r="L2" s="1064"/>
      <c r="M2" s="1064"/>
      <c r="N2" s="1065"/>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120908168.33</v>
      </c>
      <c r="D5" s="733">
        <v>39353499.890000001</v>
      </c>
      <c r="E5" s="733">
        <v>40817973.280000001</v>
      </c>
      <c r="F5" s="733">
        <v>39236152.18</v>
      </c>
      <c r="G5" s="733">
        <v>40894235.799999997</v>
      </c>
      <c r="H5" s="733">
        <v>30147404.25</v>
      </c>
      <c r="I5" s="733">
        <v>164663060.25999999</v>
      </c>
      <c r="J5" s="744">
        <v>1336520847.99</v>
      </c>
      <c r="K5" s="134">
        <f>SUM(C5:J5)</f>
        <v>1812541341.98</v>
      </c>
      <c r="L5" s="134">
        <f>SUM(F5:J5)</f>
        <v>1611461700.48</v>
      </c>
      <c r="M5" s="747"/>
      <c r="N5" s="747">
        <v>998915113.30999994</v>
      </c>
      <c r="O5" s="912"/>
    </row>
    <row r="6" spans="1:16" ht="12.75" customHeight="1" x14ac:dyDescent="0.25">
      <c r="A6" s="39" t="s">
        <v>1079</v>
      </c>
      <c r="B6" s="169">
        <v>1300</v>
      </c>
      <c r="C6" s="745">
        <v>98985032.730000004</v>
      </c>
      <c r="D6" s="733">
        <v>39535659.43</v>
      </c>
      <c r="E6" s="733">
        <v>18359941.379999999</v>
      </c>
      <c r="F6" s="733">
        <v>11900040.32</v>
      </c>
      <c r="G6" s="733">
        <v>15495820.4</v>
      </c>
      <c r="H6" s="733">
        <v>12014358.49</v>
      </c>
      <c r="I6" s="733">
        <v>41320071.630000003</v>
      </c>
      <c r="J6" s="744">
        <v>146953788.72999999</v>
      </c>
      <c r="K6" s="134">
        <f>SUM(C6:J6)</f>
        <v>384564713.11000001</v>
      </c>
      <c r="L6" s="134">
        <f t="shared" ref="L6:L12" si="0">SUM(F6:J6)</f>
        <v>227684079.56999999</v>
      </c>
      <c r="M6" s="747"/>
      <c r="N6" s="747">
        <v>90036034.530000001</v>
      </c>
      <c r="O6" s="912"/>
    </row>
    <row r="7" spans="1:16" ht="12.75" customHeight="1" x14ac:dyDescent="0.25">
      <c r="A7" s="39" t="s">
        <v>1078</v>
      </c>
      <c r="B7" s="169">
        <v>1400</v>
      </c>
      <c r="C7" s="745">
        <v>148255403.77000001</v>
      </c>
      <c r="D7" s="733">
        <v>32064477.600000001</v>
      </c>
      <c r="E7" s="733">
        <v>28339903.66</v>
      </c>
      <c r="F7" s="733">
        <v>47319668</v>
      </c>
      <c r="G7" s="733">
        <v>24857303.449999999</v>
      </c>
      <c r="H7" s="733">
        <v>25116677.039999999</v>
      </c>
      <c r="I7" s="733">
        <v>115213764.77</v>
      </c>
      <c r="J7" s="744">
        <v>562093486.38999999</v>
      </c>
      <c r="K7" s="134">
        <f t="shared" ref="K7:K13" si="1">SUM(C7:J7)</f>
        <v>983260684.68000007</v>
      </c>
      <c r="L7" s="134">
        <f t="shared" si="0"/>
        <v>774600899.64999998</v>
      </c>
      <c r="M7" s="747"/>
      <c r="N7" s="747">
        <v>412070749.01999998</v>
      </c>
      <c r="O7" s="912"/>
    </row>
    <row r="8" spans="1:16" ht="12.75" customHeight="1" x14ac:dyDescent="0.25">
      <c r="A8" s="39" t="s">
        <v>1080</v>
      </c>
      <c r="B8" s="169">
        <v>1500</v>
      </c>
      <c r="C8" s="745">
        <v>25315899.809999999</v>
      </c>
      <c r="D8" s="733">
        <v>6273093.0800000001</v>
      </c>
      <c r="E8" s="733">
        <v>6062120.8399999999</v>
      </c>
      <c r="F8" s="733">
        <v>5862524.0599999996</v>
      </c>
      <c r="G8" s="733">
        <v>5689146.4000000004</v>
      </c>
      <c r="H8" s="733">
        <v>4992402.7300000004</v>
      </c>
      <c r="I8" s="733">
        <v>26648789.27</v>
      </c>
      <c r="J8" s="744">
        <v>238101389.97</v>
      </c>
      <c r="K8" s="134">
        <f t="shared" si="1"/>
        <v>318945366.15999997</v>
      </c>
      <c r="L8" s="134">
        <f t="shared" si="0"/>
        <v>281294252.43000001</v>
      </c>
      <c r="M8" s="747"/>
      <c r="N8" s="747">
        <v>189203075.00999999</v>
      </c>
      <c r="O8" s="912"/>
    </row>
    <row r="9" spans="1:16" ht="12.75" customHeight="1" x14ac:dyDescent="0.25">
      <c r="A9" s="39" t="s">
        <v>1081</v>
      </c>
      <c r="B9" s="169">
        <v>1600</v>
      </c>
      <c r="C9" s="745">
        <v>14630740.49</v>
      </c>
      <c r="D9" s="733">
        <v>3385557.5</v>
      </c>
      <c r="E9" s="733">
        <v>3160209.55</v>
      </c>
      <c r="F9" s="733">
        <v>2995118.34</v>
      </c>
      <c r="G9" s="733">
        <v>2920138.74</v>
      </c>
      <c r="H9" s="733">
        <v>2694823.83</v>
      </c>
      <c r="I9" s="733">
        <v>14185522.76</v>
      </c>
      <c r="J9" s="744">
        <v>136181839.19</v>
      </c>
      <c r="K9" s="134">
        <f t="shared" si="1"/>
        <v>180153950.40000001</v>
      </c>
      <c r="L9" s="134">
        <f>SUM(F9:J9)</f>
        <v>158977442.86000001</v>
      </c>
      <c r="M9" s="747"/>
      <c r="N9" s="747">
        <v>105730359.75</v>
      </c>
      <c r="O9" s="912"/>
    </row>
    <row r="10" spans="1:16" ht="12.75" customHeight="1" x14ac:dyDescent="0.25">
      <c r="A10" s="39" t="s">
        <v>1082</v>
      </c>
      <c r="B10" s="169">
        <v>1700</v>
      </c>
      <c r="C10" s="745">
        <v>2886564.11</v>
      </c>
      <c r="D10" s="733">
        <v>873094.53</v>
      </c>
      <c r="E10" s="733">
        <v>790864.04</v>
      </c>
      <c r="F10" s="733">
        <v>786692.83</v>
      </c>
      <c r="G10" s="733">
        <v>659950.14</v>
      </c>
      <c r="H10" s="733">
        <v>646612.55000000005</v>
      </c>
      <c r="I10" s="733">
        <v>6188219.2699999996</v>
      </c>
      <c r="J10" s="744">
        <v>42355793.329999998</v>
      </c>
      <c r="K10" s="134">
        <f t="shared" si="1"/>
        <v>55187790.799999997</v>
      </c>
      <c r="L10" s="134">
        <f>SUM(F10:J10)</f>
        <v>50637268.119999997</v>
      </c>
      <c r="M10" s="747"/>
      <c r="N10" s="747">
        <v>32944687.719999999</v>
      </c>
      <c r="O10" s="912"/>
    </row>
    <row r="11" spans="1:16" ht="12.75" customHeight="1" x14ac:dyDescent="0.25">
      <c r="A11" s="39" t="s">
        <v>1083</v>
      </c>
      <c r="B11" s="169">
        <v>1810</v>
      </c>
      <c r="C11" s="745">
        <v>33985111.43</v>
      </c>
      <c r="D11" s="733">
        <v>16907781.41</v>
      </c>
      <c r="E11" s="733">
        <v>16968243.57</v>
      </c>
      <c r="F11" s="733">
        <v>16122300.140000001</v>
      </c>
      <c r="G11" s="733">
        <v>16181725.060000001</v>
      </c>
      <c r="H11" s="733">
        <v>15579013.720000001</v>
      </c>
      <c r="I11" s="733">
        <v>121092959.90000001</v>
      </c>
      <c r="J11" s="744">
        <v>524258280.66000003</v>
      </c>
      <c r="K11" s="134">
        <f t="shared" si="1"/>
        <v>761095415.8900001</v>
      </c>
      <c r="L11" s="134">
        <f t="shared" si="0"/>
        <v>693234279.48000002</v>
      </c>
      <c r="M11" s="747"/>
      <c r="N11" s="747">
        <v>262336305.49000001</v>
      </c>
      <c r="O11" s="912"/>
      <c r="P11" s="96"/>
    </row>
    <row r="12" spans="1:16" ht="12.75" customHeight="1" x14ac:dyDescent="0.25">
      <c r="A12" s="39" t="s">
        <v>1084</v>
      </c>
      <c r="B12" s="169">
        <v>1820</v>
      </c>
      <c r="C12" s="745">
        <v>0</v>
      </c>
      <c r="D12" s="733">
        <v>0</v>
      </c>
      <c r="E12" s="733">
        <v>0</v>
      </c>
      <c r="F12" s="733">
        <v>0</v>
      </c>
      <c r="G12" s="733">
        <v>0</v>
      </c>
      <c r="H12" s="733">
        <v>0</v>
      </c>
      <c r="I12" s="733">
        <v>0</v>
      </c>
      <c r="J12" s="744">
        <v>0</v>
      </c>
      <c r="K12" s="134">
        <f t="shared" si="1"/>
        <v>0</v>
      </c>
      <c r="L12" s="134">
        <f t="shared" si="0"/>
        <v>0</v>
      </c>
      <c r="M12" s="747"/>
      <c r="N12" s="747"/>
      <c r="O12" s="912"/>
      <c r="P12" s="96"/>
    </row>
    <row r="13" spans="1:16" ht="12.75" customHeight="1" x14ac:dyDescent="0.25">
      <c r="A13" s="39" t="s">
        <v>718</v>
      </c>
      <c r="B13" s="169">
        <v>1900</v>
      </c>
      <c r="C13" s="745">
        <v>-4276641.59</v>
      </c>
      <c r="D13" s="733">
        <v>27148.83</v>
      </c>
      <c r="E13" s="733">
        <v>45871.41</v>
      </c>
      <c r="F13" s="733">
        <v>14988.93</v>
      </c>
      <c r="G13" s="733">
        <v>108926.16</v>
      </c>
      <c r="H13" s="733">
        <v>124974.92</v>
      </c>
      <c r="I13" s="733">
        <v>1443365.6</v>
      </c>
      <c r="J13" s="744">
        <v>315458514.16000003</v>
      </c>
      <c r="K13" s="134">
        <f t="shared" si="1"/>
        <v>312947148.42000002</v>
      </c>
      <c r="L13" s="134">
        <f>SUM(F13:J13)</f>
        <v>317150769.77000004</v>
      </c>
      <c r="M13" s="747"/>
      <c r="N13" s="747">
        <v>314944996.63</v>
      </c>
      <c r="O13" s="912"/>
    </row>
    <row r="14" spans="1:16" ht="12.75" customHeight="1" x14ac:dyDescent="0.25">
      <c r="A14" s="53" t="s">
        <v>1085</v>
      </c>
      <c r="B14" s="284">
        <v>2000</v>
      </c>
      <c r="C14" s="56">
        <f t="shared" ref="C14:N14" si="2">SUM(C5:C13)</f>
        <v>440690279.0800001</v>
      </c>
      <c r="D14" s="55">
        <f t="shared" si="2"/>
        <v>138420312.27000001</v>
      </c>
      <c r="E14" s="55">
        <f t="shared" si="2"/>
        <v>114545127.72999999</v>
      </c>
      <c r="F14" s="55">
        <f t="shared" si="2"/>
        <v>124237484.80000001</v>
      </c>
      <c r="G14" s="55">
        <f t="shared" si="2"/>
        <v>106807246.14999999</v>
      </c>
      <c r="H14" s="55">
        <f t="shared" si="2"/>
        <v>91316267.530000001</v>
      </c>
      <c r="I14" s="55">
        <f t="shared" si="2"/>
        <v>490755753.45999992</v>
      </c>
      <c r="J14" s="83">
        <f t="shared" si="2"/>
        <v>3301923940.4199996</v>
      </c>
      <c r="K14" s="112">
        <f t="shared" si="2"/>
        <v>4808696411.4400005</v>
      </c>
      <c r="L14" s="112">
        <f>SUM(L5:L13)</f>
        <v>4115040692.3599997</v>
      </c>
      <c r="M14" s="54">
        <f t="shared" si="2"/>
        <v>0</v>
      </c>
      <c r="N14" s="54">
        <f t="shared" si="2"/>
        <v>2406181321.46</v>
      </c>
      <c r="O14" s="913"/>
    </row>
    <row r="15" spans="1:16" ht="12.75" customHeight="1" x14ac:dyDescent="0.25">
      <c r="A15" s="313" t="str">
        <f>Head1&amp;" - totals only"</f>
        <v>2019/20 - totals only</v>
      </c>
      <c r="B15" s="367"/>
      <c r="C15" s="745">
        <v>642595431.96000004</v>
      </c>
      <c r="D15" s="745">
        <v>108240381.34</v>
      </c>
      <c r="E15" s="745">
        <v>44009736.210000008</v>
      </c>
      <c r="F15" s="745">
        <v>108503285.74000002</v>
      </c>
      <c r="G15" s="745">
        <v>76879044.390000001</v>
      </c>
      <c r="H15" s="745">
        <v>93223283.939999998</v>
      </c>
      <c r="I15" s="745">
        <v>428350856.12</v>
      </c>
      <c r="J15" s="745">
        <v>2602563840.0400004</v>
      </c>
      <c r="K15" s="795">
        <f>SUM(C15:J15)</f>
        <v>4104365859.7400007</v>
      </c>
      <c r="L15" s="368">
        <f>SUM(F15:J15)</f>
        <v>3309520310.2300005</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24865137.27</v>
      </c>
      <c r="D17" s="733">
        <v>10475313.4</v>
      </c>
      <c r="E17" s="733">
        <v>9286082.2899999991</v>
      </c>
      <c r="F17" s="733">
        <v>10736452.960000001</v>
      </c>
      <c r="G17" s="733">
        <v>7045723.25</v>
      </c>
      <c r="H17" s="733">
        <v>7004584.7300000004</v>
      </c>
      <c r="I17" s="733">
        <v>30207126.75</v>
      </c>
      <c r="J17" s="744">
        <v>127133029.56</v>
      </c>
      <c r="K17" s="134">
        <f>SUM(C17:J17)</f>
        <v>226753450.21000001</v>
      </c>
      <c r="L17" s="645">
        <f>SUM(F17:J17)</f>
        <v>182126917.25</v>
      </c>
      <c r="M17" s="747"/>
      <c r="N17" s="748">
        <v>234146848.66999999</v>
      </c>
    </row>
    <row r="18" spans="1:14" ht="12.75" customHeight="1" x14ac:dyDescent="0.25">
      <c r="A18" s="39" t="s">
        <v>1087</v>
      </c>
      <c r="B18" s="169">
        <v>2300</v>
      </c>
      <c r="C18" s="745">
        <v>187158167.25</v>
      </c>
      <c r="D18" s="733">
        <v>43606637.259999998</v>
      </c>
      <c r="E18" s="733">
        <v>23284537.800000001</v>
      </c>
      <c r="F18" s="733">
        <v>22063113.210000001</v>
      </c>
      <c r="G18" s="733">
        <v>19730456.510000002</v>
      </c>
      <c r="H18" s="733">
        <v>15156338.710000001</v>
      </c>
      <c r="I18" s="733">
        <v>74002493.75</v>
      </c>
      <c r="J18" s="744">
        <v>339400168.89999998</v>
      </c>
      <c r="K18" s="134">
        <f>SUM(C18:J18)</f>
        <v>724401913.38999987</v>
      </c>
      <c r="L18" s="645">
        <f>SUM(F18:J18)</f>
        <v>470352571.07999998</v>
      </c>
      <c r="M18" s="747"/>
      <c r="N18" s="748">
        <v>81533684.739999995</v>
      </c>
    </row>
    <row r="19" spans="1:14" ht="12.75" customHeight="1" x14ac:dyDescent="0.25">
      <c r="A19" s="39" t="s">
        <v>685</v>
      </c>
      <c r="B19" s="169">
        <v>2400</v>
      </c>
      <c r="C19" s="745">
        <v>231941977.22999999</v>
      </c>
      <c r="D19" s="733">
        <v>79406874.560000002</v>
      </c>
      <c r="E19" s="733">
        <v>77365312.400000006</v>
      </c>
      <c r="F19" s="733">
        <v>84910908.069999993</v>
      </c>
      <c r="G19" s="733">
        <v>75444969.170000002</v>
      </c>
      <c r="H19" s="733">
        <v>64252310.590000004</v>
      </c>
      <c r="I19" s="733">
        <v>363477229.51999998</v>
      </c>
      <c r="J19" s="744">
        <v>2643047687.96</v>
      </c>
      <c r="K19" s="134">
        <f>SUM(C19:J19)</f>
        <v>3619847269.5</v>
      </c>
      <c r="L19" s="645">
        <f>SUM(F19:J19)</f>
        <v>3231133105.3099999</v>
      </c>
      <c r="M19" s="747"/>
      <c r="N19" s="748">
        <v>1939643496.0599999</v>
      </c>
    </row>
    <row r="20" spans="1:14" ht="12.75" customHeight="1" x14ac:dyDescent="0.25">
      <c r="A20" s="39" t="s">
        <v>718</v>
      </c>
      <c r="B20" s="169">
        <v>2500</v>
      </c>
      <c r="C20" s="745">
        <v>-3275002.67</v>
      </c>
      <c r="D20" s="733">
        <v>4931487.05</v>
      </c>
      <c r="E20" s="733">
        <v>4609195.24</v>
      </c>
      <c r="F20" s="733">
        <v>6527010.5599999996</v>
      </c>
      <c r="G20" s="733">
        <v>4586097.22</v>
      </c>
      <c r="H20" s="733">
        <v>4903033.5</v>
      </c>
      <c r="I20" s="733">
        <v>23068903.440000001</v>
      </c>
      <c r="J20" s="744">
        <v>192343054</v>
      </c>
      <c r="K20" s="134">
        <f>SUM(C20:J20)</f>
        <v>237693778.34</v>
      </c>
      <c r="L20" s="645">
        <f>SUM(F20:J20)</f>
        <v>231428098.72</v>
      </c>
      <c r="M20" s="747"/>
      <c r="N20" s="749">
        <v>150857291.99000001</v>
      </c>
    </row>
    <row r="21" spans="1:14" ht="12.75" customHeight="1" x14ac:dyDescent="0.25">
      <c r="A21" s="53" t="s">
        <v>1090</v>
      </c>
      <c r="B21" s="284">
        <v>2600</v>
      </c>
      <c r="C21" s="56">
        <f t="shared" ref="C21:I21" si="3">SUM(C17:C20)</f>
        <v>440690279.07999998</v>
      </c>
      <c r="D21" s="55">
        <f t="shared" si="3"/>
        <v>138420312.27000001</v>
      </c>
      <c r="E21" s="55">
        <f t="shared" si="3"/>
        <v>114545127.73</v>
      </c>
      <c r="F21" s="55">
        <f t="shared" si="3"/>
        <v>124237484.8</v>
      </c>
      <c r="G21" s="55">
        <f t="shared" si="3"/>
        <v>106807246.15000001</v>
      </c>
      <c r="H21" s="55">
        <f t="shared" si="3"/>
        <v>91316267.530000001</v>
      </c>
      <c r="I21" s="55">
        <f t="shared" si="3"/>
        <v>490755753.45999998</v>
      </c>
      <c r="J21" s="83">
        <f>SUM(J17:J20)</f>
        <v>3301923940.4200001</v>
      </c>
      <c r="K21" s="112">
        <f>SUM(K17:K20)</f>
        <v>4808696411.4400005</v>
      </c>
      <c r="L21" s="914">
        <f>SUM(L17:L20)</f>
        <v>4115040692.3599997</v>
      </c>
      <c r="M21" s="54">
        <f>SUM(M17:M20)</f>
        <v>0</v>
      </c>
      <c r="N21" s="244">
        <f>SUM(N17:N20)</f>
        <v>2406181321.46</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8</v>
      </c>
    </row>
    <row r="11" spans="4:25" x14ac:dyDescent="0.2">
      <c r="W11" s="646" t="s">
        <v>866</v>
      </c>
      <c r="X11" s="701" t="str">
        <f>VLOOKUP(X10,W39:X55,2)</f>
        <v>M08 February</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14</v>
      </c>
    </row>
    <row r="36" spans="22:25" x14ac:dyDescent="0.2">
      <c r="X36" s="684">
        <f>INDEX(X19:X33,X35,1)</f>
        <v>2021</v>
      </c>
    </row>
    <row r="37" spans="22:25" x14ac:dyDescent="0.2">
      <c r="W37" s="646" t="s">
        <v>151</v>
      </c>
      <c r="X37" s="682"/>
    </row>
    <row r="38" spans="22:25" x14ac:dyDescent="0.2">
      <c r="X38" s="681" t="str">
        <f>MTREF&amp;"/"&amp;RIGHT(MTREF,2)+1</f>
        <v>2021/22</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K11" sqref="K11"/>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5" t="str">
        <f>muni&amp; " - "&amp;S71J&amp; " - "&amp;Head57</f>
        <v>KZN225 Msunduzi - Supporting Table SC4 Monthly Budget Statement - aged creditors  - M08 February</v>
      </c>
      <c r="B1" s="1055"/>
      <c r="C1" s="1055"/>
      <c r="D1" s="1055"/>
      <c r="E1" s="1055"/>
      <c r="F1" s="1055"/>
      <c r="G1" s="1055"/>
      <c r="H1" s="1055"/>
      <c r="I1" s="1055"/>
      <c r="J1" s="1055"/>
      <c r="K1" s="1055"/>
    </row>
    <row r="2" spans="1:12" ht="12.75" customHeight="1" x14ac:dyDescent="0.25">
      <c r="A2" s="1044" t="str">
        <f>desc</f>
        <v>Description</v>
      </c>
      <c r="B2" s="1076" t="s">
        <v>734</v>
      </c>
      <c r="C2" s="137" t="str">
        <f>Head2</f>
        <v>Budget Year 2020/21</v>
      </c>
      <c r="D2" s="137"/>
      <c r="E2" s="137"/>
      <c r="F2" s="137"/>
      <c r="G2" s="137"/>
      <c r="H2" s="137"/>
      <c r="I2" s="137"/>
      <c r="J2" s="137"/>
      <c r="K2" s="138"/>
      <c r="L2" s="1066" t="s">
        <v>74</v>
      </c>
    </row>
    <row r="3" spans="1:12" ht="12.75" customHeight="1" x14ac:dyDescent="0.25">
      <c r="A3" s="1075"/>
      <c r="B3" s="1077"/>
      <c r="C3" s="1078" t="s">
        <v>726</v>
      </c>
      <c r="D3" s="1069" t="s">
        <v>727</v>
      </c>
      <c r="E3" s="1069" t="s">
        <v>728</v>
      </c>
      <c r="F3" s="1069" t="s">
        <v>729</v>
      </c>
      <c r="G3" s="1069" t="s">
        <v>730</v>
      </c>
      <c r="H3" s="1069" t="s">
        <v>731</v>
      </c>
      <c r="I3" s="1069" t="s">
        <v>732</v>
      </c>
      <c r="J3" s="1071" t="s">
        <v>733</v>
      </c>
      <c r="K3" s="1073" t="s">
        <v>506</v>
      </c>
      <c r="L3" s="1067"/>
    </row>
    <row r="4" spans="1:12" ht="12.75" customHeight="1" x14ac:dyDescent="0.25">
      <c r="A4" s="34" t="s">
        <v>667</v>
      </c>
      <c r="B4" s="1074"/>
      <c r="C4" s="1079"/>
      <c r="D4" s="1070"/>
      <c r="E4" s="1070"/>
      <c r="F4" s="1070"/>
      <c r="G4" s="1070"/>
      <c r="H4" s="1070"/>
      <c r="I4" s="1070"/>
      <c r="J4" s="1072"/>
      <c r="K4" s="1074"/>
      <c r="L4" s="1068"/>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147525907.78</v>
      </c>
      <c r="D6" s="733"/>
      <c r="E6" s="733"/>
      <c r="F6" s="733"/>
      <c r="G6" s="733">
        <v>3593.06</v>
      </c>
      <c r="H6" s="733"/>
      <c r="I6" s="733"/>
      <c r="J6" s="735"/>
      <c r="K6" s="109">
        <f>SUM(C6:J6)</f>
        <v>147529500.84</v>
      </c>
      <c r="L6" s="748">
        <v>143091668.13999999</v>
      </c>
    </row>
    <row r="7" spans="1:12" ht="12.75" customHeight="1" x14ac:dyDescent="0.25">
      <c r="A7" s="39" t="s">
        <v>688</v>
      </c>
      <c r="B7" s="169" t="s">
        <v>689</v>
      </c>
      <c r="C7" s="753">
        <v>165838557.36000001</v>
      </c>
      <c r="D7" s="733"/>
      <c r="E7" s="733">
        <v>69527208.560000002</v>
      </c>
      <c r="F7" s="733">
        <v>84463030.210000008</v>
      </c>
      <c r="G7" s="733">
        <v>15046086.15999998</v>
      </c>
      <c r="H7" s="733"/>
      <c r="I7" s="733"/>
      <c r="J7" s="735"/>
      <c r="K7" s="109">
        <f t="shared" ref="K7:K13" si="0">SUM(C7:J7)</f>
        <v>334874882.28999996</v>
      </c>
      <c r="L7" s="748">
        <v>12742194.800000001</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198646045.73000002</v>
      </c>
      <c r="D9" s="733"/>
      <c r="E9" s="733"/>
      <c r="F9" s="733"/>
      <c r="G9" s="733"/>
      <c r="H9" s="733"/>
      <c r="I9" s="733"/>
      <c r="J9" s="735"/>
      <c r="K9" s="109">
        <f t="shared" si="0"/>
        <v>198646045.73000002</v>
      </c>
      <c r="L9" s="748">
        <v>206242948.99000001</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47973537.420000002</v>
      </c>
      <c r="D12" s="733">
        <v>6716930.8600000003</v>
      </c>
      <c r="E12" s="733">
        <v>5109301.2699999996</v>
      </c>
      <c r="F12" s="733">
        <v>-46309.53</v>
      </c>
      <c r="G12" s="733">
        <v>176121.19</v>
      </c>
      <c r="H12" s="733"/>
      <c r="I12" s="733"/>
      <c r="J12" s="735"/>
      <c r="K12" s="109">
        <f t="shared" si="0"/>
        <v>59929581.209999993</v>
      </c>
      <c r="L12" s="748">
        <v>53693961.099999994</v>
      </c>
    </row>
    <row r="13" spans="1:12" ht="12.75" customHeight="1" x14ac:dyDescent="0.25">
      <c r="A13" s="39" t="s">
        <v>599</v>
      </c>
      <c r="B13" s="169" t="s">
        <v>600</v>
      </c>
      <c r="C13" s="753">
        <v>1274831.8500000001</v>
      </c>
      <c r="D13" s="733"/>
      <c r="E13" s="733"/>
      <c r="F13" s="733"/>
      <c r="G13" s="733"/>
      <c r="H13" s="733"/>
      <c r="I13" s="733"/>
      <c r="J13" s="735"/>
      <c r="K13" s="109">
        <f t="shared" si="0"/>
        <v>1274831.8500000001</v>
      </c>
      <c r="L13" s="748">
        <v>0</v>
      </c>
    </row>
    <row r="14" spans="1:12" ht="12.75" customHeight="1" x14ac:dyDescent="0.25">
      <c r="A14" s="39" t="s">
        <v>718</v>
      </c>
      <c r="B14" s="169" t="s">
        <v>601</v>
      </c>
      <c r="C14" s="753">
        <v>362882312.38</v>
      </c>
      <c r="D14" s="733"/>
      <c r="E14" s="733"/>
      <c r="F14" s="733"/>
      <c r="G14" s="733"/>
      <c r="H14" s="733"/>
      <c r="I14" s="733"/>
      <c r="J14" s="735"/>
      <c r="K14" s="109">
        <f>SUM(C14:J14)</f>
        <v>362882312.38</v>
      </c>
      <c r="L14" s="748">
        <v>381205971.88</v>
      </c>
    </row>
    <row r="15" spans="1:12" ht="12.75" customHeight="1" x14ac:dyDescent="0.25">
      <c r="A15" s="53" t="s">
        <v>919</v>
      </c>
      <c r="B15" s="284">
        <v>1000</v>
      </c>
      <c r="C15" s="271">
        <f>SUM(C6:C14)</f>
        <v>924141192.51999998</v>
      </c>
      <c r="D15" s="55">
        <f t="shared" ref="D15:J15" si="1">SUM(D6:D14)</f>
        <v>6716930.8600000003</v>
      </c>
      <c r="E15" s="55">
        <f t="shared" si="1"/>
        <v>74636509.829999998</v>
      </c>
      <c r="F15" s="55">
        <f t="shared" si="1"/>
        <v>84416720.680000007</v>
      </c>
      <c r="G15" s="55">
        <f t="shared" si="1"/>
        <v>15225800.40999998</v>
      </c>
      <c r="H15" s="55">
        <f t="shared" si="1"/>
        <v>0</v>
      </c>
      <c r="I15" s="55">
        <f t="shared" si="1"/>
        <v>0</v>
      </c>
      <c r="J15" s="235">
        <f t="shared" si="1"/>
        <v>0</v>
      </c>
      <c r="K15" s="112">
        <f>SUM(K6:K14)</f>
        <v>1105137154.3000002</v>
      </c>
      <c r="L15" s="160">
        <f>SUM(L6:L14)</f>
        <v>796976744.90999997</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M16" sqref="M1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5" t="str">
        <f>muni&amp; " - "&amp;S71K&amp; " - "&amp;Head57</f>
        <v>KZN225 Msunduzi - Supporting Table SC5 Monthly Budget Statement - investment portfolio  - M08 February</v>
      </c>
      <c r="B1" s="1055"/>
      <c r="C1" s="1055"/>
      <c r="D1" s="1055"/>
      <c r="E1" s="1055"/>
      <c r="F1" s="1055"/>
      <c r="G1" s="1055"/>
      <c r="H1" s="1055"/>
      <c r="I1" s="1055"/>
      <c r="J1" s="1055"/>
      <c r="K1" s="67"/>
    </row>
    <row r="2" spans="1:15" ht="54" customHeight="1" x14ac:dyDescent="0.25">
      <c r="A2" s="270" t="s">
        <v>894</v>
      </c>
      <c r="B2" s="1076" t="s">
        <v>571</v>
      </c>
      <c r="C2" s="26" t="s">
        <v>126</v>
      </c>
      <c r="D2" s="1082" t="s">
        <v>607</v>
      </c>
      <c r="E2" s="948" t="s">
        <v>1356</v>
      </c>
      <c r="F2" s="948" t="s">
        <v>1357</v>
      </c>
      <c r="G2" s="948" t="s">
        <v>1358</v>
      </c>
      <c r="H2" s="948" t="s">
        <v>1359</v>
      </c>
      <c r="I2" s="948" t="s">
        <v>1360</v>
      </c>
      <c r="J2" s="1084" t="s">
        <v>608</v>
      </c>
      <c r="K2" s="149" t="s">
        <v>1361</v>
      </c>
      <c r="L2" s="142" t="s">
        <v>1362</v>
      </c>
      <c r="M2" s="26" t="s">
        <v>1363</v>
      </c>
      <c r="N2" s="26" t="s">
        <v>1364</v>
      </c>
      <c r="O2" s="142" t="s">
        <v>1365</v>
      </c>
    </row>
    <row r="3" spans="1:15" ht="12.75" customHeight="1" x14ac:dyDescent="0.25">
      <c r="A3" s="34" t="s">
        <v>667</v>
      </c>
      <c r="B3" s="1074"/>
      <c r="C3" s="413" t="s">
        <v>127</v>
      </c>
      <c r="D3" s="1083"/>
      <c r="E3" s="949"/>
      <c r="F3" s="949"/>
      <c r="G3" s="949"/>
      <c r="H3" s="949"/>
      <c r="I3" s="949"/>
      <c r="J3" s="1072"/>
      <c r="K3" s="1080"/>
      <c r="L3" s="1080"/>
      <c r="M3" s="1080"/>
      <c r="N3" s="1080"/>
      <c r="O3" s="1081"/>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262388450.65000004</v>
      </c>
      <c r="L5" s="954">
        <v>235276.57</v>
      </c>
      <c r="M5" s="955">
        <v>-29345048.620000001</v>
      </c>
      <c r="N5" s="955">
        <v>72231715.079999998</v>
      </c>
      <c r="O5" s="956">
        <f t="shared" ref="O5:O11" si="0">SUM(K5:N5)</f>
        <v>305510393.68000001</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262388450.65000004</v>
      </c>
      <c r="L12" s="960"/>
      <c r="M12" s="961">
        <f>SUM(M5:M11)</f>
        <v>-29345048.620000001</v>
      </c>
      <c r="N12" s="961">
        <f>SUM(N5:N11)</f>
        <v>72231715.079999998</v>
      </c>
      <c r="O12" s="962">
        <f>SUM(O5:O11)</f>
        <v>305510393.68000001</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3984057.0999999996</v>
      </c>
      <c r="L15" s="954">
        <v>6010.86</v>
      </c>
      <c r="M15" s="955">
        <v>-902000</v>
      </c>
      <c r="N15" s="955"/>
      <c r="O15" s="956">
        <f t="shared" ref="O15:O21" si="1">SUM(K15:N15)</f>
        <v>3088067.9599999995</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3984057.0999999996</v>
      </c>
      <c r="L22" s="960"/>
      <c r="M22" s="961">
        <f>SUM(M15:M21)</f>
        <v>-902000</v>
      </c>
      <c r="N22" s="961">
        <f>SUM(N15:N21)</f>
        <v>0</v>
      </c>
      <c r="O22" s="962">
        <f>SUM(O15:O21)</f>
        <v>3088067.9599999995</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266372507.75000003</v>
      </c>
      <c r="L24" s="978"/>
      <c r="M24" s="979">
        <f>M12+M22</f>
        <v>-30247048.620000001</v>
      </c>
      <c r="N24" s="979">
        <f>N12+N22</f>
        <v>72231715.079999998</v>
      </c>
      <c r="O24" s="980">
        <f>O12+O22</f>
        <v>308598461.63999999</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2" activePane="bottomRight" state="frozen"/>
      <selection pane="topRight"/>
      <selection pane="bottomLeft"/>
      <selection pane="bottomRight" activeCell="L48" sqref="L48"/>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"&amp;S71L&amp; " - "&amp;Head57</f>
        <v>KZN225 Msunduzi - Supporting Table SC6 Monthly Budget Statement - transfers and grant receipts  - M08 February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0</v>
      </c>
      <c r="G8" s="50">
        <f t="shared" si="0"/>
        <v>547649420.21000004</v>
      </c>
      <c r="H8" s="50">
        <f t="shared" si="0"/>
        <v>465071049.99999994</v>
      </c>
      <c r="I8" s="50">
        <f t="shared" si="0"/>
        <v>82578370.210000038</v>
      </c>
      <c r="J8" s="343">
        <f>IF(I8=0,"",I8/H8)</f>
        <v>0.17756076240393817</v>
      </c>
      <c r="K8" s="194">
        <f>SUM(K9:K16)</f>
        <v>697606575</v>
      </c>
    </row>
    <row r="9" spans="1:11" ht="12.75" customHeight="1" x14ac:dyDescent="0.25">
      <c r="A9" s="733" t="s">
        <v>986</v>
      </c>
      <c r="B9" s="169"/>
      <c r="C9" s="779"/>
      <c r="D9" s="780">
        <v>593405000</v>
      </c>
      <c r="E9" s="734">
        <v>682403000</v>
      </c>
      <c r="F9" s="734"/>
      <c r="G9" s="734">
        <v>534052000</v>
      </c>
      <c r="H9" s="733">
        <f>E9/12*8</f>
        <v>454935333.33333331</v>
      </c>
      <c r="I9" s="514">
        <f>G9-H9</f>
        <v>79116666.666666687</v>
      </c>
      <c r="J9" s="552">
        <f>IF(I9=0,"",I9/H9)</f>
        <v>0.17390750040665126</v>
      </c>
      <c r="K9" s="736">
        <f>E9</f>
        <v>682403000</v>
      </c>
    </row>
    <row r="10" spans="1:11" ht="12.75" customHeight="1" x14ac:dyDescent="0.25">
      <c r="A10" s="733" t="s">
        <v>988</v>
      </c>
      <c r="B10" s="169"/>
      <c r="C10" s="748"/>
      <c r="D10" s="745">
        <v>1700000</v>
      </c>
      <c r="E10" s="733">
        <v>1700000</v>
      </c>
      <c r="F10" s="733"/>
      <c r="G10" s="733">
        <v>1700000</v>
      </c>
      <c r="H10" s="733">
        <f>E10/12*8</f>
        <v>1133333.3333333333</v>
      </c>
      <c r="I10" s="514">
        <f t="shared" ref="I10:I15" si="1">G10-H10</f>
        <v>566666.66666666674</v>
      </c>
      <c r="J10" s="552">
        <f t="shared" ref="J10:J15" si="2">IF(I10=0,"",I10/H10)</f>
        <v>0.50000000000000011</v>
      </c>
      <c r="K10" s="735">
        <f>E10</f>
        <v>1700000</v>
      </c>
    </row>
    <row r="11" spans="1:11" ht="12.75" customHeight="1" x14ac:dyDescent="0.25">
      <c r="A11" s="733" t="s">
        <v>566</v>
      </c>
      <c r="B11" s="169"/>
      <c r="C11" s="748"/>
      <c r="D11" s="745"/>
      <c r="E11" s="733">
        <v>0</v>
      </c>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v>3072000</v>
      </c>
      <c r="H12" s="733">
        <f>E12/12*8</f>
        <v>2925333.3333333335</v>
      </c>
      <c r="I12" s="514">
        <f t="shared" si="1"/>
        <v>146666.66666666651</v>
      </c>
      <c r="J12" s="552">
        <f t="shared" si="2"/>
        <v>5.0136736554238774E-2</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c r="G16" s="733">
        <v>8825420.2100000009</v>
      </c>
      <c r="H16" s="733">
        <f>E16/12*8</f>
        <v>6077050</v>
      </c>
      <c r="I16" s="44">
        <f>G16-H16</f>
        <v>2748370.2100000009</v>
      </c>
      <c r="J16" s="124">
        <f>IF(I16=0,"",I16/H16)</f>
        <v>0.45225400646695368</v>
      </c>
      <c r="K16" s="735">
        <f>E16</f>
        <v>9115575</v>
      </c>
    </row>
    <row r="17" spans="1:11" ht="12.75" customHeight="1" x14ac:dyDescent="0.25">
      <c r="A17" s="106" t="s">
        <v>623</v>
      </c>
      <c r="B17" s="169"/>
      <c r="C17" s="516">
        <f t="shared" ref="C17:I17" si="3">SUM(C18:C28)</f>
        <v>0</v>
      </c>
      <c r="D17" s="475">
        <f t="shared" si="3"/>
        <v>66874665</v>
      </c>
      <c r="E17" s="430">
        <f t="shared" si="3"/>
        <v>41304907</v>
      </c>
      <c r="F17" s="430">
        <f t="shared" si="3"/>
        <v>1233724.75</v>
      </c>
      <c r="G17" s="430">
        <f t="shared" si="3"/>
        <v>12658000</v>
      </c>
      <c r="H17" s="430">
        <f t="shared" si="3"/>
        <v>27536604.666666668</v>
      </c>
      <c r="I17" s="430">
        <f t="shared" si="3"/>
        <v>-14878604.66666667</v>
      </c>
      <c r="J17" s="553">
        <f>IF(I17=0,"",I17/H17)</f>
        <v>-0.54032095992856255</v>
      </c>
      <c r="K17" s="513">
        <f>SUM(K18:K28)</f>
        <v>41304907</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c r="H19" s="733"/>
      <c r="I19" s="44">
        <f t="shared" si="4"/>
        <v>0</v>
      </c>
      <c r="J19" s="124" t="str">
        <f t="shared" si="5"/>
        <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c r="F21" s="733"/>
      <c r="G21" s="733"/>
      <c r="H21" s="733">
        <f t="shared" ref="H21:H23" si="6">E21/12*8</f>
        <v>0</v>
      </c>
      <c r="I21" s="44">
        <f t="shared" si="4"/>
        <v>0</v>
      </c>
      <c r="J21" s="124" t="str">
        <f t="shared" si="5"/>
        <v/>
      </c>
      <c r="K21" s="735"/>
    </row>
    <row r="22" spans="1:11" ht="12.75" customHeight="1" x14ac:dyDescent="0.25">
      <c r="A22" s="1002" t="s">
        <v>1435</v>
      </c>
      <c r="B22" s="169"/>
      <c r="C22" s="748"/>
      <c r="D22" s="745">
        <v>4264000</v>
      </c>
      <c r="E22" s="733">
        <v>4264000</v>
      </c>
      <c r="F22" s="733"/>
      <c r="G22" s="733"/>
      <c r="H22" s="733">
        <f t="shared" si="6"/>
        <v>2842666.6666666665</v>
      </c>
      <c r="I22" s="44">
        <f t="shared" si="4"/>
        <v>-2842666.6666666665</v>
      </c>
      <c r="J22" s="124">
        <f t="shared" si="5"/>
        <v>-1</v>
      </c>
      <c r="K22" s="735">
        <f t="shared" ref="K22:K23" si="7">E22</f>
        <v>4264000</v>
      </c>
    </row>
    <row r="23" spans="1:11" ht="12.75" customHeight="1" x14ac:dyDescent="0.25">
      <c r="A23" s="1002" t="s">
        <v>1436</v>
      </c>
      <c r="B23" s="169"/>
      <c r="C23" s="748"/>
      <c r="D23" s="745">
        <v>24079242</v>
      </c>
      <c r="E23" s="733">
        <v>24079242</v>
      </c>
      <c r="F23" s="733"/>
      <c r="G23" s="733"/>
      <c r="H23" s="733">
        <f t="shared" si="6"/>
        <v>16052828</v>
      </c>
      <c r="I23" s="44">
        <f t="shared" si="4"/>
        <v>-16052828</v>
      </c>
      <c r="J23" s="124">
        <f t="shared" si="5"/>
        <v>-1</v>
      </c>
      <c r="K23" s="735">
        <f t="shared" si="7"/>
        <v>24079242</v>
      </c>
    </row>
    <row r="24" spans="1:11" ht="12.75" customHeight="1" x14ac:dyDescent="0.25">
      <c r="A24" s="1002" t="s">
        <v>1437</v>
      </c>
      <c r="B24" s="169"/>
      <c r="C24" s="748"/>
      <c r="D24" s="745">
        <v>22740423</v>
      </c>
      <c r="E24" s="733"/>
      <c r="F24" s="733">
        <v>1233724.75</v>
      </c>
      <c r="G24" s="733">
        <v>1233724.75</v>
      </c>
      <c r="H24" s="733"/>
      <c r="I24" s="44">
        <f t="shared" si="4"/>
        <v>1233724.75</v>
      </c>
      <c r="J24" s="124" t="e">
        <f t="shared" si="5"/>
        <v>#DIV/0!</v>
      </c>
      <c r="K24" s="735"/>
    </row>
    <row r="25" spans="1:11" ht="12.75" customHeight="1" x14ac:dyDescent="0.25">
      <c r="A25" s="1002" t="s">
        <v>1451</v>
      </c>
      <c r="B25" s="169"/>
      <c r="C25" s="748"/>
      <c r="D25" s="745"/>
      <c r="E25" s="733"/>
      <c r="F25" s="733"/>
      <c r="G25" s="733">
        <v>766275.25</v>
      </c>
      <c r="H25" s="733"/>
      <c r="I25" s="44">
        <f t="shared" si="4"/>
        <v>766275.25</v>
      </c>
      <c r="J25" s="124" t="e">
        <f t="shared" si="5"/>
        <v>#DIV/0!</v>
      </c>
      <c r="K25" s="735"/>
    </row>
    <row r="26" spans="1:11" ht="12.75" customHeight="1" x14ac:dyDescent="0.25">
      <c r="A26" s="1002" t="s">
        <v>1438</v>
      </c>
      <c r="B26" s="169">
        <v>4</v>
      </c>
      <c r="C26" s="748"/>
      <c r="D26" s="745">
        <v>10200000</v>
      </c>
      <c r="E26" s="733">
        <v>12473665</v>
      </c>
      <c r="F26" s="733"/>
      <c r="G26" s="733">
        <v>10200000</v>
      </c>
      <c r="H26" s="733">
        <f t="shared" ref="H26:H28" si="8">E26/12*8</f>
        <v>8315776.666666667</v>
      </c>
      <c r="I26" s="44">
        <f t="shared" ref="I26:I32" si="9">G26-H26</f>
        <v>1884223.333333333</v>
      </c>
      <c r="J26" s="124">
        <f t="shared" ref="J26:J33" si="10">IF(I26=0,"",I26/H26)</f>
        <v>0.22658416752413982</v>
      </c>
      <c r="K26" s="735">
        <f t="shared" ref="K26:K27" si="11">E26</f>
        <v>12473665</v>
      </c>
    </row>
    <row r="27" spans="1:11" ht="12.75" customHeight="1" x14ac:dyDescent="0.25">
      <c r="A27" s="1002" t="s">
        <v>1439</v>
      </c>
      <c r="B27" s="169"/>
      <c r="C27" s="748"/>
      <c r="D27" s="745">
        <v>488000</v>
      </c>
      <c r="E27" s="733">
        <v>488000</v>
      </c>
      <c r="F27" s="733"/>
      <c r="G27" s="733"/>
      <c r="H27" s="733">
        <f t="shared" si="8"/>
        <v>325333.33333333331</v>
      </c>
      <c r="I27" s="44">
        <f t="shared" si="9"/>
        <v>-325333.33333333331</v>
      </c>
      <c r="J27" s="124">
        <f t="shared" si="10"/>
        <v>-1</v>
      </c>
      <c r="K27" s="735">
        <f t="shared" si="11"/>
        <v>488000</v>
      </c>
    </row>
    <row r="28" spans="1:11" ht="12.75" customHeight="1" x14ac:dyDescent="0.25">
      <c r="A28" s="1002" t="s">
        <v>1440</v>
      </c>
      <c r="B28" s="169"/>
      <c r="C28" s="748"/>
      <c r="D28" s="745">
        <v>1500000</v>
      </c>
      <c r="E28" s="733"/>
      <c r="F28" s="733"/>
      <c r="G28" s="733">
        <v>458000</v>
      </c>
      <c r="H28" s="733">
        <f t="shared" si="8"/>
        <v>0</v>
      </c>
      <c r="I28" s="44">
        <f t="shared" si="9"/>
        <v>458000</v>
      </c>
      <c r="J28" s="124" t="e">
        <f t="shared" si="10"/>
        <v>#DIV/0!</v>
      </c>
      <c r="K28" s="735"/>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738911482</v>
      </c>
      <c r="F33" s="73">
        <f t="shared" si="14"/>
        <v>1233724.75</v>
      </c>
      <c r="G33" s="73">
        <f t="shared" si="14"/>
        <v>560307420.21000004</v>
      </c>
      <c r="H33" s="73">
        <f t="shared" si="14"/>
        <v>492607654.66666663</v>
      </c>
      <c r="I33" s="73">
        <f t="shared" si="14"/>
        <v>67699765.543333367</v>
      </c>
      <c r="J33" s="304">
        <f t="shared" si="10"/>
        <v>0.13743141200098452</v>
      </c>
      <c r="K33" s="145">
        <f>K8+K17+K29+K31</f>
        <v>738911482</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337738291</v>
      </c>
      <c r="F36" s="44">
        <f t="shared" si="15"/>
        <v>3255000</v>
      </c>
      <c r="G36" s="44">
        <f t="shared" si="15"/>
        <v>194879579.79000002</v>
      </c>
      <c r="H36" s="44">
        <f t="shared" si="15"/>
        <v>165986644.66666669</v>
      </c>
      <c r="I36" s="44">
        <f t="shared" si="15"/>
        <v>28892935.12333335</v>
      </c>
      <c r="J36" s="343">
        <f>IF(I36=0,"",I36/H36)</f>
        <v>0.17406783046525193</v>
      </c>
      <c r="K36" s="144">
        <f>SUM(K37:K44)</f>
        <v>337738291</v>
      </c>
    </row>
    <row r="37" spans="1:11" ht="12.75" customHeight="1" x14ac:dyDescent="0.25">
      <c r="A37" s="778" t="s">
        <v>1441</v>
      </c>
      <c r="B37" s="169"/>
      <c r="C37" s="779"/>
      <c r="D37" s="780">
        <v>187012424.99999985</v>
      </c>
      <c r="E37" s="734">
        <v>197724967</v>
      </c>
      <c r="F37" s="734"/>
      <c r="G37" s="734">
        <v>151174579.79000002</v>
      </c>
      <c r="H37" s="733">
        <f>E37/12*8</f>
        <v>131816644.66666667</v>
      </c>
      <c r="I37" s="514">
        <f>G37-H37</f>
        <v>19357935.12333335</v>
      </c>
      <c r="J37" s="552">
        <f>IF(I37=0,"",I37/H37)</f>
        <v>0.14685501343388782</v>
      </c>
      <c r="K37" s="736">
        <f>E37</f>
        <v>197724967</v>
      </c>
    </row>
    <row r="38" spans="1:11" ht="12.75" customHeight="1" x14ac:dyDescent="0.25">
      <c r="A38" s="778" t="s">
        <v>1453</v>
      </c>
      <c r="B38" s="169"/>
      <c r="C38" s="748"/>
      <c r="D38" s="745"/>
      <c r="E38" s="733">
        <v>88758324</v>
      </c>
      <c r="F38" s="733"/>
      <c r="G38" s="733"/>
      <c r="H38" s="733"/>
      <c r="I38" s="514">
        <f t="shared" ref="I38:I44" si="16">G38-H38</f>
        <v>0</v>
      </c>
      <c r="J38" s="552" t="str">
        <f t="shared" ref="J38:J44" si="17">IF(I38=0,"",I38/H38)</f>
        <v/>
      </c>
      <c r="K38" s="735">
        <f>E38</f>
        <v>88758324</v>
      </c>
    </row>
    <row r="39" spans="1:11" ht="12.75" customHeight="1" x14ac:dyDescent="0.25">
      <c r="A39" s="778" t="s">
        <v>1001</v>
      </c>
      <c r="B39" s="169"/>
      <c r="C39" s="748"/>
      <c r="D39" s="745">
        <v>35000000</v>
      </c>
      <c r="E39" s="733">
        <v>18000000</v>
      </c>
      <c r="F39" s="733"/>
      <c r="G39" s="733">
        <v>10450000</v>
      </c>
      <c r="H39" s="733">
        <f>E39/12*8</f>
        <v>12000000</v>
      </c>
      <c r="I39" s="514">
        <f t="shared" si="16"/>
        <v>-1550000</v>
      </c>
      <c r="J39" s="552">
        <f t="shared" si="17"/>
        <v>-0.12916666666666668</v>
      </c>
      <c r="K39" s="735">
        <f>E39</f>
        <v>18000000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v>3255000</v>
      </c>
      <c r="G43" s="733">
        <v>33255000</v>
      </c>
      <c r="H43" s="733">
        <f>E43/12*8</f>
        <v>22170000</v>
      </c>
      <c r="I43" s="514">
        <f t="shared" si="16"/>
        <v>11085000</v>
      </c>
      <c r="J43" s="552">
        <f t="shared" si="17"/>
        <v>0.5</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316942789</v>
      </c>
      <c r="F45" s="430">
        <f t="shared" si="18"/>
        <v>4594663.47</v>
      </c>
      <c r="G45" s="430">
        <f t="shared" si="18"/>
        <v>52745187.850000001</v>
      </c>
      <c r="H45" s="430">
        <f t="shared" si="18"/>
        <v>211295192.66666669</v>
      </c>
      <c r="I45" s="514">
        <f t="shared" ref="I45:I60" si="19">G45-H45</f>
        <v>-158550004.81666669</v>
      </c>
      <c r="J45" s="552">
        <f>IF(I45=0,"",I45/H45)</f>
        <v>-0.75037204025171877</v>
      </c>
      <c r="K45" s="513">
        <f>SUM(K46:K56)</f>
        <v>316942789</v>
      </c>
    </row>
    <row r="46" spans="1:11" ht="12.75" customHeight="1" x14ac:dyDescent="0.25">
      <c r="A46" s="781" t="s">
        <v>1457</v>
      </c>
      <c r="B46" s="169"/>
      <c r="C46" s="783"/>
      <c r="D46" s="784"/>
      <c r="E46" s="737"/>
      <c r="F46" s="733"/>
      <c r="G46" s="733"/>
      <c r="H46" s="737"/>
      <c r="I46" s="514">
        <f t="shared" si="19"/>
        <v>0</v>
      </c>
      <c r="J46" s="552" t="str">
        <f t="shared" ref="J46:J55" si="20">IF(I46=0,"",I46/H46)</f>
        <v/>
      </c>
      <c r="K46" s="738"/>
    </row>
    <row r="47" spans="1:11" ht="12.75" customHeight="1" x14ac:dyDescent="0.25">
      <c r="A47" s="785" t="s">
        <v>1472</v>
      </c>
      <c r="B47" s="169"/>
      <c r="C47" s="786"/>
      <c r="D47" s="787"/>
      <c r="E47" s="788">
        <v>4000000</v>
      </c>
      <c r="F47" s="733"/>
      <c r="G47" s="733"/>
      <c r="H47" s="788">
        <f t="shared" ref="H47:H56" si="21">E47/12*8</f>
        <v>2666666.6666666665</v>
      </c>
      <c r="I47" s="44">
        <f t="shared" si="19"/>
        <v>-2666666.6666666665</v>
      </c>
      <c r="J47" s="124">
        <f t="shared" si="20"/>
        <v>-1</v>
      </c>
      <c r="K47" s="789">
        <f t="shared" ref="K47:K56" si="22">E47</f>
        <v>4000000</v>
      </c>
    </row>
    <row r="48" spans="1:11" ht="12.75" customHeight="1" x14ac:dyDescent="0.25">
      <c r="A48" s="785" t="s">
        <v>1473</v>
      </c>
      <c r="B48" s="169"/>
      <c r="C48" s="786"/>
      <c r="D48" s="787"/>
      <c r="E48" s="788">
        <v>12835934</v>
      </c>
      <c r="F48" s="733"/>
      <c r="G48" s="733"/>
      <c r="H48" s="788">
        <f t="shared" si="21"/>
        <v>8557289.333333334</v>
      </c>
      <c r="I48" s="44">
        <f t="shared" si="19"/>
        <v>-8557289.333333334</v>
      </c>
      <c r="J48" s="124">
        <f t="shared" si="20"/>
        <v>-1</v>
      </c>
      <c r="K48" s="789">
        <f t="shared" si="22"/>
        <v>12835934</v>
      </c>
    </row>
    <row r="49" spans="1:11" ht="12.75" customHeight="1" x14ac:dyDescent="0.25">
      <c r="A49" s="785" t="s">
        <v>1444</v>
      </c>
      <c r="B49" s="169"/>
      <c r="C49" s="786"/>
      <c r="D49" s="733">
        <v>6124156</v>
      </c>
      <c r="E49" s="733">
        <v>6124156</v>
      </c>
      <c r="F49" s="733"/>
      <c r="G49" s="733"/>
      <c r="H49" s="733">
        <f t="shared" si="21"/>
        <v>4082770.6666666665</v>
      </c>
      <c r="I49" s="44">
        <f t="shared" si="19"/>
        <v>-4082770.6666666665</v>
      </c>
      <c r="J49" s="124">
        <f t="shared" si="20"/>
        <v>-1</v>
      </c>
      <c r="K49" s="733">
        <f t="shared" si="22"/>
        <v>6124156</v>
      </c>
    </row>
    <row r="50" spans="1:11" ht="12.75" customHeight="1" x14ac:dyDescent="0.25">
      <c r="A50" s="785" t="s">
        <v>1459</v>
      </c>
      <c r="B50" s="169"/>
      <c r="C50" s="786"/>
      <c r="D50" s="733">
        <v>2500000</v>
      </c>
      <c r="E50" s="733">
        <v>2500000</v>
      </c>
      <c r="F50" s="733"/>
      <c r="G50" s="733">
        <v>2500000</v>
      </c>
      <c r="H50" s="733">
        <f t="shared" si="21"/>
        <v>1666666.6666666667</v>
      </c>
      <c r="I50" s="44">
        <f t="shared" si="19"/>
        <v>833333.33333333326</v>
      </c>
      <c r="J50" s="124">
        <f t="shared" si="20"/>
        <v>0.49999999999999994</v>
      </c>
      <c r="K50" s="733">
        <f t="shared" si="22"/>
        <v>2500000</v>
      </c>
    </row>
    <row r="51" spans="1:11" ht="12.75" customHeight="1" x14ac:dyDescent="0.25">
      <c r="A51" s="785" t="s">
        <v>1439</v>
      </c>
      <c r="B51" s="169"/>
      <c r="C51" s="786"/>
      <c r="D51" s="733">
        <v>774000</v>
      </c>
      <c r="E51" s="733">
        <v>774000</v>
      </c>
      <c r="F51" s="733"/>
      <c r="G51" s="733"/>
      <c r="H51" s="733">
        <f t="shared" si="21"/>
        <v>516000</v>
      </c>
      <c r="I51" s="44">
        <f t="shared" si="19"/>
        <v>-516000</v>
      </c>
      <c r="J51" s="124">
        <f t="shared" si="20"/>
        <v>-1</v>
      </c>
      <c r="K51" s="733">
        <f t="shared" si="22"/>
        <v>774000</v>
      </c>
    </row>
    <row r="52" spans="1:11" ht="12.75" customHeight="1" x14ac:dyDescent="0.25">
      <c r="A52" s="785" t="s">
        <v>1440</v>
      </c>
      <c r="B52" s="169"/>
      <c r="C52" s="786"/>
      <c r="D52" s="733"/>
      <c r="E52" s="733">
        <v>2820431</v>
      </c>
      <c r="F52" s="733">
        <v>4000000</v>
      </c>
      <c r="G52" s="733">
        <v>4000000</v>
      </c>
      <c r="H52" s="788">
        <f t="shared" si="21"/>
        <v>1880287.3333333333</v>
      </c>
      <c r="I52" s="44">
        <f t="shared" si="19"/>
        <v>2119712.666666667</v>
      </c>
      <c r="J52" s="124">
        <f t="shared" si="20"/>
        <v>1.1273344393108715</v>
      </c>
      <c r="K52" s="733">
        <f t="shared" si="22"/>
        <v>2820431</v>
      </c>
    </row>
    <row r="53" spans="1:11" ht="12.75" customHeight="1" x14ac:dyDescent="0.25">
      <c r="A53" s="785" t="s">
        <v>1443</v>
      </c>
      <c r="B53" s="169"/>
      <c r="C53" s="786"/>
      <c r="D53" s="733">
        <v>244264000</v>
      </c>
      <c r="E53" s="733">
        <v>250388156</v>
      </c>
      <c r="F53" s="733"/>
      <c r="G53" s="733">
        <v>34634524.380000003</v>
      </c>
      <c r="H53" s="733">
        <f t="shared" si="21"/>
        <v>166925437.33333334</v>
      </c>
      <c r="I53" s="44">
        <f t="shared" si="19"/>
        <v>-132290912.95333335</v>
      </c>
      <c r="J53" s="124">
        <f t="shared" si="20"/>
        <v>-0.79251499991077856</v>
      </c>
      <c r="K53" s="733">
        <f t="shared" si="22"/>
        <v>250388156</v>
      </c>
    </row>
    <row r="54" spans="1:11" ht="12.75" customHeight="1" x14ac:dyDescent="0.25">
      <c r="A54" s="785" t="s">
        <v>1445</v>
      </c>
      <c r="B54" s="169"/>
      <c r="C54" s="786"/>
      <c r="D54" s="733">
        <v>6750000</v>
      </c>
      <c r="E54" s="733">
        <v>6750000</v>
      </c>
      <c r="F54" s="733">
        <v>594663.47</v>
      </c>
      <c r="G54" s="733">
        <v>594663.47</v>
      </c>
      <c r="H54" s="733">
        <f t="shared" si="21"/>
        <v>4500000</v>
      </c>
      <c r="I54" s="44">
        <f t="shared" si="19"/>
        <v>-3905336.5300000003</v>
      </c>
      <c r="J54" s="124">
        <f t="shared" si="20"/>
        <v>-0.86785256222222229</v>
      </c>
      <c r="K54" s="733">
        <f t="shared" si="22"/>
        <v>6750000</v>
      </c>
    </row>
    <row r="55" spans="1:11" ht="12.75" customHeight="1" x14ac:dyDescent="0.25">
      <c r="A55" s="785" t="s">
        <v>1474</v>
      </c>
      <c r="B55" s="169"/>
      <c r="C55" s="786"/>
      <c r="D55" s="733"/>
      <c r="E55" s="788">
        <v>22465010</v>
      </c>
      <c r="F55" s="733"/>
      <c r="G55" s="733">
        <v>10986000</v>
      </c>
      <c r="H55" s="788">
        <f t="shared" si="21"/>
        <v>14976673.333333334</v>
      </c>
      <c r="I55" s="44">
        <f t="shared" si="19"/>
        <v>-3990673.333333334</v>
      </c>
      <c r="J55" s="124">
        <f t="shared" si="20"/>
        <v>-0.26645926264889269</v>
      </c>
      <c r="K55" s="733">
        <f t="shared" si="22"/>
        <v>22465010</v>
      </c>
    </row>
    <row r="56" spans="1:11" ht="12.75" customHeight="1" x14ac:dyDescent="0.25">
      <c r="A56" s="782" t="s">
        <v>1446</v>
      </c>
      <c r="B56" s="169"/>
      <c r="C56" s="748"/>
      <c r="D56" s="745">
        <v>10212000</v>
      </c>
      <c r="E56" s="733">
        <v>8285102</v>
      </c>
      <c r="F56" s="733"/>
      <c r="G56" s="733">
        <v>30000</v>
      </c>
      <c r="H56" s="733">
        <f t="shared" si="21"/>
        <v>5523401.333333333</v>
      </c>
      <c r="I56" s="44">
        <f t="shared" si="19"/>
        <v>-5493401.333333333</v>
      </c>
      <c r="J56" s="124">
        <f t="shared" ref="J56:J61" si="23">IF(I56=0,"",I56/H56)</f>
        <v>-0.99456856415286132</v>
      </c>
      <c r="K56" s="733">
        <f t="shared" si="22"/>
        <v>8285102</v>
      </c>
    </row>
    <row r="57" spans="1:11" ht="12.75" customHeight="1" x14ac:dyDescent="0.25">
      <c r="A57" s="106" t="str">
        <f>A29</f>
        <v>District Municipality:</v>
      </c>
      <c r="B57" s="169"/>
      <c r="C57" s="516">
        <f t="shared" ref="C57:H57" si="24">SUM(C58:C58)</f>
        <v>0</v>
      </c>
      <c r="D57" s="475">
        <f t="shared" si="24"/>
        <v>0</v>
      </c>
      <c r="E57" s="430">
        <f t="shared" si="24"/>
        <v>0</v>
      </c>
      <c r="F57" s="430">
        <f t="shared" si="24"/>
        <v>0</v>
      </c>
      <c r="G57" s="430">
        <f t="shared" si="24"/>
        <v>0</v>
      </c>
      <c r="H57" s="430">
        <f t="shared" si="24"/>
        <v>0</v>
      </c>
      <c r="I57" s="514">
        <f t="shared" si="19"/>
        <v>0</v>
      </c>
      <c r="J57" s="552" t="str">
        <f t="shared" si="23"/>
        <v/>
      </c>
      <c r="K57" s="513">
        <f>SUM(K58:K58)</f>
        <v>0</v>
      </c>
    </row>
    <row r="58" spans="1:11" ht="12.75" customHeight="1" x14ac:dyDescent="0.25">
      <c r="A58" s="781" t="s">
        <v>567</v>
      </c>
      <c r="B58" s="169"/>
      <c r="C58" s="783"/>
      <c r="D58" s="784"/>
      <c r="E58" s="737"/>
      <c r="F58" s="737"/>
      <c r="G58" s="737"/>
      <c r="H58" s="737"/>
      <c r="I58" s="514">
        <f t="shared" si="19"/>
        <v>0</v>
      </c>
      <c r="J58" s="552" t="str">
        <f t="shared" si="23"/>
        <v/>
      </c>
      <c r="K58" s="738"/>
    </row>
    <row r="59" spans="1:11" ht="12.75" customHeight="1" x14ac:dyDescent="0.25">
      <c r="A59" s="106" t="str">
        <f>A31</f>
        <v>Other grant providers:</v>
      </c>
      <c r="B59" s="169"/>
      <c r="C59" s="516">
        <f t="shared" ref="C59:H59" si="25">SUM(C60:C60)</f>
        <v>0</v>
      </c>
      <c r="D59" s="475">
        <f t="shared" si="25"/>
        <v>0</v>
      </c>
      <c r="E59" s="430">
        <f t="shared" si="25"/>
        <v>0</v>
      </c>
      <c r="F59" s="430">
        <f t="shared" si="25"/>
        <v>0</v>
      </c>
      <c r="G59" s="430">
        <f t="shared" si="25"/>
        <v>0</v>
      </c>
      <c r="H59" s="430">
        <f t="shared" si="25"/>
        <v>0</v>
      </c>
      <c r="I59" s="514">
        <f t="shared" si="19"/>
        <v>0</v>
      </c>
      <c r="J59" s="552" t="str">
        <f t="shared" si="23"/>
        <v/>
      </c>
      <c r="K59" s="513">
        <f>SUM(K60:K60)</f>
        <v>0</v>
      </c>
    </row>
    <row r="60" spans="1:11" ht="12.75" customHeight="1" x14ac:dyDescent="0.25">
      <c r="A60" s="781" t="s">
        <v>567</v>
      </c>
      <c r="B60" s="169"/>
      <c r="C60" s="783"/>
      <c r="D60" s="784"/>
      <c r="E60" s="737"/>
      <c r="F60" s="737"/>
      <c r="G60" s="737"/>
      <c r="H60" s="737"/>
      <c r="I60" s="514">
        <f t="shared" si="19"/>
        <v>0</v>
      </c>
      <c r="J60" s="552" t="str">
        <f t="shared" si="23"/>
        <v/>
      </c>
      <c r="K60" s="738"/>
    </row>
    <row r="61" spans="1:11" ht="12.75" customHeight="1" x14ac:dyDescent="0.25">
      <c r="A61" s="557" t="s">
        <v>64</v>
      </c>
      <c r="B61" s="309">
        <v>5</v>
      </c>
      <c r="C61" s="516">
        <f t="shared" ref="C61:I61" si="26">C36+C45+C57+C59</f>
        <v>0</v>
      </c>
      <c r="D61" s="475">
        <f t="shared" si="26"/>
        <v>525891580.99999988</v>
      </c>
      <c r="E61" s="430">
        <f t="shared" si="26"/>
        <v>654681080</v>
      </c>
      <c r="F61" s="430">
        <f t="shared" si="26"/>
        <v>7849663.4699999997</v>
      </c>
      <c r="G61" s="430">
        <f t="shared" si="26"/>
        <v>247624767.64000002</v>
      </c>
      <c r="H61" s="430">
        <f t="shared" si="26"/>
        <v>377281837.33333337</v>
      </c>
      <c r="I61" s="430">
        <f t="shared" si="26"/>
        <v>-129657069.69333334</v>
      </c>
      <c r="J61" s="553">
        <f t="shared" si="23"/>
        <v>-0.34366104292155375</v>
      </c>
      <c r="K61" s="513">
        <f>K36+K45+K57+K59</f>
        <v>654681080</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7">C33+C61</f>
        <v>0</v>
      </c>
      <c r="D63" s="305">
        <f t="shared" si="27"/>
        <v>1201374821</v>
      </c>
      <c r="E63" s="306">
        <f t="shared" si="27"/>
        <v>1393592562</v>
      </c>
      <c r="F63" s="306">
        <f t="shared" si="27"/>
        <v>9083388.2199999988</v>
      </c>
      <c r="G63" s="306">
        <f t="shared" si="27"/>
        <v>807932187.85000002</v>
      </c>
      <c r="H63" s="306">
        <f t="shared" si="27"/>
        <v>869889492</v>
      </c>
      <c r="I63" s="306">
        <f t="shared" si="27"/>
        <v>-61957304.149999976</v>
      </c>
      <c r="J63" s="307">
        <f>IF(I63=0,"",I63/H63)</f>
        <v>-7.1224339091108341E-2</v>
      </c>
      <c r="K63" s="308">
        <f>K33+K61</f>
        <v>1393592562</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26" activePane="bottomRight" state="frozen"/>
      <selection pane="topRight"/>
      <selection pane="bottomLeft"/>
      <selection pane="bottomRight" activeCell="F46" sqref="F46:G57"/>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"&amp;S71M&amp; " - "&amp;Head57</f>
        <v>KZN225 Msunduzi - Supporting Table SC7(1) Monthly Budget Statement - transfers and grant expenditure  - M08 February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3487925.5300000003</v>
      </c>
      <c r="G8" s="50">
        <f t="shared" si="0"/>
        <v>12794866.960000001</v>
      </c>
      <c r="H8" s="50">
        <f t="shared" si="0"/>
        <v>465071049.99999994</v>
      </c>
      <c r="I8" s="50">
        <f t="shared" si="0"/>
        <v>-452276183.04000002</v>
      </c>
      <c r="J8" s="343">
        <f t="shared" ref="J8:J33" si="1">IF(I8=0,"",I8/H8)</f>
        <v>-0.972488360735419</v>
      </c>
      <c r="K8" s="194">
        <f>SUM(K9:K16)</f>
        <v>697606575</v>
      </c>
    </row>
    <row r="9" spans="1:11" x14ac:dyDescent="0.25">
      <c r="A9" s="396" t="s">
        <v>986</v>
      </c>
      <c r="B9" s="169"/>
      <c r="C9" s="779"/>
      <c r="D9" s="780">
        <v>593405000</v>
      </c>
      <c r="E9" s="734">
        <v>682403000</v>
      </c>
      <c r="F9" s="734"/>
      <c r="G9" s="734"/>
      <c r="H9" s="733">
        <f>E9/12*8</f>
        <v>454935333.33333331</v>
      </c>
      <c r="I9" s="514">
        <f>G9-H9</f>
        <v>-454935333.33333331</v>
      </c>
      <c r="J9" s="552">
        <f t="shared" si="1"/>
        <v>-1</v>
      </c>
      <c r="K9" s="736">
        <f>E9</f>
        <v>682403000</v>
      </c>
    </row>
    <row r="10" spans="1:11" x14ac:dyDescent="0.25">
      <c r="A10" s="396" t="s">
        <v>988</v>
      </c>
      <c r="B10" s="169"/>
      <c r="C10" s="748"/>
      <c r="D10" s="745">
        <v>1700000</v>
      </c>
      <c r="E10" s="733">
        <v>1700000</v>
      </c>
      <c r="F10" s="733">
        <v>65920.160000000003</v>
      </c>
      <c r="G10" s="733">
        <v>659126.6</v>
      </c>
      <c r="H10" s="733">
        <f>E10/12*8</f>
        <v>1133333.3333333333</v>
      </c>
      <c r="I10" s="514">
        <f t="shared" ref="I10:I16" si="2">G10-H10</f>
        <v>-474206.73333333328</v>
      </c>
      <c r="J10" s="552">
        <f t="shared" ref="J10:J16" si="3">IF(I10=0,"",I10/H10)</f>
        <v>-0.41841770588235294</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c r="G12" s="733"/>
      <c r="H12" s="733">
        <f>E12/12*8</f>
        <v>2925333.3333333335</v>
      </c>
      <c r="I12" s="514">
        <f t="shared" si="2"/>
        <v>-2925333.3333333335</v>
      </c>
      <c r="J12" s="552">
        <f t="shared" si="3"/>
        <v>-1</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c r="G14" s="733">
        <v>3458063.8400000008</v>
      </c>
      <c r="H14" s="733"/>
      <c r="I14" s="514">
        <f t="shared" si="2"/>
        <v>3458063.8400000008</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3422005.37</v>
      </c>
      <c r="G16" s="733">
        <v>8677676.5199999996</v>
      </c>
      <c r="H16" s="733">
        <f>E16/12*8</f>
        <v>6077050</v>
      </c>
      <c r="I16" s="514">
        <f t="shared" si="2"/>
        <v>2600626.5199999996</v>
      </c>
      <c r="J16" s="552">
        <f t="shared" si="3"/>
        <v>0.42794226145909603</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2088524.01</v>
      </c>
      <c r="G17" s="430">
        <f t="shared" si="4"/>
        <v>31177230.600000001</v>
      </c>
      <c r="H17" s="430">
        <f t="shared" si="4"/>
        <v>44583110</v>
      </c>
      <c r="I17" s="430">
        <f t="shared" si="4"/>
        <v>-13405879.400000002</v>
      </c>
      <c r="J17" s="553">
        <f t="shared" si="1"/>
        <v>-0.30069412833694198</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v>441774</v>
      </c>
      <c r="G19" s="733">
        <v>2046006</v>
      </c>
      <c r="H19" s="733"/>
      <c r="I19" s="44">
        <f t="shared" si="5"/>
        <v>2046006</v>
      </c>
      <c r="J19" s="124" t="e">
        <f t="shared" si="1"/>
        <v>#DIV/0!</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E21/12*8</f>
        <v>2402000</v>
      </c>
      <c r="I21" s="44">
        <f t="shared" si="5"/>
        <v>-2402000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2842666.6666666665</v>
      </c>
      <c r="I22" s="44">
        <f t="shared" si="5"/>
        <v>-2842666.6666666665</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16052828</v>
      </c>
      <c r="I23" s="44">
        <f t="shared" si="5"/>
        <v>-16052828</v>
      </c>
      <c r="J23" s="124">
        <f t="shared" si="1"/>
        <v>-1</v>
      </c>
      <c r="K23" s="735">
        <f t="shared" si="7"/>
        <v>24079242</v>
      </c>
    </row>
    <row r="24" spans="1:11" ht="12.75" customHeight="1" x14ac:dyDescent="0.25">
      <c r="A24" s="396" t="s">
        <v>1437</v>
      </c>
      <c r="B24" s="169"/>
      <c r="C24" s="748"/>
      <c r="D24" s="745">
        <v>22740423</v>
      </c>
      <c r="E24" s="733">
        <v>22740423</v>
      </c>
      <c r="F24" s="733">
        <v>2345123.02</v>
      </c>
      <c r="G24" s="733">
        <v>21638421.09</v>
      </c>
      <c r="H24" s="733">
        <f t="shared" si="6"/>
        <v>15160282</v>
      </c>
      <c r="I24" s="44">
        <f t="shared" si="5"/>
        <v>6478139.0899999999</v>
      </c>
      <c r="J24" s="124">
        <f t="shared" si="1"/>
        <v>0.42730993328488215</v>
      </c>
      <c r="K24" s="735">
        <f t="shared" si="7"/>
        <v>22740423</v>
      </c>
    </row>
    <row r="25" spans="1:11" ht="12.75" customHeight="1" x14ac:dyDescent="0.25">
      <c r="A25" s="396" t="s">
        <v>1451</v>
      </c>
      <c r="B25" s="169"/>
      <c r="C25" s="748"/>
      <c r="D25" s="745"/>
      <c r="E25" s="733"/>
      <c r="F25" s="733"/>
      <c r="G25" s="733"/>
      <c r="H25" s="733"/>
      <c r="I25" s="44">
        <f t="shared" si="5"/>
        <v>0</v>
      </c>
      <c r="J25" s="124" t="str">
        <f t="shared" si="1"/>
        <v/>
      </c>
      <c r="K25" s="735"/>
    </row>
    <row r="26" spans="1:11" ht="12.75" customHeight="1" x14ac:dyDescent="0.25">
      <c r="A26" s="396" t="s">
        <v>1438</v>
      </c>
      <c r="B26" s="169"/>
      <c r="C26" s="748"/>
      <c r="D26" s="745">
        <v>10200000</v>
      </c>
      <c r="E26" s="733">
        <v>10200000</v>
      </c>
      <c r="F26" s="733">
        <v>-698373.01</v>
      </c>
      <c r="G26" s="733">
        <v>7271527.1400000006</v>
      </c>
      <c r="H26" s="733">
        <f t="shared" ref="H26:H28" si="8">E26/12*8</f>
        <v>6800000</v>
      </c>
      <c r="I26" s="44">
        <f t="shared" si="5"/>
        <v>471527.1400000006</v>
      </c>
      <c r="J26" s="124">
        <f t="shared" si="1"/>
        <v>6.9342226470588325E-2</v>
      </c>
      <c r="K26" s="735">
        <f t="shared" ref="K26:K28" si="9">E26</f>
        <v>10200000</v>
      </c>
    </row>
    <row r="27" spans="1:11" ht="12.75" customHeight="1" x14ac:dyDescent="0.25">
      <c r="A27" s="396" t="s">
        <v>1439</v>
      </c>
      <c r="B27" s="169"/>
      <c r="C27" s="748"/>
      <c r="D27" s="745">
        <v>488000</v>
      </c>
      <c r="E27" s="733">
        <v>488000</v>
      </c>
      <c r="F27" s="733"/>
      <c r="G27" s="733"/>
      <c r="H27" s="733">
        <f t="shared" si="8"/>
        <v>325333.33333333331</v>
      </c>
      <c r="I27" s="44">
        <f t="shared" si="5"/>
        <v>-325333.33333333331</v>
      </c>
      <c r="J27" s="124">
        <f t="shared" si="1"/>
        <v>-1</v>
      </c>
      <c r="K27" s="735">
        <f t="shared" si="9"/>
        <v>488000</v>
      </c>
    </row>
    <row r="28" spans="1:11" ht="12.75" customHeight="1" x14ac:dyDescent="0.25">
      <c r="A28" s="396" t="s">
        <v>1440</v>
      </c>
      <c r="B28" s="169"/>
      <c r="C28" s="748"/>
      <c r="D28" s="745">
        <v>1500000</v>
      </c>
      <c r="E28" s="733">
        <v>1500000</v>
      </c>
      <c r="F28" s="733"/>
      <c r="G28" s="733">
        <v>221276.37</v>
      </c>
      <c r="H28" s="733">
        <f t="shared" si="8"/>
        <v>1000000</v>
      </c>
      <c r="I28" s="44">
        <f t="shared" si="5"/>
        <v>-778723.63</v>
      </c>
      <c r="J28" s="124">
        <f t="shared" si="1"/>
        <v>-0.77872363</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0</v>
      </c>
      <c r="D33" s="74">
        <f t="shared" si="12"/>
        <v>675483240</v>
      </c>
      <c r="E33" s="73">
        <f t="shared" si="12"/>
        <v>764481240</v>
      </c>
      <c r="F33" s="73">
        <f t="shared" si="12"/>
        <v>5576449.54</v>
      </c>
      <c r="G33" s="73">
        <f t="shared" si="12"/>
        <v>43972097.560000002</v>
      </c>
      <c r="H33" s="73">
        <f t="shared" si="12"/>
        <v>509654159.99999994</v>
      </c>
      <c r="I33" s="73">
        <f t="shared" si="12"/>
        <v>-465682062.44</v>
      </c>
      <c r="J33" s="304">
        <f t="shared" si="1"/>
        <v>-0.91372169402090242</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0</v>
      </c>
      <c r="D36" s="46">
        <f t="shared" si="13"/>
        <v>255267424.99999985</v>
      </c>
      <c r="E36" s="44">
        <f t="shared" si="13"/>
        <v>255267424.99999985</v>
      </c>
      <c r="F36" s="44">
        <f t="shared" si="13"/>
        <v>26065835.719999999</v>
      </c>
      <c r="G36" s="44">
        <f t="shared" si="13"/>
        <v>246340504.56000003</v>
      </c>
      <c r="H36" s="44">
        <f t="shared" si="13"/>
        <v>170178283.33333322</v>
      </c>
      <c r="I36" s="44">
        <f t="shared" si="13"/>
        <v>76162221.226666778</v>
      </c>
      <c r="J36" s="343">
        <f>IF(I36=0,"",I36/H36)</f>
        <v>0.44754371553675615</v>
      </c>
      <c r="K36" s="144">
        <f t="shared" si="13"/>
        <v>255267424.99999985</v>
      </c>
    </row>
    <row r="37" spans="1:11" ht="12.75" customHeight="1" x14ac:dyDescent="0.25">
      <c r="A37" s="396" t="s">
        <v>1441</v>
      </c>
      <c r="B37" s="169"/>
      <c r="C37" s="779"/>
      <c r="D37" s="780">
        <v>187012424.99999985</v>
      </c>
      <c r="E37" s="734">
        <v>187012424.99999985</v>
      </c>
      <c r="F37" s="734">
        <v>24204849.829999998</v>
      </c>
      <c r="G37" s="734">
        <v>135083870.52000001</v>
      </c>
      <c r="H37" s="734">
        <f>E37/12*8</f>
        <v>124674949.9999999</v>
      </c>
      <c r="I37" s="514">
        <f>G37-H37</f>
        <v>10408920.520000115</v>
      </c>
      <c r="J37" s="552">
        <f>IF(I37=0,"",I37/H37)</f>
        <v>8.3488467571072811E-2</v>
      </c>
      <c r="K37" s="736">
        <f>E37</f>
        <v>187012424.99999985</v>
      </c>
    </row>
    <row r="38" spans="1:11" ht="12" customHeight="1" x14ac:dyDescent="0.25">
      <c r="A38" s="396" t="s">
        <v>1453</v>
      </c>
      <c r="B38" s="169"/>
      <c r="C38" s="748"/>
      <c r="D38" s="745"/>
      <c r="E38" s="733"/>
      <c r="F38" s="733"/>
      <c r="G38" s="733">
        <v>88970586.959999993</v>
      </c>
      <c r="H38" s="733"/>
      <c r="I38" s="44">
        <f t="shared" ref="I38:I44" si="14">G38-H38</f>
        <v>88970586.959999993</v>
      </c>
      <c r="J38" s="124" t="e">
        <f t="shared" ref="J38:J44" si="15">IF(I38=0,"",I38/H38)</f>
        <v>#DIV/0!</v>
      </c>
      <c r="K38" s="736"/>
    </row>
    <row r="39" spans="1:11" ht="12" customHeight="1" x14ac:dyDescent="0.25">
      <c r="A39" s="396" t="s">
        <v>1001</v>
      </c>
      <c r="B39" s="169"/>
      <c r="C39" s="748"/>
      <c r="D39" s="745">
        <v>35000000</v>
      </c>
      <c r="E39" s="733">
        <v>35000000</v>
      </c>
      <c r="F39" s="733"/>
      <c r="G39" s="733">
        <v>857018.28</v>
      </c>
      <c r="H39" s="733">
        <f>E39/12*8</f>
        <v>23333333.333333332</v>
      </c>
      <c r="I39" s="44">
        <f t="shared" si="14"/>
        <v>-22476315.053333331</v>
      </c>
      <c r="J39" s="124">
        <f t="shared" si="15"/>
        <v>-0.9632706451428571</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c r="D43" s="745">
        <v>33255000</v>
      </c>
      <c r="E43" s="733">
        <v>33255000</v>
      </c>
      <c r="F43" s="733">
        <v>1860985.89</v>
      </c>
      <c r="G43" s="733">
        <v>21429028.800000001</v>
      </c>
      <c r="H43" s="733">
        <f>E43/12*8</f>
        <v>22170000</v>
      </c>
      <c r="I43" s="44">
        <f t="shared" si="14"/>
        <v>-740971.19999999925</v>
      </c>
      <c r="J43" s="124">
        <f t="shared" si="15"/>
        <v>-3.3422246278755043E-2</v>
      </c>
      <c r="K43" s="736">
        <f>E43</f>
        <v>33255000</v>
      </c>
    </row>
    <row r="44" spans="1:11" ht="12.75" customHeight="1" x14ac:dyDescent="0.25">
      <c r="A44" s="396" t="s">
        <v>1456</v>
      </c>
      <c r="B44" s="169"/>
      <c r="C44" s="748"/>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270624156</v>
      </c>
      <c r="F45" s="430">
        <f t="shared" si="16"/>
        <v>4709801.93</v>
      </c>
      <c r="G45" s="430">
        <f t="shared" si="16"/>
        <v>38965527.760000005</v>
      </c>
      <c r="H45" s="430">
        <f t="shared" si="16"/>
        <v>180416104</v>
      </c>
      <c r="I45" s="514">
        <f>G45-H45</f>
        <v>-141450576.24000001</v>
      </c>
      <c r="J45" s="552">
        <f>IF(I45=0,"",I45/H45)</f>
        <v>-0.78402411483178913</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7">E50/12*8</f>
        <v>4082770.6666666665</v>
      </c>
      <c r="I50" s="44"/>
      <c r="J50" s="124"/>
      <c r="K50" s="733">
        <f t="shared" ref="K50:K52" si="18">E50</f>
        <v>6124156</v>
      </c>
    </row>
    <row r="51" spans="1:11" ht="12.75" customHeight="1" x14ac:dyDescent="0.25">
      <c r="A51" s="397" t="s">
        <v>1459</v>
      </c>
      <c r="B51" s="169"/>
      <c r="C51" s="786"/>
      <c r="D51" s="733">
        <v>2500000</v>
      </c>
      <c r="E51" s="733">
        <v>2500000</v>
      </c>
      <c r="F51" s="788">
        <v>430245.42</v>
      </c>
      <c r="G51" s="788">
        <v>1480270.14</v>
      </c>
      <c r="H51" s="733">
        <f t="shared" si="17"/>
        <v>1666666.6666666667</v>
      </c>
      <c r="I51" s="44"/>
      <c r="J51" s="124"/>
      <c r="K51" s="733">
        <f t="shared" si="18"/>
        <v>2500000</v>
      </c>
    </row>
    <row r="52" spans="1:11" ht="12.75" customHeight="1" x14ac:dyDescent="0.25">
      <c r="A52" s="397" t="s">
        <v>1439</v>
      </c>
      <c r="B52" s="169"/>
      <c r="C52" s="786"/>
      <c r="D52" s="733">
        <v>774000</v>
      </c>
      <c r="E52" s="733">
        <v>774000</v>
      </c>
      <c r="F52" s="788">
        <v>447816.41</v>
      </c>
      <c r="G52" s="788">
        <v>0.01</v>
      </c>
      <c r="H52" s="733">
        <f t="shared" si="17"/>
        <v>516000</v>
      </c>
      <c r="I52" s="44"/>
      <c r="J52" s="124"/>
      <c r="K52" s="733">
        <f t="shared" si="18"/>
        <v>774000</v>
      </c>
    </row>
    <row r="53" spans="1:11" ht="12.75" customHeight="1" x14ac:dyDescent="0.25">
      <c r="A53" s="397" t="s">
        <v>1440</v>
      </c>
      <c r="B53" s="169"/>
      <c r="C53" s="786"/>
      <c r="D53" s="733"/>
      <c r="E53" s="733"/>
      <c r="F53" s="788">
        <v>643320</v>
      </c>
      <c r="G53" s="788">
        <v>4179859.81</v>
      </c>
      <c r="H53" s="733"/>
      <c r="I53" s="44"/>
      <c r="J53" s="124"/>
      <c r="K53" s="733"/>
    </row>
    <row r="54" spans="1:11" ht="12.75" customHeight="1" x14ac:dyDescent="0.25">
      <c r="A54" s="397" t="s">
        <v>1443</v>
      </c>
      <c r="B54" s="169"/>
      <c r="C54" s="786"/>
      <c r="D54" s="733">
        <v>244264000</v>
      </c>
      <c r="E54" s="733">
        <v>244264000</v>
      </c>
      <c r="F54" s="788">
        <v>3188420.1</v>
      </c>
      <c r="G54" s="788">
        <v>33305397.800000004</v>
      </c>
      <c r="H54" s="733">
        <f t="shared" ref="H54:H55" si="19">E54/12*8</f>
        <v>162842666.66666666</v>
      </c>
      <c r="I54" s="44"/>
      <c r="J54" s="124"/>
      <c r="K54" s="733">
        <f t="shared" ref="K54:K55" si="20">E54</f>
        <v>244264000</v>
      </c>
    </row>
    <row r="55" spans="1:11" ht="12.75" customHeight="1" x14ac:dyDescent="0.25">
      <c r="A55" s="397" t="s">
        <v>1445</v>
      </c>
      <c r="B55" s="169"/>
      <c r="C55" s="786"/>
      <c r="D55" s="733">
        <v>6750000</v>
      </c>
      <c r="E55" s="733">
        <v>6750000</v>
      </c>
      <c r="F55" s="733"/>
      <c r="G55" s="733"/>
      <c r="H55" s="733">
        <f t="shared" si="19"/>
        <v>4500000</v>
      </c>
      <c r="I55" s="44"/>
      <c r="J55" s="124"/>
      <c r="K55" s="733">
        <f t="shared" si="20"/>
        <v>6750000</v>
      </c>
    </row>
    <row r="56" spans="1:11" ht="12.75" customHeight="1" x14ac:dyDescent="0.25">
      <c r="A56" s="397" t="s">
        <v>623</v>
      </c>
      <c r="B56" s="169"/>
      <c r="C56" s="786"/>
      <c r="D56" s="733"/>
      <c r="E56" s="788"/>
      <c r="F56" s="788"/>
      <c r="G56" s="788"/>
      <c r="H56" s="788"/>
      <c r="I56" s="44"/>
      <c r="J56" s="124"/>
      <c r="K56" s="789"/>
    </row>
    <row r="57" spans="1:11" ht="12.75" customHeight="1" x14ac:dyDescent="0.25">
      <c r="A57" s="396" t="s">
        <v>1446</v>
      </c>
      <c r="B57" s="169"/>
      <c r="C57" s="748"/>
      <c r="D57" s="733">
        <v>10212000</v>
      </c>
      <c r="E57" s="733">
        <v>10212000</v>
      </c>
      <c r="F57" s="733"/>
      <c r="G57" s="733"/>
      <c r="H57" s="733">
        <f>E57/12*8</f>
        <v>6808000</v>
      </c>
      <c r="I57" s="44">
        <f>G57-H57</f>
        <v>-6808000</v>
      </c>
      <c r="J57" s="124">
        <f t="shared" ref="J57:J62" si="21">IF(I57=0,"",I57/H57)</f>
        <v>-1</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0</v>
      </c>
      <c r="D62" s="74">
        <f t="shared" si="24"/>
        <v>525891580.99999988</v>
      </c>
      <c r="E62" s="73">
        <f t="shared" si="24"/>
        <v>525891580.99999988</v>
      </c>
      <c r="F62" s="73">
        <f t="shared" si="24"/>
        <v>30775637.649999999</v>
      </c>
      <c r="G62" s="73">
        <f t="shared" si="24"/>
        <v>285306032.32000005</v>
      </c>
      <c r="H62" s="73">
        <f t="shared" si="24"/>
        <v>350594387.33333325</v>
      </c>
      <c r="I62" s="73">
        <f t="shared" si="24"/>
        <v>-65288355.013333231</v>
      </c>
      <c r="J62" s="304">
        <f t="shared" si="21"/>
        <v>-0.18622190591790416</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0</v>
      </c>
      <c r="D64" s="56">
        <f t="shared" si="25"/>
        <v>1201374821</v>
      </c>
      <c r="E64" s="55">
        <f t="shared" si="25"/>
        <v>1290372821</v>
      </c>
      <c r="F64" s="55">
        <f t="shared" si="25"/>
        <v>36352087.189999998</v>
      </c>
      <c r="G64" s="55">
        <f t="shared" si="25"/>
        <v>329278129.88000005</v>
      </c>
      <c r="H64" s="55">
        <f t="shared" si="25"/>
        <v>860248547.33333325</v>
      </c>
      <c r="I64" s="55">
        <f t="shared" si="25"/>
        <v>-530970417.45333326</v>
      </c>
      <c r="J64" s="290">
        <f>IF(I64=0,"",I64/H64)</f>
        <v>-0.61722907768839308</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5" t="str">
        <f>muni&amp; " - "&amp;S71T&amp; " - "&amp;Head57</f>
        <v>KZN225 Msunduzi - Supporting Table SC7(2) Monthly Budget Statement - Expenditure against approved rollovers - M08 February</v>
      </c>
      <c r="B1" s="1055"/>
      <c r="C1" s="1055"/>
      <c r="D1" s="1055"/>
      <c r="E1" s="1055"/>
      <c r="F1" s="1055"/>
      <c r="G1" s="1055"/>
    </row>
    <row r="2" spans="1:7" ht="21.75" customHeight="1" x14ac:dyDescent="0.25">
      <c r="A2" s="1044" t="str">
        <f>desc</f>
        <v>Description</v>
      </c>
      <c r="B2" s="1037" t="str">
        <f>head27</f>
        <v>Ref</v>
      </c>
      <c r="C2" s="1039" t="str">
        <f>Head2</f>
        <v>Budget Year 2020/21</v>
      </c>
      <c r="D2" s="1040"/>
      <c r="E2" s="1040"/>
      <c r="F2" s="1040"/>
      <c r="G2" s="1041"/>
    </row>
    <row r="3" spans="1:7" ht="39.75" customHeight="1" x14ac:dyDescent="0.25">
      <c r="A3" s="1045"/>
      <c r="B3" s="1048"/>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68" activePane="bottomRight" state="frozen"/>
      <selection pane="topRight"/>
      <selection pane="bottomLeft"/>
      <selection pane="bottomRight" activeCell="F95" sqref="F95"/>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"&amp;S71N&amp; " - "&amp;Head57</f>
        <v>KZN225 Msunduzi - Supporting Table SC8 Monthly Budget Statement - councillor and staff benefits  - M08 February</v>
      </c>
      <c r="B1" s="1055"/>
      <c r="C1" s="1055"/>
      <c r="D1" s="1055"/>
      <c r="E1" s="1055"/>
      <c r="F1" s="1055"/>
      <c r="G1" s="1055"/>
      <c r="H1" s="1055"/>
      <c r="I1" s="1055"/>
      <c r="J1" s="1055"/>
      <c r="K1" s="1055"/>
    </row>
    <row r="2" spans="1:11" x14ac:dyDescent="0.25">
      <c r="A2" s="1044" t="s">
        <v>650</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4628000.5</v>
      </c>
      <c r="G7" s="733">
        <v>23764219.519999996</v>
      </c>
      <c r="H7" s="733">
        <f>E7/12*8</f>
        <v>10528192.596666662</v>
      </c>
      <c r="I7" s="44">
        <f t="shared" ref="I7:I14" si="0">G7-H7</f>
        <v>13236026.923333334</v>
      </c>
      <c r="J7" s="330">
        <f t="shared" ref="J7:J14" si="1">IF(I7=0,"",I7/H7)</f>
        <v>1.257198403411047</v>
      </c>
      <c r="K7" s="735">
        <f>E7</f>
        <v>15792288.894999994</v>
      </c>
    </row>
    <row r="8" spans="1:11" ht="12.75" customHeight="1" x14ac:dyDescent="0.25">
      <c r="A8" s="518" t="s">
        <v>1048</v>
      </c>
      <c r="B8" s="169"/>
      <c r="C8" s="748"/>
      <c r="D8" s="745">
        <v>6273530.0123999976</v>
      </c>
      <c r="E8" s="733">
        <v>6273530.0123999976</v>
      </c>
      <c r="F8" s="733">
        <v>346093.64999999997</v>
      </c>
      <c r="G8" s="733">
        <v>3116600.15</v>
      </c>
      <c r="H8" s="733">
        <f t="shared" ref="H8:H12" si="2">E8/12*8</f>
        <v>4182353.3415999985</v>
      </c>
      <c r="I8" s="44">
        <f t="shared" si="0"/>
        <v>-1065753.1915999986</v>
      </c>
      <c r="J8" s="330">
        <f t="shared" si="1"/>
        <v>-0.2548214138196857</v>
      </c>
      <c r="K8" s="735">
        <f t="shared" ref="K8:K12" si="3">E8</f>
        <v>6273530.0123999976</v>
      </c>
    </row>
    <row r="9" spans="1:11" ht="12.75" customHeight="1" x14ac:dyDescent="0.25">
      <c r="A9" s="518" t="s">
        <v>427</v>
      </c>
      <c r="B9" s="169"/>
      <c r="C9" s="748"/>
      <c r="D9" s="745">
        <v>10528192.964839995</v>
      </c>
      <c r="E9" s="733">
        <v>10528192.964839995</v>
      </c>
      <c r="F9" s="733">
        <v>159587.60999999999</v>
      </c>
      <c r="G9" s="733">
        <v>1280069.8399999999</v>
      </c>
      <c r="H9" s="733">
        <f t="shared" si="2"/>
        <v>7018795.3098933296</v>
      </c>
      <c r="I9" s="44">
        <f t="shared" si="0"/>
        <v>-5738725.4698933298</v>
      </c>
      <c r="J9" s="330">
        <f t="shared" si="1"/>
        <v>-0.81762257146953987</v>
      </c>
      <c r="K9" s="735">
        <f t="shared" si="3"/>
        <v>10528192.964839995</v>
      </c>
    </row>
    <row r="10" spans="1:11" ht="12.75" customHeight="1" x14ac:dyDescent="0.25">
      <c r="A10" s="518" t="s">
        <v>1049</v>
      </c>
      <c r="B10" s="169"/>
      <c r="C10" s="748"/>
      <c r="D10" s="745">
        <v>10528194.069359997</v>
      </c>
      <c r="E10" s="733">
        <v>10528194.069359997</v>
      </c>
      <c r="F10" s="733">
        <v>491023.62000000005</v>
      </c>
      <c r="G10" s="733">
        <v>4358941.5900000008</v>
      </c>
      <c r="H10" s="733">
        <f t="shared" si="2"/>
        <v>7018796.0462399982</v>
      </c>
      <c r="I10" s="44">
        <f>G10-H10</f>
        <v>-2659854.4562399974</v>
      </c>
      <c r="J10" s="330">
        <f>IF(I10=0,"",I10/H10)</f>
        <v>-0.37896163939182903</v>
      </c>
      <c r="K10" s="735">
        <f t="shared" si="3"/>
        <v>10528194.069359997</v>
      </c>
    </row>
    <row r="11" spans="1:11" ht="12.75" customHeight="1" x14ac:dyDescent="0.25">
      <c r="A11" s="39" t="s">
        <v>1050</v>
      </c>
      <c r="B11" s="169"/>
      <c r="C11" s="748"/>
      <c r="D11" s="745">
        <v>5264098.1391999982</v>
      </c>
      <c r="E11" s="733">
        <v>5264098.1391999982</v>
      </c>
      <c r="F11" s="733">
        <v>222000</v>
      </c>
      <c r="G11" s="733">
        <v>2453028.91</v>
      </c>
      <c r="H11" s="733">
        <f t="shared" si="2"/>
        <v>3509398.7594666653</v>
      </c>
      <c r="I11" s="44">
        <f>G11-H11</f>
        <v>-1056369.8494666652</v>
      </c>
      <c r="J11" s="330">
        <f>IF(I11=0,"",I11/H11)</f>
        <v>-0.30101163243905776</v>
      </c>
      <c r="K11" s="735">
        <f t="shared" si="3"/>
        <v>5264098.1391999982</v>
      </c>
    </row>
    <row r="12" spans="1:11" ht="12.75" customHeight="1" x14ac:dyDescent="0.25">
      <c r="A12" s="39" t="s">
        <v>1051</v>
      </c>
      <c r="B12" s="169"/>
      <c r="C12" s="748"/>
      <c r="D12" s="745">
        <v>5264097.0346799986</v>
      </c>
      <c r="E12" s="733">
        <v>5264097.0346799986</v>
      </c>
      <c r="F12" s="733">
        <v>11074.34</v>
      </c>
      <c r="G12" s="733">
        <v>88594.719999999987</v>
      </c>
      <c r="H12" s="733">
        <f t="shared" si="2"/>
        <v>3509398.0231199991</v>
      </c>
      <c r="I12" s="44">
        <f>G12-H12</f>
        <v>-3420803.3031199989</v>
      </c>
      <c r="J12" s="330">
        <f>IF(I12=0,"",I12/H12)</f>
        <v>-0.97475500943001159</v>
      </c>
      <c r="K12" s="735">
        <f t="shared" si="3"/>
        <v>5264097.0346799986</v>
      </c>
    </row>
    <row r="13" spans="1:11" ht="12.75" customHeight="1" x14ac:dyDescent="0.25">
      <c r="A13" s="39" t="s">
        <v>1052</v>
      </c>
      <c r="B13" s="169"/>
      <c r="C13" s="748"/>
      <c r="D13" s="745"/>
      <c r="E13" s="733"/>
      <c r="F13" s="733">
        <v>7646.39</v>
      </c>
      <c r="G13" s="733">
        <v>491564.2</v>
      </c>
      <c r="H13" s="733"/>
      <c r="I13" s="44">
        <f t="shared" si="0"/>
        <v>491564.2</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5865426.1100000003</v>
      </c>
      <c r="G14" s="430">
        <f t="shared" si="4"/>
        <v>35553018.929999992</v>
      </c>
      <c r="H14" s="430">
        <f t="shared" si="4"/>
        <v>35766934.076986656</v>
      </c>
      <c r="I14" s="430">
        <f t="shared" si="0"/>
        <v>-213915.14698666334</v>
      </c>
      <c r="J14" s="431">
        <f t="shared" si="1"/>
        <v>-5.9808074834208878E-3</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728454.04999999993</v>
      </c>
      <c r="G18" s="733">
        <v>6285625.46</v>
      </c>
      <c r="H18" s="733">
        <f t="shared" ref="H18:H20" si="5">E18/12*8</f>
        <v>7093593.1872000014</v>
      </c>
      <c r="I18" s="44">
        <f t="shared" ref="I18:I30" si="6">G18-H18</f>
        <v>-807967.72720000148</v>
      </c>
      <c r="J18" s="330">
        <f t="shared" ref="J18:J29" si="7">IF(I18=0,"",I18/H18)</f>
        <v>-0.11390105210120235</v>
      </c>
      <c r="K18" s="735">
        <f t="shared" ref="K18:K25" si="8">E18</f>
        <v>10640389.780800002</v>
      </c>
    </row>
    <row r="19" spans="1:11" ht="12.75" customHeight="1" x14ac:dyDescent="0.25">
      <c r="A19" s="39" t="s">
        <v>1048</v>
      </c>
      <c r="B19" s="169"/>
      <c r="C19" s="748"/>
      <c r="D19" s="745">
        <v>1458021.1247999999</v>
      </c>
      <c r="E19" s="733">
        <v>1458021.1247999999</v>
      </c>
      <c r="F19" s="733">
        <v>218820.31</v>
      </c>
      <c r="G19" s="733">
        <v>1361763.74</v>
      </c>
      <c r="H19" s="733">
        <f t="shared" si="5"/>
        <v>972014.08319999988</v>
      </c>
      <c r="I19" s="44">
        <f t="shared" si="6"/>
        <v>389749.65680000011</v>
      </c>
      <c r="J19" s="330">
        <f t="shared" si="7"/>
        <v>0.40097120354150867</v>
      </c>
      <c r="K19" s="735">
        <f t="shared" si="8"/>
        <v>1458021.1247999999</v>
      </c>
    </row>
    <row r="20" spans="1:11" ht="12.75" customHeight="1" x14ac:dyDescent="0.25">
      <c r="A20" s="39" t="s">
        <v>427</v>
      </c>
      <c r="B20" s="169"/>
      <c r="C20" s="748"/>
      <c r="D20" s="745">
        <v>160334.42939999999</v>
      </c>
      <c r="E20" s="733">
        <v>160334.42939999999</v>
      </c>
      <c r="F20" s="733">
        <v>7788.7199999999993</v>
      </c>
      <c r="G20" s="733">
        <v>67775.44</v>
      </c>
      <c r="H20" s="733">
        <f t="shared" si="5"/>
        <v>106889.61959999999</v>
      </c>
      <c r="I20" s="44">
        <f t="shared" si="6"/>
        <v>-39114.179599999989</v>
      </c>
      <c r="J20" s="330">
        <f t="shared" si="7"/>
        <v>-0.36593057161558085</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v>2510.67</v>
      </c>
      <c r="G22" s="733">
        <v>269714.24</v>
      </c>
      <c r="H22" s="733">
        <f t="shared" ref="H22:H25" si="9">E22/12*8</f>
        <v>443819.23919999995</v>
      </c>
      <c r="I22" s="44">
        <f>G22-H22</f>
        <v>-174104.99919999996</v>
      </c>
      <c r="J22" s="330">
        <f>IF(I22=0,"",I22/H22)</f>
        <v>-0.39228808447743374</v>
      </c>
      <c r="K22" s="735">
        <f t="shared" si="8"/>
        <v>665728.85879999993</v>
      </c>
    </row>
    <row r="23" spans="1:11" ht="12.75" customHeight="1" x14ac:dyDescent="0.25">
      <c r="A23" s="39" t="s">
        <v>1049</v>
      </c>
      <c r="B23" s="169"/>
      <c r="C23" s="748"/>
      <c r="D23" s="745">
        <v>1278372.5370000002</v>
      </c>
      <c r="E23" s="733">
        <v>1278372.5370000002</v>
      </c>
      <c r="F23" s="733">
        <v>64716.259999999995</v>
      </c>
      <c r="G23" s="733">
        <v>562324.62999999989</v>
      </c>
      <c r="H23" s="733">
        <f t="shared" si="9"/>
        <v>852248.35800000012</v>
      </c>
      <c r="I23" s="44">
        <f>G23-H23</f>
        <v>-289923.72800000024</v>
      </c>
      <c r="J23" s="330">
        <f>IF(I23=0,"",I23/H23)</f>
        <v>-0.34018690124598655</v>
      </c>
      <c r="K23" s="735">
        <f t="shared" si="8"/>
        <v>1278372.5370000002</v>
      </c>
    </row>
    <row r="24" spans="1:11" ht="12.75" customHeight="1" x14ac:dyDescent="0.25">
      <c r="A24" s="39" t="s">
        <v>1050</v>
      </c>
      <c r="B24" s="169"/>
      <c r="C24" s="748"/>
      <c r="D24" s="745">
        <v>111150.72719999999</v>
      </c>
      <c r="E24" s="733">
        <v>111150.72719999999</v>
      </c>
      <c r="F24" s="733">
        <v>7914.51</v>
      </c>
      <c r="G24" s="733">
        <v>63316.08</v>
      </c>
      <c r="H24" s="733">
        <f t="shared" si="9"/>
        <v>74100.484799999991</v>
      </c>
      <c r="I24" s="44">
        <f>G24-H24</f>
        <v>-10784.404799999989</v>
      </c>
      <c r="J24" s="330">
        <f>IF(I24=0,"",I24/H24)</f>
        <v>-0.14553757413473753</v>
      </c>
      <c r="K24" s="735">
        <f t="shared" si="8"/>
        <v>111150.72719999999</v>
      </c>
    </row>
    <row r="25" spans="1:11" ht="12.75" customHeight="1" x14ac:dyDescent="0.25">
      <c r="A25" s="39" t="s">
        <v>1051</v>
      </c>
      <c r="B25" s="169"/>
      <c r="C25" s="748"/>
      <c r="D25" s="745">
        <v>756254.19959999993</v>
      </c>
      <c r="E25" s="733">
        <v>756254.19959999993</v>
      </c>
      <c r="F25" s="733">
        <v>2542.8000000000002</v>
      </c>
      <c r="G25" s="733">
        <v>24705.910000000003</v>
      </c>
      <c r="H25" s="733">
        <f t="shared" si="9"/>
        <v>504169.46639999998</v>
      </c>
      <c r="I25" s="44">
        <f>G25-H25</f>
        <v>-479463.5564</v>
      </c>
      <c r="J25" s="330">
        <f>IF(I25=0,"",I25/H25)</f>
        <v>-0.95099681427276539</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1032747.32</v>
      </c>
      <c r="G30" s="430">
        <f>SUM(G18:G29)</f>
        <v>8635225.5000000019</v>
      </c>
      <c r="H30" s="430">
        <f>SUM(H18:H29)</f>
        <v>10046834.438400002</v>
      </c>
      <c r="I30" s="430">
        <f t="shared" si="6"/>
        <v>-1411608.9384000003</v>
      </c>
      <c r="J30" s="431">
        <f>IF(I30=0,"",I30/H30)</f>
        <v>-0.14050285660174616</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58016368.049999975</v>
      </c>
      <c r="G34" s="733">
        <v>489467036.68999994</v>
      </c>
      <c r="H34" s="733">
        <f t="shared" ref="H34:H42" si="11">E34/12*8</f>
        <v>602957530.55987048</v>
      </c>
      <c r="I34" s="44">
        <f t="shared" ref="I34:I46" si="12">G34-H34</f>
        <v>-113490493.86987054</v>
      </c>
      <c r="J34" s="330">
        <f t="shared" ref="J34:J45" si="13">IF(I34=0,"",I34/H34)</f>
        <v>-0.18822303084014894</v>
      </c>
      <c r="K34" s="735">
        <f t="shared" ref="K34:K42" si="14">E34</f>
        <v>904436295.83980572</v>
      </c>
    </row>
    <row r="35" spans="1:11" ht="12.75" customHeight="1" x14ac:dyDescent="0.25">
      <c r="A35" s="518" t="s">
        <v>1048</v>
      </c>
      <c r="B35" s="169"/>
      <c r="C35" s="748"/>
      <c r="D35" s="745">
        <v>188647083.87682125</v>
      </c>
      <c r="E35" s="733">
        <v>188647083.87682125</v>
      </c>
      <c r="F35" s="733">
        <v>11848062.800000003</v>
      </c>
      <c r="G35" s="733">
        <v>97133195.160000041</v>
      </c>
      <c r="H35" s="733">
        <f t="shared" si="11"/>
        <v>125764722.5845475</v>
      </c>
      <c r="I35" s="44">
        <f t="shared" si="12"/>
        <v>-28631527.424547464</v>
      </c>
      <c r="J35" s="330">
        <f t="shared" si="13"/>
        <v>-0.22765944881959585</v>
      </c>
      <c r="K35" s="735">
        <f t="shared" si="14"/>
        <v>188647083.87682125</v>
      </c>
    </row>
    <row r="36" spans="1:11" ht="12.75" customHeight="1" x14ac:dyDescent="0.25">
      <c r="A36" s="518" t="s">
        <v>427</v>
      </c>
      <c r="B36" s="169"/>
      <c r="C36" s="748"/>
      <c r="D36" s="745">
        <v>70300830.27188544</v>
      </c>
      <c r="E36" s="733">
        <v>70300830.27188544</v>
      </c>
      <c r="F36" s="733">
        <v>5141451.1399999987</v>
      </c>
      <c r="G36" s="733">
        <v>39908662.910000004</v>
      </c>
      <c r="H36" s="733">
        <f t="shared" si="11"/>
        <v>46867220.181256957</v>
      </c>
      <c r="I36" s="44">
        <f t="shared" si="12"/>
        <v>-6958557.2712569535</v>
      </c>
      <c r="J36" s="330">
        <f t="shared" si="13"/>
        <v>-0.14847386391480086</v>
      </c>
      <c r="K36" s="735">
        <f t="shared" si="14"/>
        <v>70300830.27188544</v>
      </c>
    </row>
    <row r="37" spans="1:11" ht="12.75" customHeight="1" x14ac:dyDescent="0.25">
      <c r="A37" s="518" t="s">
        <v>539</v>
      </c>
      <c r="B37" s="169"/>
      <c r="C37" s="748"/>
      <c r="D37" s="745">
        <v>73644368.523901194</v>
      </c>
      <c r="E37" s="733">
        <v>73644368.523901194</v>
      </c>
      <c r="F37" s="733">
        <v>12681199.280000003</v>
      </c>
      <c r="G37" s="733">
        <v>98541047.640000015</v>
      </c>
      <c r="H37" s="733">
        <f t="shared" si="11"/>
        <v>49096245.682600796</v>
      </c>
      <c r="I37" s="44">
        <f t="shared" si="12"/>
        <v>49444801.957399219</v>
      </c>
      <c r="J37" s="330">
        <f t="shared" si="13"/>
        <v>1.0070994486432177</v>
      </c>
      <c r="K37" s="735">
        <f t="shared" si="14"/>
        <v>73644368.523901194</v>
      </c>
    </row>
    <row r="38" spans="1:11" ht="12.75" customHeight="1" x14ac:dyDescent="0.25">
      <c r="A38" s="518" t="s">
        <v>429</v>
      </c>
      <c r="B38" s="169"/>
      <c r="C38" s="748"/>
      <c r="D38" s="745">
        <v>70366153.174669325</v>
      </c>
      <c r="E38" s="733">
        <v>70366153.174669325</v>
      </c>
      <c r="F38" s="733">
        <v>227212.92</v>
      </c>
      <c r="G38" s="733">
        <v>55246813.269999973</v>
      </c>
      <c r="H38" s="733">
        <f t="shared" si="11"/>
        <v>46910768.783112884</v>
      </c>
      <c r="I38" s="44">
        <f t="shared" si="12"/>
        <v>8336044.4868870899</v>
      </c>
      <c r="J38" s="330">
        <f t="shared" si="13"/>
        <v>0.17770001863384363</v>
      </c>
      <c r="K38" s="735">
        <f t="shared" si="14"/>
        <v>70366153.174669325</v>
      </c>
    </row>
    <row r="39" spans="1:11" ht="12.75" customHeight="1" x14ac:dyDescent="0.25">
      <c r="A39" s="518" t="s">
        <v>1049</v>
      </c>
      <c r="B39" s="169"/>
      <c r="C39" s="748"/>
      <c r="D39" s="745">
        <v>24659111.788440011</v>
      </c>
      <c r="E39" s="733">
        <v>24659111.788440011</v>
      </c>
      <c r="F39" s="733">
        <v>2180386.2600000002</v>
      </c>
      <c r="G39" s="733">
        <v>18395957.390000004</v>
      </c>
      <c r="H39" s="733">
        <f t="shared" si="11"/>
        <v>16439407.858960008</v>
      </c>
      <c r="I39" s="44">
        <f>G39-H39</f>
        <v>1956549.5310399961</v>
      </c>
      <c r="J39" s="330">
        <f>IF(I39=0,"",I39/H39)</f>
        <v>0.11901581540077269</v>
      </c>
      <c r="K39" s="735">
        <f t="shared" si="14"/>
        <v>24659111.788440011</v>
      </c>
    </row>
    <row r="40" spans="1:11" ht="12.75" customHeight="1" x14ac:dyDescent="0.25">
      <c r="A40" s="518" t="s">
        <v>1050</v>
      </c>
      <c r="B40" s="169"/>
      <c r="C40" s="748"/>
      <c r="D40" s="745">
        <v>4232876.804076002</v>
      </c>
      <c r="E40" s="733">
        <v>4232876.804076002</v>
      </c>
      <c r="F40" s="733">
        <v>303492.52</v>
      </c>
      <c r="G40" s="733">
        <v>2382435.0200000005</v>
      </c>
      <c r="H40" s="733">
        <f t="shared" si="11"/>
        <v>2821917.8693840015</v>
      </c>
      <c r="I40" s="44">
        <f>G40-H40</f>
        <v>-439482.84938400099</v>
      </c>
      <c r="J40" s="330">
        <f>IF(I40=0,"",I40/H40)</f>
        <v>-0.1557390646099619</v>
      </c>
      <c r="K40" s="735">
        <f t="shared" si="14"/>
        <v>4232876.804076002</v>
      </c>
    </row>
    <row r="41" spans="1:11" ht="12.75" customHeight="1" x14ac:dyDescent="0.25">
      <c r="A41" s="518" t="s">
        <v>1051</v>
      </c>
      <c r="B41" s="169"/>
      <c r="C41" s="748"/>
      <c r="D41" s="745">
        <v>7812877.275000005</v>
      </c>
      <c r="E41" s="733">
        <v>7812877.275000005</v>
      </c>
      <c r="F41" s="733">
        <v>347223.60000000021</v>
      </c>
      <c r="G41" s="733">
        <v>2824085.2800000017</v>
      </c>
      <c r="H41" s="733">
        <f t="shared" si="11"/>
        <v>5208584.8500000034</v>
      </c>
      <c r="I41" s="44">
        <f>G41-H41</f>
        <v>-2384499.5700000017</v>
      </c>
      <c r="J41" s="330">
        <f>IF(I41=0,"",I41/H41)</f>
        <v>-0.45780180964125028</v>
      </c>
      <c r="K41" s="735">
        <f t="shared" si="14"/>
        <v>7812877.275000005</v>
      </c>
    </row>
    <row r="42" spans="1:11" ht="12.75" customHeight="1" x14ac:dyDescent="0.25">
      <c r="A42" s="518" t="s">
        <v>1052</v>
      </c>
      <c r="B42" s="169"/>
      <c r="C42" s="748"/>
      <c r="D42" s="745">
        <v>46854856.603799991</v>
      </c>
      <c r="E42" s="733">
        <v>46854856.603799991</v>
      </c>
      <c r="F42" s="733">
        <v>10216907.770000003</v>
      </c>
      <c r="G42" s="733">
        <v>80406372.029999956</v>
      </c>
      <c r="H42" s="733">
        <f t="shared" si="11"/>
        <v>31236571.069199994</v>
      </c>
      <c r="I42" s="44">
        <f t="shared" si="12"/>
        <v>49169800.960799962</v>
      </c>
      <c r="J42" s="330">
        <f t="shared" si="13"/>
        <v>1.5741100664305168</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2270419.6500000008</v>
      </c>
      <c r="G44" s="733">
        <v>16487958.5</v>
      </c>
      <c r="H44" s="733">
        <f>E44/12*8</f>
        <v>16115178.530522725</v>
      </c>
      <c r="I44" s="44">
        <f t="shared" si="12"/>
        <v>372779.96947727539</v>
      </c>
      <c r="J44" s="330">
        <f t="shared" si="13"/>
        <v>2.3132227097032575E-2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103232723.98999998</v>
      </c>
      <c r="G46" s="430">
        <f>SUM(G34:G45)</f>
        <v>900793563.88999987</v>
      </c>
      <c r="H46" s="430">
        <f>SUM(H34:H45)</f>
        <v>943418147.96945548</v>
      </c>
      <c r="I46" s="430">
        <f t="shared" si="12"/>
        <v>-42624584.079455614</v>
      </c>
      <c r="J46" s="431">
        <f>IF(I46=0,"",I46/H46)</f>
        <v>-4.5181009259995332E-2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110130897.41999999</v>
      </c>
      <c r="G49" s="73">
        <f t="shared" si="16"/>
        <v>944981808.31999981</v>
      </c>
      <c r="H49" s="73">
        <f t="shared" si="16"/>
        <v>989231916.48484218</v>
      </c>
      <c r="I49" s="73">
        <f>G49-H49</f>
        <v>-44250108.164842367</v>
      </c>
      <c r="J49" s="331">
        <f>IF(I49=0,"",I49/H49)</f>
        <v>-4.4731783748023057E-2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c r="G54" s="733">
        <v>77672.03</v>
      </c>
      <c r="H54" s="733"/>
      <c r="I54" s="44">
        <f t="shared" ref="I54:I67" si="17">G54-H54</f>
        <v>77672.03</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0</v>
      </c>
      <c r="G67" s="430">
        <f>SUM(G54:G66)</f>
        <v>77672.03</v>
      </c>
      <c r="H67" s="430">
        <f>SUM(H54:H66)</f>
        <v>0</v>
      </c>
      <c r="I67" s="430">
        <f t="shared" si="17"/>
        <v>77672.03</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51748.11</v>
      </c>
      <c r="G71" s="733">
        <v>465584.27</v>
      </c>
      <c r="H71" s="733">
        <f>E71/12*8</f>
        <v>388427.44964999991</v>
      </c>
      <c r="I71" s="44">
        <f t="shared" ref="I71:I83" si="20">G71-H71</f>
        <v>77156.820350000111</v>
      </c>
      <c r="J71" s="330">
        <f t="shared" ref="J71:J82" si="21">IF(I71=0,"",I71/H71)</f>
        <v>0.1986389489710981</v>
      </c>
      <c r="K71" s="735">
        <f>E71</f>
        <v>582641.17447499989</v>
      </c>
    </row>
    <row r="72" spans="1:11" ht="12.75" customHeight="1" x14ac:dyDescent="0.25">
      <c r="A72" s="518" t="s">
        <v>1048</v>
      </c>
      <c r="B72" s="169"/>
      <c r="C72" s="748"/>
      <c r="D72" s="745"/>
      <c r="E72" s="733"/>
      <c r="F72" s="733"/>
      <c r="G72" s="733"/>
      <c r="H72" s="733"/>
      <c r="I72" s="44">
        <f t="shared" si="20"/>
        <v>0</v>
      </c>
      <c r="J72" s="330" t="str">
        <f t="shared" si="21"/>
        <v/>
      </c>
      <c r="K72" s="735"/>
    </row>
    <row r="73" spans="1:11" ht="12.75" customHeight="1" x14ac:dyDescent="0.25">
      <c r="A73" s="518" t="s">
        <v>427</v>
      </c>
      <c r="B73" s="169"/>
      <c r="C73" s="748"/>
      <c r="D73" s="745">
        <v>27003.628799999999</v>
      </c>
      <c r="E73" s="733">
        <v>27003.628799999999</v>
      </c>
      <c r="F73" s="733">
        <v>2254</v>
      </c>
      <c r="G73" s="733">
        <v>18032</v>
      </c>
      <c r="H73" s="733">
        <f>E73/12*8</f>
        <v>18002.4192</v>
      </c>
      <c r="I73" s="44">
        <f t="shared" si="20"/>
        <v>29.580799999999726</v>
      </c>
      <c r="J73" s="330">
        <f t="shared" si="21"/>
        <v>1.6431569374853645E-3</v>
      </c>
      <c r="K73" s="735">
        <f>E73</f>
        <v>27003.628799999999</v>
      </c>
    </row>
    <row r="74" spans="1:11" ht="12.75" customHeight="1" x14ac:dyDescent="0.25">
      <c r="A74" s="518" t="s">
        <v>539</v>
      </c>
      <c r="B74" s="169"/>
      <c r="C74" s="748"/>
      <c r="D74" s="745"/>
      <c r="E74" s="733"/>
      <c r="F74" s="733">
        <v>2500</v>
      </c>
      <c r="G74" s="733">
        <v>20000</v>
      </c>
      <c r="H74" s="733"/>
      <c r="I74" s="44">
        <f t="shared" si="20"/>
        <v>20000</v>
      </c>
      <c r="J74" s="330" t="e">
        <f t="shared" si="21"/>
        <v>#DIV/0!</v>
      </c>
      <c r="K74" s="735"/>
    </row>
    <row r="75" spans="1:11" ht="12.75" customHeight="1" x14ac:dyDescent="0.25">
      <c r="A75" s="518" t="s">
        <v>429</v>
      </c>
      <c r="B75" s="169"/>
      <c r="C75" s="748"/>
      <c r="D75" s="745">
        <v>62095.416074999994</v>
      </c>
      <c r="E75" s="733">
        <v>62095.416074999994</v>
      </c>
      <c r="F75" s="733">
        <v>600</v>
      </c>
      <c r="G75" s="733">
        <v>4800</v>
      </c>
      <c r="H75" s="733">
        <f t="shared" ref="H75:H77" si="22">E75/12*8</f>
        <v>41396.944049999998</v>
      </c>
      <c r="I75" s="44">
        <f>G75-H75</f>
        <v>-36596.944049999998</v>
      </c>
      <c r="J75" s="330">
        <f>IF(I75=0,"",I75/H75)</f>
        <v>-0.88404941209664001</v>
      </c>
      <c r="K75" s="735">
        <f t="shared" ref="K75:K77" si="23">E75</f>
        <v>62095.416074999994</v>
      </c>
    </row>
    <row r="76" spans="1:11" ht="12.75" customHeight="1" x14ac:dyDescent="0.25">
      <c r="A76" s="518" t="s">
        <v>1049</v>
      </c>
      <c r="B76" s="169"/>
      <c r="C76" s="748"/>
      <c r="D76" s="745">
        <v>24952.949999999997</v>
      </c>
      <c r="E76" s="733">
        <v>24952.949999999997</v>
      </c>
      <c r="F76" s="733"/>
      <c r="G76" s="733"/>
      <c r="H76" s="733">
        <f t="shared" si="22"/>
        <v>16635.3</v>
      </c>
      <c r="I76" s="44">
        <f>G76-H76</f>
        <v>-16635.3</v>
      </c>
      <c r="J76" s="330">
        <f>IF(I76=0,"",I76/H76)</f>
        <v>-1</v>
      </c>
      <c r="K76" s="735">
        <f t="shared" si="23"/>
        <v>24952.949999999997</v>
      </c>
    </row>
    <row r="77" spans="1:11" ht="12.75" customHeight="1" x14ac:dyDescent="0.25">
      <c r="A77" s="518" t="s">
        <v>1050</v>
      </c>
      <c r="B77" s="169"/>
      <c r="C77" s="748"/>
      <c r="D77" s="745">
        <v>8166.4199999999992</v>
      </c>
      <c r="E77" s="733">
        <v>8166.4199999999992</v>
      </c>
      <c r="F77" s="733"/>
      <c r="G77" s="733"/>
      <c r="H77" s="733">
        <f t="shared" si="22"/>
        <v>5444.28</v>
      </c>
      <c r="I77" s="44">
        <f>G77-H77</f>
        <v>-5444.28</v>
      </c>
      <c r="J77" s="330">
        <f>IF(I77=0,"",I77/H77)</f>
        <v>-1</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0"/>
        <v>0</v>
      </c>
      <c r="J79" s="330" t="str">
        <f t="shared" si="21"/>
        <v/>
      </c>
      <c r="K79" s="735"/>
    </row>
    <row r="80" spans="1:11" ht="12.75" customHeight="1" x14ac:dyDescent="0.25">
      <c r="A80" s="518" t="s">
        <v>1053</v>
      </c>
      <c r="B80" s="169"/>
      <c r="C80" s="748"/>
      <c r="D80" s="745"/>
      <c r="E80" s="733"/>
      <c r="F80" s="733"/>
      <c r="G80" s="733"/>
      <c r="H80" s="733"/>
      <c r="I80" s="44">
        <f t="shared" si="20"/>
        <v>0</v>
      </c>
      <c r="J80" s="330" t="str">
        <f t="shared" si="21"/>
        <v/>
      </c>
      <c r="K80" s="735"/>
    </row>
    <row r="81" spans="1:11" ht="12.75" customHeight="1" x14ac:dyDescent="0.25">
      <c r="A81" s="518" t="s">
        <v>1054</v>
      </c>
      <c r="B81" s="169"/>
      <c r="C81" s="748"/>
      <c r="D81" s="745"/>
      <c r="E81" s="733"/>
      <c r="F81" s="733"/>
      <c r="G81" s="733"/>
      <c r="H81" s="733"/>
      <c r="I81" s="44">
        <f t="shared" si="20"/>
        <v>0</v>
      </c>
      <c r="J81" s="330" t="str">
        <f t="shared" si="21"/>
        <v/>
      </c>
      <c r="K81" s="735"/>
    </row>
    <row r="82" spans="1:11" ht="12.75" customHeight="1" x14ac:dyDescent="0.25">
      <c r="A82" s="518" t="s">
        <v>1055</v>
      </c>
      <c r="B82" s="169">
        <v>2</v>
      </c>
      <c r="C82" s="748"/>
      <c r="D82" s="745"/>
      <c r="E82" s="733"/>
      <c r="F82" s="733"/>
      <c r="G82" s="733"/>
      <c r="H82" s="733"/>
      <c r="I82" s="44">
        <f t="shared" si="20"/>
        <v>0</v>
      </c>
      <c r="J82" s="330" t="str">
        <f t="shared" si="21"/>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57102.11</v>
      </c>
      <c r="G83" s="430">
        <f>SUM(G71:G82)</f>
        <v>508416.27</v>
      </c>
      <c r="H83" s="430">
        <f>SUM(H71:H82)</f>
        <v>469906.39289999992</v>
      </c>
      <c r="I83" s="430">
        <f t="shared" si="20"/>
        <v>38509.8771000001</v>
      </c>
      <c r="J83" s="431">
        <f>IF(I83=0,"",I83/H83)</f>
        <v>8.1952230660959163E-2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461142.33</v>
      </c>
      <c r="G87" s="733">
        <v>4091550.76</v>
      </c>
      <c r="H87" s="733">
        <f t="shared" ref="H87:H93" si="25">E87/12*8</f>
        <v>4513058.3665432809</v>
      </c>
      <c r="I87" s="44">
        <f t="shared" ref="I87:I99" si="26">G87-H87</f>
        <v>-421507.60654328112</v>
      </c>
      <c r="J87" s="330">
        <f t="shared" ref="J87:J98" si="27">IF(I87=0,"",I87/H87)</f>
        <v>-9.3397331102130068E-2</v>
      </c>
      <c r="K87" s="735">
        <f t="shared" ref="K87:K95" si="28">E87</f>
        <v>6769587.5498149209</v>
      </c>
    </row>
    <row r="88" spans="1:11" ht="12.75" customHeight="1" x14ac:dyDescent="0.25">
      <c r="A88" s="518" t="s">
        <v>1048</v>
      </c>
      <c r="B88" s="169"/>
      <c r="C88" s="748"/>
      <c r="D88" s="745">
        <v>570880.67137872009</v>
      </c>
      <c r="E88" s="733">
        <v>570880.67137872009</v>
      </c>
      <c r="F88" s="733">
        <v>34244.870000000003</v>
      </c>
      <c r="G88" s="733">
        <v>273958.96000000002</v>
      </c>
      <c r="H88" s="733">
        <f t="shared" si="25"/>
        <v>380587.11425248004</v>
      </c>
      <c r="I88" s="44">
        <f t="shared" si="26"/>
        <v>-106628.15425248002</v>
      </c>
      <c r="J88" s="330">
        <f t="shared" si="27"/>
        <v>-0.28016753657545879</v>
      </c>
      <c r="K88" s="735">
        <f t="shared" si="28"/>
        <v>570880.67137872009</v>
      </c>
    </row>
    <row r="89" spans="1:11" ht="12.75" customHeight="1" x14ac:dyDescent="0.25">
      <c r="A89" s="518" t="s">
        <v>427</v>
      </c>
      <c r="B89" s="169"/>
      <c r="C89" s="748"/>
      <c r="D89" s="745">
        <v>890013.09891456028</v>
      </c>
      <c r="E89" s="733">
        <v>890013.09891456028</v>
      </c>
      <c r="F89" s="733">
        <v>63794.400000000001</v>
      </c>
      <c r="G89" s="733">
        <v>506960.2</v>
      </c>
      <c r="H89" s="733">
        <f t="shared" si="25"/>
        <v>593342.06594304019</v>
      </c>
      <c r="I89" s="44">
        <f>G89-H89</f>
        <v>-86381.865943040175</v>
      </c>
      <c r="J89" s="330">
        <f>IF(I89=0,"",I89/H89)</f>
        <v>-0.14558527180395917</v>
      </c>
      <c r="K89" s="735">
        <f t="shared" si="28"/>
        <v>890013.09891456028</v>
      </c>
    </row>
    <row r="90" spans="1:11" ht="12.75" customHeight="1" x14ac:dyDescent="0.25">
      <c r="A90" s="518" t="s">
        <v>539</v>
      </c>
      <c r="B90" s="169"/>
      <c r="C90" s="748"/>
      <c r="D90" s="745">
        <v>1067347.5086988001</v>
      </c>
      <c r="E90" s="733">
        <v>1067347.5086988001</v>
      </c>
      <c r="F90" s="733">
        <v>84816</v>
      </c>
      <c r="G90" s="733">
        <v>645366</v>
      </c>
      <c r="H90" s="733">
        <f t="shared" si="25"/>
        <v>711565.00579920004</v>
      </c>
      <c r="I90" s="44">
        <f>G90-H90</f>
        <v>-66199.005799200037</v>
      </c>
      <c r="J90" s="330">
        <f>IF(I90=0,"",I90/H90)</f>
        <v>-9.3032969946081151E-2</v>
      </c>
      <c r="K90" s="735">
        <f t="shared" si="28"/>
        <v>1067347.5086988001</v>
      </c>
    </row>
    <row r="91" spans="1:11" ht="12.75" customHeight="1" x14ac:dyDescent="0.25">
      <c r="A91" s="518" t="s">
        <v>429</v>
      </c>
      <c r="B91" s="169"/>
      <c r="C91" s="748"/>
      <c r="D91" s="745">
        <v>690873.07393068005</v>
      </c>
      <c r="E91" s="733">
        <v>690873.07393068005</v>
      </c>
      <c r="F91" s="733">
        <v>4650</v>
      </c>
      <c r="G91" s="733">
        <v>36400</v>
      </c>
      <c r="H91" s="733">
        <f t="shared" si="25"/>
        <v>460582.04928712005</v>
      </c>
      <c r="I91" s="44">
        <f>G91-H91</f>
        <v>-424182.04928712005</v>
      </c>
      <c r="J91" s="330">
        <f>IF(I91=0,"",I91/H91)</f>
        <v>-0.92096956436678501</v>
      </c>
      <c r="K91" s="735">
        <f t="shared" si="28"/>
        <v>690873.07393068005</v>
      </c>
    </row>
    <row r="92" spans="1:11" ht="12.75" customHeight="1" x14ac:dyDescent="0.25">
      <c r="A92" s="518" t="s">
        <v>1049</v>
      </c>
      <c r="B92" s="169"/>
      <c r="C92" s="748"/>
      <c r="D92" s="745">
        <v>195338.53416000001</v>
      </c>
      <c r="E92" s="733">
        <v>195338.53416000001</v>
      </c>
      <c r="F92" s="733">
        <v>8500</v>
      </c>
      <c r="G92" s="733">
        <v>65000</v>
      </c>
      <c r="H92" s="733">
        <f t="shared" si="25"/>
        <v>130225.68944</v>
      </c>
      <c r="I92" s="44">
        <f>G92-H92</f>
        <v>-65225.689440000002</v>
      </c>
      <c r="J92" s="330">
        <f>IF(I92=0,"",I92/H92)</f>
        <v>-0.50086653194531172</v>
      </c>
      <c r="K92" s="735">
        <f t="shared" si="28"/>
        <v>195338.53416000001</v>
      </c>
    </row>
    <row r="93" spans="1:11" ht="12.75" customHeight="1" x14ac:dyDescent="0.25">
      <c r="A93" s="518" t="s">
        <v>1050</v>
      </c>
      <c r="B93" s="169"/>
      <c r="C93" s="748"/>
      <c r="D93" s="745">
        <v>92722.382124000011</v>
      </c>
      <c r="E93" s="733">
        <v>92722.382124000011</v>
      </c>
      <c r="F93" s="733">
        <v>4650</v>
      </c>
      <c r="G93" s="733">
        <v>36400</v>
      </c>
      <c r="H93" s="733">
        <f t="shared" si="25"/>
        <v>61814.921416000005</v>
      </c>
      <c r="I93" s="44">
        <f t="shared" si="26"/>
        <v>-25414.921416000005</v>
      </c>
      <c r="J93" s="330">
        <f t="shared" si="27"/>
        <v>-0.41114541333739651</v>
      </c>
      <c r="K93" s="735">
        <f t="shared" si="28"/>
        <v>92722.382124000011</v>
      </c>
    </row>
    <row r="94" spans="1:11" ht="12.75" customHeight="1" x14ac:dyDescent="0.25">
      <c r="A94" s="518" t="s">
        <v>1051</v>
      </c>
      <c r="B94" s="169"/>
      <c r="C94" s="748"/>
      <c r="D94" s="745"/>
      <c r="E94" s="733"/>
      <c r="F94" s="733"/>
      <c r="G94" s="733"/>
      <c r="H94" s="733"/>
      <c r="I94" s="44">
        <f t="shared" si="26"/>
        <v>0</v>
      </c>
      <c r="J94" s="330" t="str">
        <f t="shared" si="27"/>
        <v/>
      </c>
      <c r="K94" s="735"/>
    </row>
    <row r="95" spans="1:11" ht="12.75" customHeight="1" x14ac:dyDescent="0.25">
      <c r="A95" s="518" t="s">
        <v>1052</v>
      </c>
      <c r="B95" s="169"/>
      <c r="C95" s="748"/>
      <c r="D95" s="745">
        <v>84982.409815920022</v>
      </c>
      <c r="E95" s="733">
        <v>84982.409815920022</v>
      </c>
      <c r="F95" s="733"/>
      <c r="G95" s="733"/>
      <c r="H95" s="733">
        <f>E95/12*8</f>
        <v>56654.939877280012</v>
      </c>
      <c r="I95" s="44">
        <f t="shared" si="26"/>
        <v>-56654.939877280012</v>
      </c>
      <c r="J95" s="330">
        <f t="shared" si="27"/>
        <v>-1</v>
      </c>
      <c r="K95" s="735">
        <f t="shared" si="28"/>
        <v>84982.409815920022</v>
      </c>
    </row>
    <row r="96" spans="1:11" ht="12.75" customHeight="1" x14ac:dyDescent="0.25">
      <c r="A96" s="518" t="s">
        <v>1053</v>
      </c>
      <c r="B96" s="169"/>
      <c r="C96" s="748"/>
      <c r="D96" s="745"/>
      <c r="E96" s="733"/>
      <c r="F96" s="733"/>
      <c r="G96" s="733"/>
      <c r="H96" s="733"/>
      <c r="I96" s="44">
        <f t="shared" si="26"/>
        <v>0</v>
      </c>
      <c r="J96" s="330" t="str">
        <f t="shared" si="27"/>
        <v/>
      </c>
      <c r="K96" s="735"/>
    </row>
    <row r="97" spans="1:14" ht="12.75" customHeight="1" x14ac:dyDescent="0.25">
      <c r="A97" s="518" t="s">
        <v>1054</v>
      </c>
      <c r="B97" s="169"/>
      <c r="C97" s="748"/>
      <c r="D97" s="745"/>
      <c r="E97" s="733"/>
      <c r="F97" s="733"/>
      <c r="G97" s="733"/>
      <c r="H97" s="733"/>
      <c r="I97" s="44">
        <f t="shared" si="26"/>
        <v>0</v>
      </c>
      <c r="J97" s="330" t="str">
        <f t="shared" si="27"/>
        <v/>
      </c>
      <c r="K97" s="735"/>
    </row>
    <row r="98" spans="1:14" ht="12.75" customHeight="1" x14ac:dyDescent="0.25">
      <c r="A98" s="518" t="s">
        <v>1055</v>
      </c>
      <c r="B98" s="169"/>
      <c r="C98" s="748"/>
      <c r="D98" s="745"/>
      <c r="E98" s="733"/>
      <c r="F98" s="733"/>
      <c r="G98" s="733"/>
      <c r="H98" s="733"/>
      <c r="I98" s="44">
        <f t="shared" si="26"/>
        <v>0</v>
      </c>
      <c r="J98" s="330" t="str">
        <f t="shared" si="27"/>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661797.6</v>
      </c>
      <c r="G99" s="430">
        <f t="shared" si="29"/>
        <v>5655635.9199999999</v>
      </c>
      <c r="H99" s="430">
        <f t="shared" si="29"/>
        <v>6907830.1525584012</v>
      </c>
      <c r="I99" s="430">
        <f t="shared" si="26"/>
        <v>-1252194.2325584013</v>
      </c>
      <c r="J99" s="431">
        <f>IF(I99=0,"",I99/H99)</f>
        <v>-0.18127171700865222</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718899.71</v>
      </c>
      <c r="G102" s="430">
        <f t="shared" si="30"/>
        <v>6241724.2199999997</v>
      </c>
      <c r="H102" s="430">
        <f t="shared" si="30"/>
        <v>7377736.5454584016</v>
      </c>
      <c r="I102" s="430">
        <f>G102-H102</f>
        <v>-1136012.3254584018</v>
      </c>
      <c r="J102" s="431">
        <f>IF(I102=0,"",I102/H102)</f>
        <v>-0.15397843477586767</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110849797.12999998</v>
      </c>
      <c r="G104" s="55">
        <f t="shared" si="31"/>
        <v>951223532.53999984</v>
      </c>
      <c r="H104" s="55">
        <f t="shared" si="31"/>
        <v>996609653.03030062</v>
      </c>
      <c r="I104" s="55">
        <f>G104-H104</f>
        <v>-45386120.490300775</v>
      </c>
      <c r="J104" s="332">
        <f>IF(I104=0,"",I104/H104)</f>
        <v>-4.5540518649703335E-2</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104984371.01999997</v>
      </c>
      <c r="G106" s="55">
        <f t="shared" si="32"/>
        <v>915592841.5799998</v>
      </c>
      <c r="H106" s="55">
        <f t="shared" si="32"/>
        <v>960842718.95331395</v>
      </c>
      <c r="I106" s="55">
        <f t="shared" si="32"/>
        <v>-45249877.373314016</v>
      </c>
      <c r="J106" s="888">
        <f>IF(I106=0,"",I106/H106)</f>
        <v>-4.7093948344227025E-2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5" activePane="bottomRight" state="frozen"/>
      <selection pane="topRight"/>
      <selection pane="bottomLeft"/>
      <selection pane="bottomRight" activeCell="O63" sqref="O63"/>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M08 February</v>
      </c>
      <c r="B1" s="68"/>
    </row>
    <row r="2" spans="1:17" ht="25.5" customHeight="1" x14ac:dyDescent="0.25">
      <c r="A2" s="1044" t="str">
        <f>desc</f>
        <v>Description</v>
      </c>
      <c r="B2" s="1037" t="str">
        <f>head27</f>
        <v>Ref</v>
      </c>
      <c r="C2" s="1039" t="str">
        <f>Head2</f>
        <v>Budget Year 2020/21</v>
      </c>
      <c r="D2" s="1040"/>
      <c r="E2" s="1040"/>
      <c r="F2" s="1040"/>
      <c r="G2" s="1040"/>
      <c r="H2" s="1040"/>
      <c r="I2" s="1040"/>
      <c r="J2" s="1040"/>
      <c r="K2" s="1040"/>
      <c r="L2" s="1040"/>
      <c r="M2" s="1040"/>
      <c r="N2" s="1091"/>
      <c r="O2" s="1039" t="str">
        <f>'Template names'!B5</f>
        <v>2020/21 Medium Term Revenue &amp; Expenditure Framework</v>
      </c>
      <c r="P2" s="1040"/>
      <c r="Q2" s="1041"/>
    </row>
    <row r="3" spans="1:17" ht="12.75" customHeight="1" x14ac:dyDescent="0.25">
      <c r="A3" s="1045"/>
      <c r="B3" s="1048"/>
      <c r="C3" s="143" t="s">
        <v>782</v>
      </c>
      <c r="D3" s="27" t="s">
        <v>905</v>
      </c>
      <c r="E3" s="27" t="s">
        <v>3</v>
      </c>
      <c r="F3" s="27" t="s">
        <v>906</v>
      </c>
      <c r="G3" s="27" t="s">
        <v>4</v>
      </c>
      <c r="H3" s="27" t="s">
        <v>5</v>
      </c>
      <c r="I3" s="27" t="s">
        <v>909</v>
      </c>
      <c r="J3" s="27" t="s">
        <v>6</v>
      </c>
      <c r="K3" s="27" t="s">
        <v>911</v>
      </c>
      <c r="L3" s="27" t="s">
        <v>912</v>
      </c>
      <c r="M3" s="27" t="s">
        <v>913</v>
      </c>
      <c r="N3" s="163" t="s">
        <v>914</v>
      </c>
      <c r="O3" s="1089" t="str">
        <f>Head9</f>
        <v>Budget Year 2020/21</v>
      </c>
      <c r="P3" s="1085" t="str">
        <f>Head10</f>
        <v>Budget Year +1 2021/22</v>
      </c>
      <c r="Q3" s="1087"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90"/>
      <c r="P4" s="1086"/>
      <c r="Q4" s="1088"/>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C15" sqref="C15"/>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"&amp;S71P&amp; " - "&amp;Head57</f>
        <v>KZN225 Msunduzi - Supporting Table SC10 Monthly Budget Statement  - Parent Municipality Financial Performance (revenue and expenditure)  - M08 February</v>
      </c>
      <c r="B1" s="1055"/>
      <c r="C1" s="1055"/>
      <c r="D1" s="1055"/>
      <c r="E1" s="1055"/>
      <c r="F1" s="1055"/>
      <c r="G1" s="1055"/>
      <c r="H1" s="1055"/>
      <c r="I1" s="1055"/>
      <c r="J1" s="1055"/>
      <c r="K1" s="1055"/>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102261807.64</v>
      </c>
      <c r="G6" s="733">
        <v>812876501.57000005</v>
      </c>
      <c r="H6" s="733">
        <f>E6/12*8</f>
        <v>846529729.34786654</v>
      </c>
      <c r="I6" s="44">
        <f t="shared" ref="I6:I21" si="0">G6-H6</f>
        <v>-33653227.777866483</v>
      </c>
      <c r="J6" s="330">
        <f>IF(I6=0,"",I6/H6)</f>
        <v>-3.9754336571016374E-2</v>
      </c>
      <c r="K6" s="735">
        <f>E6</f>
        <v>1269794594.0217998</v>
      </c>
    </row>
    <row r="7" spans="1:11" ht="12.75" customHeight="1" x14ac:dyDescent="0.25">
      <c r="A7" s="39" t="str">
        <f>'C4-FinPerf RE'!A7</f>
        <v>Service charges - electricity revenue</v>
      </c>
      <c r="B7" s="169"/>
      <c r="C7" s="748"/>
      <c r="D7" s="745">
        <v>2584775677.1378117</v>
      </c>
      <c r="E7" s="733">
        <v>2584775677.1378117</v>
      </c>
      <c r="F7" s="733">
        <v>178503102.63</v>
      </c>
      <c r="G7" s="733">
        <v>1545160553.95</v>
      </c>
      <c r="H7" s="733">
        <f t="shared" ref="H7:H9" si="1">E7/12*8</f>
        <v>1723183784.7585411</v>
      </c>
      <c r="I7" s="44">
        <f t="shared" si="0"/>
        <v>-178023230.80854106</v>
      </c>
      <c r="J7" s="330">
        <f t="shared" ref="J7:J22" si="2">IF(I7=0,"",I7/H7)</f>
        <v>-0.10331064648074456</v>
      </c>
      <c r="K7" s="735">
        <f>E7</f>
        <v>2584775677.1378117</v>
      </c>
    </row>
    <row r="8" spans="1:11" ht="12.75" customHeight="1" x14ac:dyDescent="0.25">
      <c r="A8" s="86" t="str">
        <f>'C4-FinPerf RE'!A8</f>
        <v>Service charges - water revenue</v>
      </c>
      <c r="B8" s="171"/>
      <c r="C8" s="748"/>
      <c r="D8" s="745">
        <v>722633094.82360029</v>
      </c>
      <c r="E8" s="733">
        <v>722633094.82360029</v>
      </c>
      <c r="F8" s="733">
        <v>58249767.920000002</v>
      </c>
      <c r="G8" s="733">
        <v>521293784.55000001</v>
      </c>
      <c r="H8" s="733">
        <f t="shared" si="1"/>
        <v>481755396.54906684</v>
      </c>
      <c r="I8" s="44">
        <f t="shared" si="0"/>
        <v>39538388.00093317</v>
      </c>
      <c r="J8" s="330">
        <f t="shared" si="2"/>
        <v>8.207149994407209E-2</v>
      </c>
      <c r="K8" s="735">
        <f>E8</f>
        <v>722633094.82360029</v>
      </c>
    </row>
    <row r="9" spans="1:11" ht="12.75" customHeight="1" x14ac:dyDescent="0.25">
      <c r="A9" s="86" t="str">
        <f>'C4-FinPerf RE'!A9</f>
        <v>Service charges - sanitation revenue</v>
      </c>
      <c r="B9" s="171"/>
      <c r="C9" s="748"/>
      <c r="D9" s="745">
        <v>152021749.3608</v>
      </c>
      <c r="E9" s="733">
        <v>152021749.3608</v>
      </c>
      <c r="F9" s="733">
        <v>8119425.5099999998</v>
      </c>
      <c r="G9" s="733">
        <v>104289441.81999999</v>
      </c>
      <c r="H9" s="733">
        <f t="shared" si="1"/>
        <v>101347832.90719999</v>
      </c>
      <c r="I9" s="44">
        <f t="shared" si="0"/>
        <v>2941608.9127999991</v>
      </c>
      <c r="J9" s="330">
        <f t="shared" si="2"/>
        <v>2.9024882214240419E-2</v>
      </c>
      <c r="K9" s="735">
        <f>E9</f>
        <v>152021749.3608</v>
      </c>
    </row>
    <row r="10" spans="1:11" ht="12.75" customHeight="1" x14ac:dyDescent="0.25">
      <c r="A10" s="86" t="str">
        <f>'C4-FinPerf RE'!A10</f>
        <v>Service charges - refuse revenue</v>
      </c>
      <c r="B10" s="171"/>
      <c r="C10" s="748"/>
      <c r="D10" s="745">
        <v>116333080.9707</v>
      </c>
      <c r="E10" s="733">
        <v>116333080.9707</v>
      </c>
      <c r="F10" s="733">
        <v>8967013.0299999993</v>
      </c>
      <c r="G10" s="733">
        <v>71260319.329999998</v>
      </c>
      <c r="H10" s="733">
        <f>E10/12*8</f>
        <v>77555387.313799992</v>
      </c>
      <c r="I10" s="44">
        <f t="shared" si="0"/>
        <v>-6295067.983799994</v>
      </c>
      <c r="J10" s="330">
        <f t="shared" si="2"/>
        <v>-8.1168674438169774E-2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2035243.74</v>
      </c>
      <c r="G12" s="733">
        <v>6935598.4699999997</v>
      </c>
      <c r="H12" s="733">
        <f t="shared" ref="H12:H14" si="3">E12/12*8</f>
        <v>19385865.084666662</v>
      </c>
      <c r="I12" s="44">
        <f t="shared" si="0"/>
        <v>-12450266.614666663</v>
      </c>
      <c r="J12" s="330">
        <f t="shared" si="2"/>
        <v>-0.64223425471552764</v>
      </c>
      <c r="K12" s="735">
        <f>E12</f>
        <v>29078797.626999993</v>
      </c>
    </row>
    <row r="13" spans="1:11" ht="12.75" customHeight="1" x14ac:dyDescent="0.25">
      <c r="A13" s="86" t="str">
        <f>'C4-FinPerf RE'!A13</f>
        <v>Interest earned - external investments</v>
      </c>
      <c r="B13" s="171"/>
      <c r="C13" s="748"/>
      <c r="D13" s="745">
        <v>15260422.42725</v>
      </c>
      <c r="E13" s="733">
        <v>15260422.42725</v>
      </c>
      <c r="F13" s="733">
        <v>652535.74</v>
      </c>
      <c r="G13" s="733">
        <v>4784692.5</v>
      </c>
      <c r="H13" s="733">
        <f t="shared" si="3"/>
        <v>10173614.9515</v>
      </c>
      <c r="I13" s="44">
        <f t="shared" si="0"/>
        <v>-5388922.4515000004</v>
      </c>
      <c r="J13" s="330">
        <f t="shared" si="2"/>
        <v>-0.52969593179909524</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17260983</v>
      </c>
      <c r="G14" s="733">
        <v>125582384.97</v>
      </c>
      <c r="H14" s="733">
        <f t="shared" si="3"/>
        <v>134971862.59039998</v>
      </c>
      <c r="I14" s="44">
        <f t="shared" si="0"/>
        <v>-9389477.6203999817</v>
      </c>
      <c r="J14" s="330">
        <f t="shared" si="2"/>
        <v>-6.9566185427064109E-2</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2"/>
        <v/>
      </c>
      <c r="K15" s="735"/>
    </row>
    <row r="16" spans="1:11" ht="12.75" customHeight="1" x14ac:dyDescent="0.25">
      <c r="A16" s="86" t="str">
        <f>'C4-FinPerf RE'!A16</f>
        <v>Fines, penalties and forfeits</v>
      </c>
      <c r="B16" s="171"/>
      <c r="C16" s="748"/>
      <c r="D16" s="745">
        <v>1798551.4436999999</v>
      </c>
      <c r="E16" s="733">
        <v>1798551.4436999999</v>
      </c>
      <c r="F16" s="733">
        <v>87134.76</v>
      </c>
      <c r="G16" s="733">
        <v>417011.72</v>
      </c>
      <c r="H16" s="733">
        <f t="shared" ref="H16:H20" si="4">E16/12*8</f>
        <v>1199034.2958</v>
      </c>
      <c r="I16" s="44">
        <f t="shared" si="0"/>
        <v>-782022.57579999999</v>
      </c>
      <c r="J16" s="330">
        <f t="shared" si="2"/>
        <v>-0.65221034839393954</v>
      </c>
      <c r="K16" s="735">
        <f t="shared" ref="K16:K20" si="5">E16</f>
        <v>1798551.4436999999</v>
      </c>
    </row>
    <row r="17" spans="1:11" ht="12.75" customHeight="1" x14ac:dyDescent="0.25">
      <c r="A17" s="86" t="str">
        <f>'C4-FinPerf RE'!A17</f>
        <v>Licences and permits</v>
      </c>
      <c r="B17" s="171"/>
      <c r="C17" s="748"/>
      <c r="D17" s="745">
        <v>1119569.0055</v>
      </c>
      <c r="E17" s="733">
        <v>1119569.0055</v>
      </c>
      <c r="F17" s="733">
        <v>56896.87</v>
      </c>
      <c r="G17" s="733">
        <v>343541.09</v>
      </c>
      <c r="H17" s="733">
        <f t="shared" si="4"/>
        <v>746379.33699999994</v>
      </c>
      <c r="I17" s="44">
        <f t="shared" si="0"/>
        <v>-402838.24699999992</v>
      </c>
      <c r="J17" s="330">
        <f t="shared" si="2"/>
        <v>-0.53972320377888483</v>
      </c>
      <c r="K17" s="735">
        <f t="shared" si="5"/>
        <v>1119569.0055</v>
      </c>
    </row>
    <row r="18" spans="1:11" ht="12.75" customHeight="1" x14ac:dyDescent="0.25">
      <c r="A18" s="86" t="str">
        <f>'C4-FinPerf RE'!A18</f>
        <v>Agency services</v>
      </c>
      <c r="B18" s="171"/>
      <c r="C18" s="748"/>
      <c r="D18" s="745">
        <v>601902.02599999995</v>
      </c>
      <c r="E18" s="733">
        <v>601902.02599999995</v>
      </c>
      <c r="F18" s="733">
        <v>44860</v>
      </c>
      <c r="G18" s="733">
        <v>1017300</v>
      </c>
      <c r="H18" s="733">
        <f t="shared" si="4"/>
        <v>401268.01733333332</v>
      </c>
      <c r="I18" s="44">
        <f t="shared" si="0"/>
        <v>616031.98266666662</v>
      </c>
      <c r="J18" s="330">
        <f t="shared" si="2"/>
        <v>1.5352132640935818</v>
      </c>
      <c r="K18" s="735">
        <f t="shared" si="5"/>
        <v>601902.02599999995</v>
      </c>
    </row>
    <row r="19" spans="1:11" ht="12.75" customHeight="1" x14ac:dyDescent="0.25">
      <c r="A19" s="86" t="str">
        <f>'C4-FinPerf RE'!A19</f>
        <v>Transfers and subsidies</v>
      </c>
      <c r="B19" s="171"/>
      <c r="C19" s="748"/>
      <c r="D19" s="745">
        <v>675483240</v>
      </c>
      <c r="E19" s="733">
        <v>764481240</v>
      </c>
      <c r="F19" s="733">
        <v>5576449.54</v>
      </c>
      <c r="G19" s="733">
        <v>578024097.55999994</v>
      </c>
      <c r="H19" s="733">
        <f t="shared" si="4"/>
        <v>509654160</v>
      </c>
      <c r="I19" s="44">
        <f t="shared" si="0"/>
        <v>68369937.559999943</v>
      </c>
      <c r="J19" s="330">
        <f t="shared" si="2"/>
        <v>0.13414967035685521</v>
      </c>
      <c r="K19" s="735">
        <f t="shared" si="5"/>
        <v>764481240</v>
      </c>
    </row>
    <row r="20" spans="1:11" ht="12.75" customHeight="1" x14ac:dyDescent="0.25">
      <c r="A20" s="86" t="str">
        <f>'C4-FinPerf RE'!A20</f>
        <v>Other revenue</v>
      </c>
      <c r="B20" s="171"/>
      <c r="C20" s="748"/>
      <c r="D20" s="745">
        <v>146451785.14229998</v>
      </c>
      <c r="E20" s="733">
        <v>146451785.14229998</v>
      </c>
      <c r="F20" s="733">
        <v>4917366.1100000003</v>
      </c>
      <c r="G20" s="733">
        <v>53033441.939999998</v>
      </c>
      <c r="H20" s="733">
        <f t="shared" si="4"/>
        <v>97634523.428199992</v>
      </c>
      <c r="I20" s="44">
        <f t="shared" si="0"/>
        <v>-44601081.488199994</v>
      </c>
      <c r="J20" s="330">
        <f t="shared" si="2"/>
        <v>-0.45681670706365907</v>
      </c>
      <c r="K20" s="735">
        <f t="shared" si="5"/>
        <v>146451785.14229998</v>
      </c>
    </row>
    <row r="21" spans="1:11" ht="12.75" customHeight="1" x14ac:dyDescent="0.25">
      <c r="A21" s="39" t="str">
        <f>'C4-FinPerf RE'!A21</f>
        <v>Gains</v>
      </c>
      <c r="B21" s="169"/>
      <c r="C21" s="748"/>
      <c r="D21" s="745"/>
      <c r="E21" s="733"/>
      <c r="F21" s="733"/>
      <c r="G21" s="733"/>
      <c r="H21" s="733"/>
      <c r="I21" s="44">
        <f t="shared" si="0"/>
        <v>0</v>
      </c>
      <c r="J21" s="330" t="str">
        <f t="shared" si="2"/>
        <v/>
      </c>
      <c r="K21" s="735"/>
    </row>
    <row r="22" spans="1:11" ht="12.75" customHeight="1" x14ac:dyDescent="0.25">
      <c r="A22" s="547" t="s">
        <v>134</v>
      </c>
      <c r="B22" s="547"/>
      <c r="C22" s="243">
        <f t="shared" ref="C22:H22" si="6">SUM(C6:C10)+SUM(C12:C21)</f>
        <v>0</v>
      </c>
      <c r="D22" s="74">
        <f t="shared" si="6"/>
        <v>5917810257.8720617</v>
      </c>
      <c r="E22" s="73">
        <f t="shared" si="6"/>
        <v>6006808257.8720617</v>
      </c>
      <c r="F22" s="73">
        <f t="shared" si="6"/>
        <v>386732586.48999995</v>
      </c>
      <c r="G22" s="73">
        <f t="shared" si="6"/>
        <v>3825018669.4700003</v>
      </c>
      <c r="H22" s="73">
        <f t="shared" si="6"/>
        <v>4004538838.5813742</v>
      </c>
      <c r="I22" s="73">
        <f>G22-H22</f>
        <v>-179520169.1113739</v>
      </c>
      <c r="J22" s="331">
        <f t="shared" si="2"/>
        <v>-4.4829174181506934E-2</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104979721.02000006</v>
      </c>
      <c r="G25" s="733">
        <v>915634113.61000085</v>
      </c>
      <c r="H25" s="733">
        <f t="shared" ref="H25:H34" si="7">E25/12*8</f>
        <v>985549536.16633892</v>
      </c>
      <c r="I25" s="44">
        <f t="shared" ref="I25:I44" si="8">G25-H25</f>
        <v>-69915422.556338072</v>
      </c>
      <c r="J25" s="330">
        <f t="shared" ref="J25:J44" si="9">IF(I25=0,"",I25/H25)</f>
        <v>-7.0940546355792611E-2</v>
      </c>
      <c r="K25" s="735">
        <f t="shared" ref="K25:K34" si="10">E25</f>
        <v>1478324304.2495084</v>
      </c>
    </row>
    <row r="26" spans="1:11" ht="12.75" customHeight="1" x14ac:dyDescent="0.25">
      <c r="A26" s="39" t="str">
        <f>'C4-FinPerf RE'!A26</f>
        <v>Remuneration of councillors</v>
      </c>
      <c r="B26" s="169"/>
      <c r="C26" s="748"/>
      <c r="D26" s="745">
        <v>53650401.115479976</v>
      </c>
      <c r="E26" s="733">
        <v>53650401.439999998</v>
      </c>
      <c r="F26" s="733">
        <v>5865426.1100000003</v>
      </c>
      <c r="G26" s="733">
        <v>35553018.93</v>
      </c>
      <c r="H26" s="733">
        <f t="shared" si="7"/>
        <v>35766934.293333329</v>
      </c>
      <c r="I26" s="44">
        <f t="shared" si="8"/>
        <v>-213915.36333332956</v>
      </c>
      <c r="J26" s="330">
        <f t="shared" si="9"/>
        <v>-5.9808134960340079E-3</v>
      </c>
      <c r="K26" s="735">
        <f t="shared" si="10"/>
        <v>53650401.439999998</v>
      </c>
    </row>
    <row r="27" spans="1:11" ht="12.75" customHeight="1" x14ac:dyDescent="0.25">
      <c r="A27" s="39" t="str">
        <f>'C4-FinPerf RE'!A27</f>
        <v>Debt impairment</v>
      </c>
      <c r="B27" s="171"/>
      <c r="C27" s="748"/>
      <c r="D27" s="745">
        <v>123904143.27200001</v>
      </c>
      <c r="E27" s="733">
        <v>123904143.27200001</v>
      </c>
      <c r="F27" s="733">
        <v>41716.419999999984</v>
      </c>
      <c r="G27" s="733">
        <v>81494907.719999999</v>
      </c>
      <c r="H27" s="733">
        <f t="shared" si="7"/>
        <v>82602762.181333348</v>
      </c>
      <c r="I27" s="44">
        <f t="shared" si="8"/>
        <v>-1107854.4613333493</v>
      </c>
      <c r="J27" s="330">
        <f t="shared" si="9"/>
        <v>-1.3411833116443936E-2</v>
      </c>
      <c r="K27" s="735">
        <f t="shared" si="10"/>
        <v>123904143.27200001</v>
      </c>
    </row>
    <row r="28" spans="1:11" ht="12.75" customHeight="1" x14ac:dyDescent="0.25">
      <c r="A28" s="39" t="str">
        <f>'C4-FinPerf RE'!A28</f>
        <v>Depreciation &amp; asset impairment</v>
      </c>
      <c r="B28" s="171"/>
      <c r="C28" s="748"/>
      <c r="D28" s="745">
        <v>488991448.27473986</v>
      </c>
      <c r="E28" s="733">
        <v>482441448.55050021</v>
      </c>
      <c r="F28" s="733">
        <v>32524868.070000011</v>
      </c>
      <c r="G28" s="733">
        <v>281220239.93000007</v>
      </c>
      <c r="H28" s="733">
        <f t="shared" si="7"/>
        <v>321627632.36700016</v>
      </c>
      <c r="I28" s="44">
        <f t="shared" si="8"/>
        <v>-40407392.437000096</v>
      </c>
      <c r="J28" s="330">
        <f t="shared" si="9"/>
        <v>-0.12563408230699646</v>
      </c>
      <c r="K28" s="735">
        <f t="shared" si="10"/>
        <v>482441448.55050021</v>
      </c>
    </row>
    <row r="29" spans="1:11" ht="12.75" customHeight="1" x14ac:dyDescent="0.25">
      <c r="A29" s="39" t="str">
        <f>'C4-FinPerf RE'!A29</f>
        <v>Finance charges</v>
      </c>
      <c r="B29" s="171"/>
      <c r="C29" s="748"/>
      <c r="D29" s="745">
        <v>31793212.220000003</v>
      </c>
      <c r="E29" s="733">
        <v>36505334.219999969</v>
      </c>
      <c r="F29" s="733">
        <v>2575288.0100000002</v>
      </c>
      <c r="G29" s="733">
        <v>24969974.100000001</v>
      </c>
      <c r="H29" s="733">
        <f t="shared" si="7"/>
        <v>24336889.479999978</v>
      </c>
      <c r="I29" s="44">
        <f t="shared" si="8"/>
        <v>633084.62000002339</v>
      </c>
      <c r="J29" s="330">
        <f t="shared" si="9"/>
        <v>2.6013374491439898E-2</v>
      </c>
      <c r="K29" s="735">
        <f t="shared" si="10"/>
        <v>36505334.219999969</v>
      </c>
    </row>
    <row r="30" spans="1:11" ht="12.75" customHeight="1" x14ac:dyDescent="0.25">
      <c r="A30" s="39" t="str">
        <f>'C4-FinPerf RE'!A30</f>
        <v>Bulk purchases</v>
      </c>
      <c r="B30" s="171"/>
      <c r="C30" s="748"/>
      <c r="D30" s="745">
        <v>2608224084.5041752</v>
      </c>
      <c r="E30" s="733">
        <v>2608224084.5041752</v>
      </c>
      <c r="F30" s="733">
        <v>177184082.38</v>
      </c>
      <c r="G30" s="733">
        <v>1769106178.3500001</v>
      </c>
      <c r="H30" s="733">
        <f t="shared" si="7"/>
        <v>1738816056.3361168</v>
      </c>
      <c r="I30" s="44">
        <f t="shared" si="8"/>
        <v>30290122.013883352</v>
      </c>
      <c r="J30" s="330">
        <f t="shared" si="9"/>
        <v>1.7419969124110854E-2</v>
      </c>
      <c r="K30" s="735">
        <f t="shared" si="10"/>
        <v>2608224084.5041752</v>
      </c>
    </row>
    <row r="31" spans="1:11" ht="12.75" customHeight="1" x14ac:dyDescent="0.25">
      <c r="A31" s="39" t="str">
        <f>'C4-FinPerf RE'!A31</f>
        <v>Other materials</v>
      </c>
      <c r="B31" s="171"/>
      <c r="C31" s="748"/>
      <c r="D31" s="745">
        <v>46574816.042614385</v>
      </c>
      <c r="E31" s="733">
        <v>63710306.143800952</v>
      </c>
      <c r="F31" s="733">
        <v>2937117.2299999995</v>
      </c>
      <c r="G31" s="733">
        <v>23257228.460000008</v>
      </c>
      <c r="H31" s="733">
        <f t="shared" si="7"/>
        <v>42473537.429200634</v>
      </c>
      <c r="I31" s="44">
        <f t="shared" si="8"/>
        <v>-19216308.969200626</v>
      </c>
      <c r="J31" s="330">
        <f t="shared" si="9"/>
        <v>-0.45243015139090764</v>
      </c>
      <c r="K31" s="735">
        <f t="shared" si="10"/>
        <v>63710306.143800952</v>
      </c>
    </row>
    <row r="32" spans="1:11" ht="12.75" customHeight="1" x14ac:dyDescent="0.25">
      <c r="A32" s="39" t="str">
        <f>'C4-FinPerf RE'!A32</f>
        <v>Contracted services</v>
      </c>
      <c r="B32" s="171"/>
      <c r="C32" s="748"/>
      <c r="D32" s="745">
        <v>463787100.72254992</v>
      </c>
      <c r="E32" s="733">
        <v>491460211.0508498</v>
      </c>
      <c r="F32" s="733">
        <v>42149499.589999989</v>
      </c>
      <c r="G32" s="733">
        <v>301859550.32999974</v>
      </c>
      <c r="H32" s="733">
        <f t="shared" si="7"/>
        <v>327640140.70056653</v>
      </c>
      <c r="I32" s="44">
        <f t="shared" si="8"/>
        <v>-25780590.370566785</v>
      </c>
      <c r="J32" s="330">
        <f t="shared" si="9"/>
        <v>-7.8685689474562628E-2</v>
      </c>
      <c r="K32" s="735">
        <f t="shared" si="10"/>
        <v>491460211.0508498</v>
      </c>
    </row>
    <row r="33" spans="1:11" ht="12.75" customHeight="1" x14ac:dyDescent="0.25">
      <c r="A33" s="39" t="str">
        <f>'C4-FinPerf RE'!A33</f>
        <v>Transfers and subsidies</v>
      </c>
      <c r="B33" s="171"/>
      <c r="C33" s="748"/>
      <c r="D33" s="745">
        <v>25080461.44304001</v>
      </c>
      <c r="E33" s="733">
        <v>58680462</v>
      </c>
      <c r="F33" s="733">
        <v>5573958.1299999999</v>
      </c>
      <c r="G33" s="733">
        <v>31482959.32</v>
      </c>
      <c r="H33" s="733">
        <f t="shared" si="7"/>
        <v>39120308</v>
      </c>
      <c r="I33" s="44">
        <f t="shared" si="8"/>
        <v>-7637348.6799999997</v>
      </c>
      <c r="J33" s="330">
        <f t="shared" si="9"/>
        <v>-0.19522721242378765</v>
      </c>
      <c r="K33" s="735">
        <f t="shared" si="10"/>
        <v>58680462</v>
      </c>
    </row>
    <row r="34" spans="1:11" ht="12.75" customHeight="1" x14ac:dyDescent="0.25">
      <c r="A34" s="39" t="str">
        <f>'C4-FinPerf RE'!A34</f>
        <v>Other expenditure</v>
      </c>
      <c r="B34" s="171"/>
      <c r="C34" s="748"/>
      <c r="D34" s="745">
        <v>192585810.36394995</v>
      </c>
      <c r="E34" s="733">
        <v>166189163.49623623</v>
      </c>
      <c r="F34" s="733">
        <v>4383837.5699999956</v>
      </c>
      <c r="G34" s="733">
        <v>97994263.810000002</v>
      </c>
      <c r="H34" s="733">
        <f t="shared" si="7"/>
        <v>110792775.66415749</v>
      </c>
      <c r="I34" s="44">
        <f t="shared" si="8"/>
        <v>-12798511.854157493</v>
      </c>
      <c r="J34" s="330">
        <f t="shared" si="9"/>
        <v>-0.11551756671349404</v>
      </c>
      <c r="K34" s="735">
        <f t="shared" si="10"/>
        <v>166189163.49623623</v>
      </c>
    </row>
    <row r="35" spans="1:11" ht="12.75" customHeight="1" x14ac:dyDescent="0.25">
      <c r="A35" s="39" t="str">
        <f>'C4-FinPerf RE'!A35</f>
        <v>Losses</v>
      </c>
      <c r="B35" s="169"/>
      <c r="C35" s="748"/>
      <c r="D35" s="745">
        <v>0</v>
      </c>
      <c r="E35" s="733"/>
      <c r="F35" s="733"/>
      <c r="G35" s="733"/>
      <c r="H35" s="733"/>
      <c r="I35" s="44">
        <f t="shared" si="8"/>
        <v>0</v>
      </c>
      <c r="J35" s="330" t="str">
        <f t="shared" si="9"/>
        <v/>
      </c>
      <c r="K35" s="735"/>
    </row>
    <row r="36" spans="1:11" ht="12.75" customHeight="1" x14ac:dyDescent="0.25">
      <c r="A36" s="350" t="s">
        <v>488</v>
      </c>
      <c r="B36" s="569"/>
      <c r="C36" s="243">
        <f t="shared" ref="C36:H36" si="11">SUM(C25:C35)</f>
        <v>0</v>
      </c>
      <c r="D36" s="74">
        <f t="shared" si="11"/>
        <v>5501964562.0327282</v>
      </c>
      <c r="E36" s="73">
        <f t="shared" si="11"/>
        <v>5563089858.9270697</v>
      </c>
      <c r="F36" s="73">
        <f t="shared" si="11"/>
        <v>378215514.53000003</v>
      </c>
      <c r="G36" s="73">
        <f t="shared" si="11"/>
        <v>3562572434.5600014</v>
      </c>
      <c r="H36" s="73">
        <f t="shared" si="11"/>
        <v>3708726572.6180472</v>
      </c>
      <c r="I36" s="73">
        <f t="shared" si="8"/>
        <v>-146154138.05804586</v>
      </c>
      <c r="J36" s="331">
        <f t="shared" si="9"/>
        <v>-3.9408172912265518E-2</v>
      </c>
      <c r="K36" s="145">
        <f>SUM(K25:K35)</f>
        <v>5563089858.9270697</v>
      </c>
    </row>
    <row r="37" spans="1:11" ht="5.0999999999999996" customHeight="1" x14ac:dyDescent="0.25">
      <c r="A37" s="42"/>
      <c r="B37" s="169"/>
      <c r="C37" s="134"/>
      <c r="D37" s="46"/>
      <c r="E37" s="44"/>
      <c r="F37" s="44"/>
      <c r="G37" s="44"/>
      <c r="H37" s="44"/>
      <c r="I37" s="44">
        <f t="shared" si="8"/>
        <v>0</v>
      </c>
      <c r="J37" s="330"/>
      <c r="K37" s="144"/>
    </row>
    <row r="38" spans="1:11" ht="12.75" customHeight="1" x14ac:dyDescent="0.25">
      <c r="A38" s="87" t="str">
        <f>'C4-FinPerf RE'!A38</f>
        <v>Surplus/(Deficit)</v>
      </c>
      <c r="B38" s="169"/>
      <c r="C38" s="134">
        <f t="shared" ref="C38:H38" si="12">C22-C36</f>
        <v>0</v>
      </c>
      <c r="D38" s="46">
        <f t="shared" si="12"/>
        <v>415845695.83933353</v>
      </c>
      <c r="E38" s="44">
        <f t="shared" si="12"/>
        <v>443718398.94499207</v>
      </c>
      <c r="F38" s="44">
        <f t="shared" si="12"/>
        <v>8517071.9599999189</v>
      </c>
      <c r="G38" s="44">
        <f t="shared" si="12"/>
        <v>262446234.90999889</v>
      </c>
      <c r="H38" s="44">
        <f t="shared" si="12"/>
        <v>295812265.96332693</v>
      </c>
      <c r="I38" s="44">
        <f t="shared" si="8"/>
        <v>-33366031.053328037</v>
      </c>
      <c r="J38" s="330">
        <f t="shared" si="9"/>
        <v>-0.11279461635801323</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30775637.649999999</v>
      </c>
      <c r="G39" s="733">
        <v>285306032.31999999</v>
      </c>
      <c r="H39" s="733">
        <f>E39/12*8</f>
        <v>350594387.33333319</v>
      </c>
      <c r="I39" s="44">
        <f t="shared" si="8"/>
        <v>-65288355.013333201</v>
      </c>
      <c r="J39" s="330">
        <f t="shared" si="9"/>
        <v>-0.18622190591790411</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8"/>
        <v>0</v>
      </c>
      <c r="J40" s="330" t="str">
        <f t="shared" si="9"/>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8"/>
        <v>0</v>
      </c>
      <c r="J41" s="330" t="str">
        <f t="shared" si="9"/>
        <v/>
      </c>
      <c r="K41" s="735"/>
    </row>
    <row r="42" spans="1:11" ht="25.5" x14ac:dyDescent="0.25">
      <c r="A42" s="570" t="str">
        <f>'C4-FinPerf RE'!A42</f>
        <v>Surplus/(Deficit) after capital transfers &amp; contributions</v>
      </c>
      <c r="B42" s="309"/>
      <c r="C42" s="571">
        <f>C38+SUM(C39:C41)</f>
        <v>0</v>
      </c>
      <c r="D42" s="572">
        <f t="shared" ref="D42:K42" si="13">D38+SUM(D39:D41)</f>
        <v>941737276.8393333</v>
      </c>
      <c r="E42" s="514">
        <f t="shared" si="13"/>
        <v>969609979.94499183</v>
      </c>
      <c r="F42" s="514">
        <f t="shared" si="13"/>
        <v>39292709.609999917</v>
      </c>
      <c r="G42" s="514">
        <f t="shared" si="13"/>
        <v>547752267.22999883</v>
      </c>
      <c r="H42" s="514">
        <f t="shared" si="13"/>
        <v>646406653.29666018</v>
      </c>
      <c r="I42" s="514">
        <f t="shared" si="8"/>
        <v>-98654386.066661358</v>
      </c>
      <c r="J42" s="515">
        <f t="shared" si="9"/>
        <v>-0.15261969468217274</v>
      </c>
      <c r="K42" s="573">
        <f t="shared" si="13"/>
        <v>969609979.94499183</v>
      </c>
    </row>
    <row r="43" spans="1:11" ht="12.75" customHeight="1" x14ac:dyDescent="0.25">
      <c r="A43" s="111" t="str">
        <f>'C4-FinPerf RE'!A43</f>
        <v>Taxation</v>
      </c>
      <c r="B43" s="169"/>
      <c r="C43" s="748"/>
      <c r="D43" s="745"/>
      <c r="E43" s="733"/>
      <c r="F43" s="733"/>
      <c r="G43" s="733"/>
      <c r="H43" s="733"/>
      <c r="I43" s="44">
        <f t="shared" si="8"/>
        <v>0</v>
      </c>
      <c r="J43" s="330" t="str">
        <f t="shared" si="9"/>
        <v/>
      </c>
      <c r="K43" s="735"/>
    </row>
    <row r="44" spans="1:11" ht="12.75" customHeight="1" x14ac:dyDescent="0.25">
      <c r="A44" s="53" t="str">
        <f>'C4-FinPerf RE'!A44</f>
        <v>Surplus/(Deficit) after taxation</v>
      </c>
      <c r="B44" s="236"/>
      <c r="C44" s="112">
        <f t="shared" ref="C44:H44" si="14">C42-C43</f>
        <v>0</v>
      </c>
      <c r="D44" s="56">
        <f t="shared" si="14"/>
        <v>941737276.8393333</v>
      </c>
      <c r="E44" s="55">
        <f t="shared" si="14"/>
        <v>969609979.94499183</v>
      </c>
      <c r="F44" s="55">
        <f t="shared" si="14"/>
        <v>39292709.609999917</v>
      </c>
      <c r="G44" s="55">
        <f t="shared" si="14"/>
        <v>547752267.22999883</v>
      </c>
      <c r="H44" s="55">
        <f t="shared" si="14"/>
        <v>646406653.29666018</v>
      </c>
      <c r="I44" s="55">
        <f t="shared" si="8"/>
        <v>-98654386.066661358</v>
      </c>
      <c r="J44" s="332">
        <f t="shared" si="9"/>
        <v>-0.15261969468217274</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5" t="str">
        <f>muni&amp; " - "&amp;S71Q&amp; " - "&amp;Head57</f>
        <v>KZN225 Msunduzi - Supporting Table SC11 Monthly Budget Statement - summary of municipal entities - M08 February</v>
      </c>
      <c r="B1" s="1055"/>
      <c r="C1" s="1055"/>
      <c r="D1" s="1055"/>
      <c r="E1" s="1055"/>
      <c r="F1" s="1055"/>
      <c r="G1" s="1055"/>
      <c r="H1" s="1055"/>
      <c r="I1" s="1055"/>
      <c r="J1" s="1055"/>
      <c r="K1" s="1055"/>
    </row>
    <row r="2" spans="1:11" x14ac:dyDescent="0.25">
      <c r="A2" s="1044" t="str">
        <f>desc</f>
        <v>Description</v>
      </c>
      <c r="B2" s="1037" t="str">
        <f>head27</f>
        <v>Ref</v>
      </c>
      <c r="C2" s="158" t="str">
        <f>Head1</f>
        <v>2019/20</v>
      </c>
      <c r="D2" s="1039" t="str">
        <f>Head2</f>
        <v>Budget Year 2020/21</v>
      </c>
      <c r="E2" s="1040"/>
      <c r="F2" s="1040"/>
      <c r="G2" s="1040"/>
      <c r="H2" s="1040"/>
      <c r="I2" s="1040"/>
      <c r="J2" s="1040"/>
      <c r="K2" s="1041"/>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G36" sqref="G36"/>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5" t="str">
        <f>muni&amp; " - "&amp;S71R&amp; " - "&amp;Head57</f>
        <v>KZN225 Msunduzi - Supporting Table SC12 Consolidated Monthly Budget Statement - capital expenditure trend  - M08 February</v>
      </c>
      <c r="B1" s="1055"/>
      <c r="C1" s="1055"/>
      <c r="D1" s="1055"/>
      <c r="E1" s="1055"/>
      <c r="F1" s="1055"/>
      <c r="G1" s="1055"/>
      <c r="H1" s="1055"/>
      <c r="I1" s="1055"/>
      <c r="J1" s="1055"/>
    </row>
    <row r="2" spans="1:10" x14ac:dyDescent="0.25">
      <c r="A2" s="1044" t="s">
        <v>887</v>
      </c>
      <c r="B2" s="139" t="str">
        <f>Head1</f>
        <v>2019/20</v>
      </c>
      <c r="C2" s="1039" t="str">
        <f>Head2</f>
        <v>Budget Year 2020/21</v>
      </c>
      <c r="D2" s="1040"/>
      <c r="E2" s="1040"/>
      <c r="F2" s="1040"/>
      <c r="G2" s="1040"/>
      <c r="H2" s="1040"/>
      <c r="I2" s="1040"/>
      <c r="J2" s="1041"/>
    </row>
    <row r="3" spans="1:10" ht="38.25" x14ac:dyDescent="0.25">
      <c r="A3" s="1045"/>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51276404.180000007</v>
      </c>
      <c r="F8" s="408">
        <f t="shared" ref="F8:F17" si="3">IF(E8&gt;0,E8+F7,"")</f>
        <v>80506412.770000011</v>
      </c>
      <c r="G8" s="408">
        <f>IF(D8&gt;0,D8+G7,C8+G7)</f>
        <v>145222895.25</v>
      </c>
      <c r="H8" s="44">
        <f t="shared" si="0"/>
        <v>64716482.479999989</v>
      </c>
      <c r="I8" s="124">
        <f t="shared" si="1"/>
        <v>0.44563553404296963</v>
      </c>
      <c r="J8" s="674">
        <f t="shared" si="2"/>
        <v>0.13859111648925759</v>
      </c>
    </row>
    <row r="9" spans="1:10" ht="12.75" customHeight="1" x14ac:dyDescent="0.25">
      <c r="A9" s="39" t="s">
        <v>906</v>
      </c>
      <c r="B9" s="748">
        <v>66093583.333333336</v>
      </c>
      <c r="C9" s="753">
        <v>48407631.75</v>
      </c>
      <c r="D9" s="733"/>
      <c r="E9" s="733">
        <v>34751661.439999998</v>
      </c>
      <c r="F9" s="408">
        <f t="shared" si="3"/>
        <v>115258074.21000001</v>
      </c>
      <c r="G9" s="408">
        <f t="shared" ref="G9:G17" si="4">IF(D9&gt;0,D9+G8,C9+G8)</f>
        <v>193630527</v>
      </c>
      <c r="H9" s="44">
        <f t="shared" si="0"/>
        <v>78372452.789999992</v>
      </c>
      <c r="I9" s="124">
        <f t="shared" si="1"/>
        <v>0.40475256667560477</v>
      </c>
      <c r="J9" s="674">
        <f t="shared" si="2"/>
        <v>0.19841581110813175</v>
      </c>
    </row>
    <row r="10" spans="1:10" ht="12.75" customHeight="1" x14ac:dyDescent="0.25">
      <c r="A10" s="39" t="s">
        <v>907</v>
      </c>
      <c r="B10" s="748">
        <v>66093583.333333336</v>
      </c>
      <c r="C10" s="753">
        <v>48407631.75</v>
      </c>
      <c r="D10" s="733"/>
      <c r="E10" s="733">
        <v>64917006.57</v>
      </c>
      <c r="F10" s="408">
        <f t="shared" si="3"/>
        <v>180175080.78</v>
      </c>
      <c r="G10" s="408">
        <f t="shared" si="4"/>
        <v>242038158.75</v>
      </c>
      <c r="H10" s="44">
        <f t="shared" si="0"/>
        <v>61863077.969999999</v>
      </c>
      <c r="I10" s="124">
        <f t="shared" si="1"/>
        <v>0.25559225160813615</v>
      </c>
      <c r="J10" s="674">
        <f t="shared" si="2"/>
        <v>0.31016989516327659</v>
      </c>
    </row>
    <row r="11" spans="1:10" ht="12.75" customHeight="1" x14ac:dyDescent="0.25">
      <c r="A11" s="39" t="s">
        <v>908</v>
      </c>
      <c r="B11" s="748">
        <v>66093583.333333336</v>
      </c>
      <c r="C11" s="753">
        <v>48407631.75</v>
      </c>
      <c r="D11" s="733"/>
      <c r="E11" s="733">
        <v>66421825.969999984</v>
      </c>
      <c r="F11" s="408">
        <f t="shared" si="3"/>
        <v>246596906.75</v>
      </c>
      <c r="G11" s="408">
        <f t="shared" si="4"/>
        <v>290445790.5</v>
      </c>
      <c r="H11" s="44">
        <f t="shared" si="0"/>
        <v>43848883.75</v>
      </c>
      <c r="I11" s="124">
        <f t="shared" si="1"/>
        <v>0.15097097353180611</v>
      </c>
      <c r="J11" s="674">
        <f t="shared" si="2"/>
        <v>0.42451451323409695</v>
      </c>
    </row>
    <row r="12" spans="1:10" ht="12.75" customHeight="1" x14ac:dyDescent="0.25">
      <c r="A12" s="39" t="s">
        <v>909</v>
      </c>
      <c r="B12" s="748">
        <v>66093583.333333336</v>
      </c>
      <c r="C12" s="753">
        <v>48407631.75</v>
      </c>
      <c r="D12" s="1001"/>
      <c r="E12" s="733">
        <v>4048843.38</v>
      </c>
      <c r="F12" s="408">
        <f t="shared" si="3"/>
        <v>250645750.13</v>
      </c>
      <c r="G12" s="408">
        <f t="shared" si="4"/>
        <v>338853422.25</v>
      </c>
      <c r="H12" s="44">
        <f t="shared" si="0"/>
        <v>88207672.120000005</v>
      </c>
      <c r="I12" s="124">
        <f t="shared" si="1"/>
        <v>0.26031217726619849</v>
      </c>
      <c r="J12" s="674">
        <f t="shared" si="2"/>
        <v>0.43148456326138424</v>
      </c>
    </row>
    <row r="13" spans="1:10" ht="12.75" customHeight="1" x14ac:dyDescent="0.25">
      <c r="A13" s="39" t="s">
        <v>910</v>
      </c>
      <c r="B13" s="748">
        <v>66093583.333333336</v>
      </c>
      <c r="C13" s="753">
        <v>48407631.75</v>
      </c>
      <c r="D13" s="733"/>
      <c r="E13" s="733">
        <v>35188377.060000002</v>
      </c>
      <c r="F13" s="408">
        <f t="shared" si="3"/>
        <v>285834127.19</v>
      </c>
      <c r="G13" s="408">
        <f t="shared" si="4"/>
        <v>387261054</v>
      </c>
      <c r="H13" s="44">
        <f t="shared" si="0"/>
        <v>101426926.81</v>
      </c>
      <c r="I13" s="124">
        <f t="shared" si="1"/>
        <v>0.26190840974677509</v>
      </c>
      <c r="J13" s="674">
        <f t="shared" si="2"/>
        <v>0.49206106016881657</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285834127.19</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5" t="s">
        <v>642</v>
      </c>
      <c r="B1" s="1006"/>
      <c r="C1" s="1006"/>
      <c r="D1" s="1007"/>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M08 February</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10" t="s">
        <v>751</v>
      </c>
      <c r="B72" s="1011"/>
      <c r="C72" s="1011"/>
      <c r="D72" s="1012"/>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8" t="s">
        <v>794</v>
      </c>
      <c r="B76" s="1009"/>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27" activePane="bottomRight" state="frozen"/>
      <selection pane="topRight"/>
      <selection pane="bottomLeft"/>
      <selection pane="bottomRight" activeCell="E166" sqref="E166"/>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"&amp;S71Sa&amp; " - "&amp;Head57</f>
        <v>KZN225 Msunduzi - Supporting Table SC13a Consolidated Monthly Budget Statement - capital expenditure on new assets by asset class - M08 February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0</v>
      </c>
      <c r="F7" s="102">
        <f t="shared" si="0"/>
        <v>6849305.6399999997</v>
      </c>
      <c r="G7" s="102">
        <f t="shared" si="0"/>
        <v>55930038.760000005</v>
      </c>
      <c r="H7" s="102" t="e">
        <f t="shared" si="0"/>
        <v>#VALUE!</v>
      </c>
      <c r="I7" s="101" t="e">
        <f t="shared" ref="I7:I37" si="1">H7-G7</f>
        <v>#VALUE!</v>
      </c>
      <c r="J7" s="579" t="e">
        <f t="shared" ref="J7:J37" si="2">IF(I7=0,"",I7/H7)</f>
        <v>#VALUE!</v>
      </c>
      <c r="K7" s="603">
        <f>K8+K13+K17+K27+K38+K45+K53+K63+K69</f>
        <v>0</v>
      </c>
    </row>
    <row r="8" spans="1:11" ht="12.75" customHeight="1" x14ac:dyDescent="0.25">
      <c r="A8" s="518" t="s">
        <v>1216</v>
      </c>
      <c r="B8" s="169"/>
      <c r="C8" s="677">
        <f t="shared" ref="C8:H8" si="3">SUM(C9:C12)</f>
        <v>0</v>
      </c>
      <c r="D8" s="609">
        <f t="shared" si="3"/>
        <v>10845780.900911285</v>
      </c>
      <c r="E8" s="608">
        <f t="shared" si="3"/>
        <v>0</v>
      </c>
      <c r="F8" s="608">
        <f t="shared" si="3"/>
        <v>5018068</v>
      </c>
      <c r="G8" s="608">
        <f t="shared" si="3"/>
        <v>5018068</v>
      </c>
      <c r="H8" s="608">
        <f t="shared" si="3"/>
        <v>0</v>
      </c>
      <c r="I8" s="258">
        <f t="shared" si="1"/>
        <v>-5018068</v>
      </c>
      <c r="J8" s="575" t="e">
        <f t="shared" si="2"/>
        <v>#DIV/0!</v>
      </c>
      <c r="K8" s="610">
        <f>SUM(K9:K12)</f>
        <v>0</v>
      </c>
    </row>
    <row r="9" spans="1:11" ht="12.75" customHeight="1" x14ac:dyDescent="0.25">
      <c r="A9" s="574" t="s">
        <v>168</v>
      </c>
      <c r="B9" s="169"/>
      <c r="C9" s="748"/>
      <c r="D9" s="745">
        <v>10845780.900911285</v>
      </c>
      <c r="E9" s="733"/>
      <c r="F9" s="733">
        <v>5018068</v>
      </c>
      <c r="G9" s="733">
        <v>5018068</v>
      </c>
      <c r="H9" s="733">
        <f>E9/12*8</f>
        <v>0</v>
      </c>
      <c r="I9" s="258">
        <f t="shared" si="1"/>
        <v>-5018068</v>
      </c>
      <c r="J9" s="575" t="e">
        <f t="shared" si="2"/>
        <v>#DIV/0!</v>
      </c>
      <c r="K9" s="735">
        <f>E9</f>
        <v>0</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v>133651704.65022203</v>
      </c>
      <c r="E18" s="733"/>
      <c r="F18" s="733"/>
      <c r="G18" s="733"/>
      <c r="H18" s="733">
        <f>E18/12*8</f>
        <v>0</v>
      </c>
      <c r="I18" s="258">
        <f t="shared" si="1"/>
        <v>0</v>
      </c>
      <c r="J18" s="575" t="str">
        <f t="shared" si="2"/>
        <v/>
      </c>
      <c r="K18" s="735">
        <f>E18</f>
        <v>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1831237.64</v>
      </c>
      <c r="G27" s="408">
        <f t="shared" si="6"/>
        <v>26510143.470000003</v>
      </c>
      <c r="H27" s="408">
        <f t="shared" si="6"/>
        <v>0</v>
      </c>
      <c r="I27" s="258">
        <f t="shared" si="1"/>
        <v>-26510143.470000003</v>
      </c>
      <c r="J27" s="575" t="e">
        <f t="shared" si="2"/>
        <v>#DIV/0!</v>
      </c>
      <c r="K27" s="642">
        <f>SUM(K28:K37)</f>
        <v>0</v>
      </c>
    </row>
    <row r="28" spans="1:11" ht="12.75" customHeight="1" x14ac:dyDescent="0.25">
      <c r="A28" s="574" t="s">
        <v>1234</v>
      </c>
      <c r="B28" s="169"/>
      <c r="C28" s="748"/>
      <c r="D28" s="745"/>
      <c r="E28" s="733"/>
      <c r="F28" s="733"/>
      <c r="G28" s="733">
        <v>7679009.7999999998</v>
      </c>
      <c r="H28" s="733"/>
      <c r="I28" s="258">
        <f t="shared" si="1"/>
        <v>-7679009.7999999998</v>
      </c>
      <c r="J28" s="575" t="e">
        <f t="shared" si="2"/>
        <v>#DIV/0!</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1831237.64</v>
      </c>
      <c r="G34" s="733">
        <v>18831133.670000002</v>
      </c>
      <c r="H34" s="733"/>
      <c r="I34" s="258">
        <f t="shared" si="1"/>
        <v>-18831133.670000002</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0</v>
      </c>
      <c r="F38" s="408">
        <f t="shared" si="7"/>
        <v>0</v>
      </c>
      <c r="G38" s="408">
        <f t="shared" si="7"/>
        <v>24401827.289999999</v>
      </c>
      <c r="H38" s="408" t="e">
        <f t="shared" si="7"/>
        <v>#VALUE!</v>
      </c>
      <c r="I38" s="258" t="e">
        <f t="shared" ref="I38:I44" si="8">H38-G38</f>
        <v>#VALUE!</v>
      </c>
      <c r="J38" s="575" t="e">
        <f t="shared" ref="J38:J44" si="9">IF(I38=0,"",I38/H38)</f>
        <v>#VALUE!</v>
      </c>
      <c r="K38" s="642">
        <f>SUM(K39:K44)</f>
        <v>0</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t="s">
        <v>1475</v>
      </c>
      <c r="F40" s="733"/>
      <c r="G40" s="733">
        <v>9014968.6099999994</v>
      </c>
      <c r="H40" s="733" t="e">
        <f>E40/12*8</f>
        <v>#VALUE!</v>
      </c>
      <c r="I40" s="258" t="e">
        <f>H40-G40</f>
        <v>#VALUE!</v>
      </c>
      <c r="J40" s="575" t="e">
        <f>IF(I40=0,"",I40/H40)</f>
        <v>#VALUE!</v>
      </c>
      <c r="K40" s="735" t="str">
        <f>E40</f>
        <v xml:space="preserve"> </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v>15386858.68</v>
      </c>
      <c r="H42" s="733"/>
      <c r="I42" s="258">
        <f>H42-G42</f>
        <v>-15386858.68</v>
      </c>
      <c r="J42" s="575" t="e">
        <f>IF(I42=0,"",I42/H42)</f>
        <v>#DIV/0!</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2500000</v>
      </c>
      <c r="F75" s="578">
        <f t="shared" si="17"/>
        <v>789098.89999999991</v>
      </c>
      <c r="G75" s="578">
        <f t="shared" si="17"/>
        <v>2384788.46</v>
      </c>
      <c r="H75" s="578">
        <f t="shared" si="17"/>
        <v>1666666.6666666667</v>
      </c>
      <c r="I75" s="578">
        <f>H75-G75</f>
        <v>-718121.79333333322</v>
      </c>
      <c r="J75" s="579">
        <f t="shared" si="16"/>
        <v>-0.43087307599999991</v>
      </c>
      <c r="K75" s="580">
        <f>+K76+K99</f>
        <v>2500000</v>
      </c>
    </row>
    <row r="76" spans="1:11" ht="12.75" customHeight="1" x14ac:dyDescent="0.25">
      <c r="A76" s="518" t="s">
        <v>1268</v>
      </c>
      <c r="B76" s="169"/>
      <c r="C76" s="648">
        <f t="shared" ref="C76:H76" si="18">SUM(C77:C98)</f>
        <v>0</v>
      </c>
      <c r="D76" s="649">
        <f t="shared" si="18"/>
        <v>39558111.673645303</v>
      </c>
      <c r="E76" s="408">
        <f t="shared" si="18"/>
        <v>2500000</v>
      </c>
      <c r="F76" s="408">
        <f t="shared" si="18"/>
        <v>789098.89999999991</v>
      </c>
      <c r="G76" s="408">
        <f>SUM(G77:G98)</f>
        <v>2384788.46</v>
      </c>
      <c r="H76" s="408">
        <f t="shared" si="18"/>
        <v>1666666.6666666667</v>
      </c>
      <c r="I76" s="258">
        <f t="shared" ref="I76:I87" si="19">H76-G76</f>
        <v>-718121.79333333322</v>
      </c>
      <c r="J76" s="575">
        <f t="shared" ref="J76:J87" si="20">IF(I76=0,"",I76/H76)</f>
        <v>-0.43087307599999991</v>
      </c>
      <c r="K76" s="642">
        <f>SUM(K77:K98)</f>
        <v>2500000</v>
      </c>
    </row>
    <row r="77" spans="1:11" ht="12.75" customHeight="1" x14ac:dyDescent="0.25">
      <c r="A77" s="574" t="s">
        <v>1269</v>
      </c>
      <c r="B77" s="169"/>
      <c r="C77" s="748"/>
      <c r="D77" s="753">
        <v>37464350.795641594</v>
      </c>
      <c r="E77" s="748"/>
      <c r="F77" s="733">
        <v>341282.49</v>
      </c>
      <c r="G77" s="733">
        <v>2384801.1</v>
      </c>
      <c r="H77" s="733">
        <f>E77/12*8</f>
        <v>0</v>
      </c>
      <c r="I77" s="44" t="e">
        <f>H77-#REF!</f>
        <v>#REF!</v>
      </c>
      <c r="J77" s="124" t="e">
        <f t="shared" si="20"/>
        <v>#REF!</v>
      </c>
      <c r="K77" s="735">
        <f>E77</f>
        <v>0</v>
      </c>
    </row>
    <row r="78" spans="1:11" ht="12.75" customHeight="1" x14ac:dyDescent="0.25">
      <c r="A78" s="574" t="s">
        <v>1270</v>
      </c>
      <c r="B78" s="169"/>
      <c r="C78" s="748"/>
      <c r="D78" s="753"/>
      <c r="E78" s="733"/>
      <c r="F78" s="733">
        <v>447816.41</v>
      </c>
      <c r="G78" s="733">
        <v>-6.3200000000069849</v>
      </c>
      <c r="H78" s="733"/>
      <c r="I78" s="44">
        <f t="shared" si="19"/>
        <v>6.3200000000069849</v>
      </c>
      <c r="J78" s="124" t="e">
        <f t="shared" si="20"/>
        <v>#DIV/0!</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c r="F84" s="733"/>
      <c r="G84" s="733"/>
      <c r="H84" s="733">
        <f>E84/12*8</f>
        <v>0</v>
      </c>
      <c r="I84" s="44">
        <f t="shared" si="19"/>
        <v>0</v>
      </c>
      <c r="J84" s="124" t="str">
        <f t="shared" si="20"/>
        <v/>
      </c>
      <c r="K84" s="735">
        <f>E84</f>
        <v>0</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c r="F88" s="733"/>
      <c r="G88" s="733"/>
      <c r="H88" s="733">
        <f>E88/12*8</f>
        <v>0</v>
      </c>
      <c r="I88" s="44">
        <f t="shared" ref="I88:I133" si="21">H88-G88</f>
        <v>0</v>
      </c>
      <c r="J88" s="124" t="str">
        <f t="shared" ref="J88:J119" si="22">IF(I88=0,"",I88/H88)</f>
        <v/>
      </c>
      <c r="K88" s="735">
        <f>E88</f>
        <v>0</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v>2500000</v>
      </c>
      <c r="F96" s="733"/>
      <c r="G96" s="733"/>
      <c r="H96" s="733">
        <f>E96/12*8</f>
        <v>1666666.6666666667</v>
      </c>
      <c r="I96" s="44">
        <f t="shared" si="21"/>
        <v>1666666.6666666667</v>
      </c>
      <c r="J96" s="124">
        <f t="shared" si="22"/>
        <v>1</v>
      </c>
      <c r="K96" s="735">
        <f>E96</f>
        <v>2500000</v>
      </c>
    </row>
    <row r="97" spans="1:11" ht="12.75" customHeight="1" x14ac:dyDescent="0.25">
      <c r="A97" s="574" t="s">
        <v>1284</v>
      </c>
      <c r="B97" s="169"/>
      <c r="C97" s="748"/>
      <c r="D97" s="753"/>
      <c r="E97" s="733"/>
      <c r="F97" s="733"/>
      <c r="G97" s="733">
        <v>-6.3200000000651926</v>
      </c>
      <c r="H97" s="733"/>
      <c r="I97" s="44">
        <f t="shared" si="21"/>
        <v>6.3200000000651926</v>
      </c>
      <c r="J97" s="124" t="e">
        <f t="shared" si="22"/>
        <v>#DIV/0!</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0</v>
      </c>
      <c r="F103" s="99">
        <f t="shared" si="24"/>
        <v>0</v>
      </c>
      <c r="G103" s="99">
        <f t="shared" si="24"/>
        <v>0</v>
      </c>
      <c r="H103" s="99">
        <f t="shared" si="24"/>
        <v>0</v>
      </c>
      <c r="I103" s="99">
        <f t="shared" si="21"/>
        <v>0</v>
      </c>
      <c r="J103" s="324" t="str">
        <f t="shared" si="22"/>
        <v/>
      </c>
      <c r="K103" s="195">
        <f>SUM(K104:K108)</f>
        <v>0</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c r="F108" s="733"/>
      <c r="G108" s="733"/>
      <c r="H108" s="733">
        <f>E108/12*8</f>
        <v>0</v>
      </c>
      <c r="I108" s="44">
        <f t="shared" si="21"/>
        <v>0</v>
      </c>
      <c r="J108" s="124" t="str">
        <f t="shared" si="22"/>
        <v/>
      </c>
      <c r="K108" s="735">
        <f>E108</f>
        <v>0</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0</v>
      </c>
      <c r="F117" s="578">
        <f t="shared" si="28"/>
        <v>4575048.68</v>
      </c>
      <c r="G117" s="578">
        <f t="shared" si="28"/>
        <v>38799552.770000011</v>
      </c>
      <c r="H117" s="578">
        <f t="shared" si="28"/>
        <v>0</v>
      </c>
      <c r="I117" s="578">
        <f t="shared" si="21"/>
        <v>-38799552.770000011</v>
      </c>
      <c r="J117" s="579" t="e">
        <f t="shared" si="22"/>
        <v>#DIV/0!</v>
      </c>
      <c r="K117" s="580">
        <f>+K118+K130</f>
        <v>0</v>
      </c>
    </row>
    <row r="118" spans="1:11" ht="12.75" customHeight="1" x14ac:dyDescent="0.25">
      <c r="A118" s="518" t="s">
        <v>1298</v>
      </c>
      <c r="B118" s="169"/>
      <c r="C118" s="648">
        <f t="shared" ref="C118:H118" si="29">SUM(C119:C129)</f>
        <v>0</v>
      </c>
      <c r="D118" s="649">
        <f t="shared" si="29"/>
        <v>3800000</v>
      </c>
      <c r="E118" s="408">
        <f t="shared" si="29"/>
        <v>0</v>
      </c>
      <c r="F118" s="408">
        <f t="shared" si="29"/>
        <v>0</v>
      </c>
      <c r="G118" s="408">
        <f t="shared" si="29"/>
        <v>1050024.72</v>
      </c>
      <c r="H118" s="408">
        <f t="shared" si="29"/>
        <v>0</v>
      </c>
      <c r="I118" s="258">
        <f t="shared" si="21"/>
        <v>-1050024.72</v>
      </c>
      <c r="J118" s="575" t="e">
        <f t="shared" si="22"/>
        <v>#DIV/0!</v>
      </c>
      <c r="K118" s="642">
        <f>SUM(K119:K129)</f>
        <v>0</v>
      </c>
    </row>
    <row r="119" spans="1:11" ht="12.75" customHeight="1" x14ac:dyDescent="0.25">
      <c r="A119" s="574" t="s">
        <v>1299</v>
      </c>
      <c r="B119" s="169"/>
      <c r="C119" s="748"/>
      <c r="D119" s="753">
        <v>3800000</v>
      </c>
      <c r="E119" s="733"/>
      <c r="F119" s="733"/>
      <c r="G119" s="733"/>
      <c r="H119" s="733">
        <f>E119/12*8</f>
        <v>0</v>
      </c>
      <c r="I119" s="44">
        <f t="shared" si="21"/>
        <v>0</v>
      </c>
      <c r="J119" s="124" t="str">
        <f t="shared" si="22"/>
        <v/>
      </c>
      <c r="K119" s="735">
        <f>E119</f>
        <v>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v>1050024.72</v>
      </c>
      <c r="H123" s="733"/>
      <c r="I123" s="44">
        <f t="shared" si="21"/>
        <v>-1050024.72</v>
      </c>
      <c r="J123" s="124" t="e">
        <f t="shared" si="30"/>
        <v>#DIV/0!</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4575048.68</v>
      </c>
      <c r="G130" s="408">
        <f t="shared" si="31"/>
        <v>37749528.050000012</v>
      </c>
      <c r="H130" s="408">
        <f t="shared" si="31"/>
        <v>0</v>
      </c>
      <c r="I130" s="258">
        <f t="shared" si="21"/>
        <v>-37749528.050000012</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v>4575048.68</v>
      </c>
      <c r="G132" s="733">
        <v>37749528.050000012</v>
      </c>
      <c r="H132" s="733"/>
      <c r="I132" s="44">
        <f t="shared" si="21"/>
        <v>-37749528.050000012</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-21787999.999999993</v>
      </c>
      <c r="F138" s="942">
        <f t="shared" si="33"/>
        <v>0</v>
      </c>
      <c r="G138" s="942">
        <f t="shared" si="33"/>
        <v>0</v>
      </c>
      <c r="H138" s="942">
        <f t="shared" si="33"/>
        <v>-14525333.333333328</v>
      </c>
      <c r="I138" s="942">
        <f t="shared" ref="I138:I146" si="34">H138-G138</f>
        <v>-14525333.333333328</v>
      </c>
      <c r="J138" s="324">
        <f t="shared" si="30"/>
        <v>1</v>
      </c>
      <c r="K138" s="943">
        <f>SUM(K139:K140)</f>
        <v>-21787999.999999993</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-21787999.999999993</v>
      </c>
      <c r="F140" s="408">
        <f t="shared" si="35"/>
        <v>0</v>
      </c>
      <c r="G140" s="408">
        <f t="shared" si="35"/>
        <v>0</v>
      </c>
      <c r="H140" s="408">
        <f t="shared" si="35"/>
        <v>-14525333.333333328</v>
      </c>
      <c r="I140" s="258">
        <f t="shared" si="34"/>
        <v>-14525333.333333328</v>
      </c>
      <c r="J140" s="575">
        <f t="shared" si="30"/>
        <v>1</v>
      </c>
      <c r="K140" s="642">
        <f>SUM(K141:K146)</f>
        <v>-21787999.999999993</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-21787999.999999993</v>
      </c>
      <c r="F144" s="733"/>
      <c r="G144" s="733"/>
      <c r="H144" s="733">
        <f>E144/12*8</f>
        <v>-14525333.333333328</v>
      </c>
      <c r="I144" s="44">
        <f t="shared" si="34"/>
        <v>-14525333.333333328</v>
      </c>
      <c r="J144" s="124">
        <f t="shared" si="30"/>
        <v>1</v>
      </c>
      <c r="K144" s="735">
        <f>E144</f>
        <v>-21787999.999999993</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5109707</v>
      </c>
      <c r="F148" s="578">
        <f t="shared" si="36"/>
        <v>0</v>
      </c>
      <c r="G148" s="578">
        <f t="shared" si="36"/>
        <v>4006697.87</v>
      </c>
      <c r="H148" s="578">
        <f t="shared" si="36"/>
        <v>3406471.3333333335</v>
      </c>
      <c r="I148" s="578">
        <f>H148-G148</f>
        <v>-600226.53666666662</v>
      </c>
      <c r="J148" s="324">
        <f>IF(I148=0,"",I148/H148)</f>
        <v>-0.17620184582012235</v>
      </c>
      <c r="K148" s="580">
        <f>SUM(K149)</f>
        <v>5109707</v>
      </c>
    </row>
    <row r="149" spans="1:12" ht="12.75" customHeight="1" x14ac:dyDescent="0.25">
      <c r="A149" s="518" t="s">
        <v>1321</v>
      </c>
      <c r="B149" s="169"/>
      <c r="C149" s="748"/>
      <c r="D149" s="753">
        <v>30489488.019469682</v>
      </c>
      <c r="E149" s="733">
        <v>5109707</v>
      </c>
      <c r="F149" s="733"/>
      <c r="G149" s="733">
        <v>4006697.87</v>
      </c>
      <c r="H149" s="733">
        <f>E149/12*8</f>
        <v>3406471.3333333335</v>
      </c>
      <c r="I149" s="44">
        <f>H149-G149</f>
        <v>-600226.53666666662</v>
      </c>
      <c r="J149" s="124">
        <f>IF(I149=0,"",I149/H149)</f>
        <v>-0.17620184582012235</v>
      </c>
      <c r="K149" s="735">
        <f>E149</f>
        <v>5109707</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7929416</v>
      </c>
      <c r="F151" s="578">
        <f t="shared" si="37"/>
        <v>436684.01</v>
      </c>
      <c r="G151" s="578">
        <f t="shared" si="37"/>
        <v>600245.41999999993</v>
      </c>
      <c r="H151" s="578">
        <f t="shared" si="37"/>
        <v>5286277.333333333</v>
      </c>
      <c r="I151" s="578">
        <f>H151-G151</f>
        <v>4686031.9133333331</v>
      </c>
      <c r="J151" s="324">
        <f>IF(I151=0,"",I151/H151)</f>
        <v>0.8864521510789698</v>
      </c>
      <c r="K151" s="580">
        <f>SUM(K152)</f>
        <v>7929416</v>
      </c>
    </row>
    <row r="152" spans="1:12" ht="12.75" customHeight="1" x14ac:dyDescent="0.25">
      <c r="A152" s="518" t="s">
        <v>1322</v>
      </c>
      <c r="B152" s="169"/>
      <c r="C152" s="748"/>
      <c r="D152" s="753">
        <v>26221102.404387362</v>
      </c>
      <c r="E152" s="733">
        <v>7929416</v>
      </c>
      <c r="F152" s="733">
        <v>436684.01</v>
      </c>
      <c r="G152" s="733">
        <v>600245.41999999993</v>
      </c>
      <c r="H152" s="733">
        <f>E152/12*8</f>
        <v>5286277.333333333</v>
      </c>
      <c r="I152" s="44">
        <f>H152-G152</f>
        <v>4686031.9133333331</v>
      </c>
      <c r="J152" s="124">
        <f>IF(I152=0,"",I152/H152)</f>
        <v>0.8864521510789698</v>
      </c>
      <c r="K152" s="735">
        <f>E152</f>
        <v>7929416</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7422034</v>
      </c>
      <c r="F154" s="578">
        <f t="shared" si="38"/>
        <v>687658</v>
      </c>
      <c r="G154" s="578">
        <f t="shared" si="38"/>
        <v>3595679.2399999998</v>
      </c>
      <c r="H154" s="578">
        <f t="shared" si="38"/>
        <v>4948022.666666667</v>
      </c>
      <c r="I154" s="578">
        <f>H154-G154</f>
        <v>1352343.4266666672</v>
      </c>
      <c r="J154" s="324">
        <f>IF(I154=0,"",I154/H154)</f>
        <v>0.27330986896583886</v>
      </c>
      <c r="K154" s="580">
        <f>SUM(K155)</f>
        <v>7422034</v>
      </c>
    </row>
    <row r="155" spans="1:12" ht="12.75" customHeight="1" x14ac:dyDescent="0.25">
      <c r="A155" s="518" t="s">
        <v>1323</v>
      </c>
      <c r="B155" s="169"/>
      <c r="C155" s="748"/>
      <c r="D155" s="753">
        <v>34478166.653423235</v>
      </c>
      <c r="E155" s="733">
        <v>7422034</v>
      </c>
      <c r="F155" s="733">
        <v>687658</v>
      </c>
      <c r="G155" s="733">
        <v>3595679.2399999998</v>
      </c>
      <c r="H155" s="733">
        <f>E155/12*8</f>
        <v>4948022.666666667</v>
      </c>
      <c r="I155" s="44">
        <f>H155-G155</f>
        <v>1352343.4266666672</v>
      </c>
      <c r="J155" s="124">
        <f>IF(I155=0,"",I155/H155)</f>
        <v>0.27330986896583886</v>
      </c>
      <c r="K155" s="735">
        <f>E155</f>
        <v>7422034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22236833</v>
      </c>
      <c r="F157" s="578">
        <f t="shared" si="39"/>
        <v>1529341.34</v>
      </c>
      <c r="G157" s="578">
        <f t="shared" si="39"/>
        <v>8383546.2499999814</v>
      </c>
      <c r="H157" s="578">
        <f t="shared" si="39"/>
        <v>14824555.333333334</v>
      </c>
      <c r="I157" s="578">
        <f>H157-G157</f>
        <v>6441009.0833333526</v>
      </c>
      <c r="J157" s="324">
        <f>IF(I157=0,"",I157/H157)</f>
        <v>0.43448244743305076</v>
      </c>
      <c r="K157" s="580">
        <f>SUM(K158)</f>
        <v>22236833</v>
      </c>
    </row>
    <row r="158" spans="1:12" ht="12.75" customHeight="1" x14ac:dyDescent="0.25">
      <c r="A158" s="518" t="s">
        <v>1324</v>
      </c>
      <c r="B158" s="169"/>
      <c r="C158" s="748"/>
      <c r="D158" s="753"/>
      <c r="E158" s="733">
        <v>22236833</v>
      </c>
      <c r="F158" s="733">
        <v>1529341.34</v>
      </c>
      <c r="G158" s="733">
        <v>8383546.2499999814</v>
      </c>
      <c r="H158" s="733">
        <f>E158/12*8</f>
        <v>14824555.333333334</v>
      </c>
      <c r="I158" s="44">
        <f>H158-G158</f>
        <v>6441009.0833333526</v>
      </c>
      <c r="J158" s="124">
        <f>IF(I158=0,"",I158/H158)</f>
        <v>0.43448244743305076</v>
      </c>
      <c r="K158" s="735">
        <f>E158</f>
        <v>22236833</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0</v>
      </c>
      <c r="F160" s="578">
        <f t="shared" si="40"/>
        <v>0</v>
      </c>
      <c r="G160" s="578">
        <f t="shared" si="40"/>
        <v>0</v>
      </c>
      <c r="H160" s="578">
        <f t="shared" si="40"/>
        <v>0</v>
      </c>
      <c r="I160" s="578">
        <f>H160-G160</f>
        <v>0</v>
      </c>
      <c r="J160" s="324" t="str">
        <f>IF(I160=0,"",I160/H160)</f>
        <v/>
      </c>
      <c r="K160" s="580">
        <f>SUM(K161)</f>
        <v>0</v>
      </c>
    </row>
    <row r="161" spans="1:11" ht="12.75" customHeight="1" x14ac:dyDescent="0.25">
      <c r="A161" s="518" t="s">
        <v>1335</v>
      </c>
      <c r="B161" s="169"/>
      <c r="C161" s="748"/>
      <c r="D161" s="753">
        <v>48520598.76723469</v>
      </c>
      <c r="E161" s="733"/>
      <c r="F161" s="733"/>
      <c r="G161" s="733"/>
      <c r="H161" s="733">
        <f>E161/12*8</f>
        <v>0</v>
      </c>
      <c r="I161" s="44">
        <f>H161-G161</f>
        <v>0</v>
      </c>
      <c r="J161" s="124" t="str">
        <f>IF(I161=0,"",I161/H161)</f>
        <v/>
      </c>
      <c r="K161" s="735">
        <f>E161</f>
        <v>0</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23409990.000000007</v>
      </c>
      <c r="F166" s="55">
        <f t="shared" si="42"/>
        <v>14867136.569999998</v>
      </c>
      <c r="G166" s="55">
        <f t="shared" si="42"/>
        <v>113700548.77</v>
      </c>
      <c r="H166" s="55" t="e">
        <f t="shared" si="42"/>
        <v>#VALUE!</v>
      </c>
      <c r="I166" s="55" t="e">
        <f>H166-G166</f>
        <v>#VALUE!</v>
      </c>
      <c r="J166" s="290" t="e">
        <f>IF(I166=0,"",I166/H166)</f>
        <v>#VALUE!</v>
      </c>
      <c r="K166" s="235">
        <f>K7+K75+K103+K110+K117+K135+K138+K148+K151+K154+K157+K160+K163</f>
        <v>23409990.000000007</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-194.66492176055908</v>
      </c>
      <c r="F171" s="135">
        <f>F166+SC13b!F166+SC13e!F166-'C5-Capex'!F40</f>
        <v>0</v>
      </c>
      <c r="G171" s="135">
        <f>G166+SC13b!G166+SC13e!G166-'C5-Capex'!G40</f>
        <v>0</v>
      </c>
      <c r="H171" s="135" t="e">
        <f>H166+SC13b!H166+SC13e!H166-'C5-Capex'!H40</f>
        <v>#VALUE!</v>
      </c>
      <c r="I171" s="135"/>
      <c r="J171" s="135"/>
      <c r="K171" s="135">
        <f>K166+SC13b!K166+SC13e!K166-'C5-Capex'!K40</f>
        <v>-194.66492176055908</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28" activePane="bottomRight" state="frozen"/>
      <selection pane="topRight"/>
      <selection pane="bottomLeft"/>
      <selection pane="bottomRight" activeCell="E166" sqref="E166"/>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"&amp;S71Sb&amp; " - "&amp;Head57</f>
        <v>KZN225 Msunduzi - Supporting Table SC13b Consolidated Monthly Budget Statement - capital expenditure on renewal of existing assets by asset class - M08 February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196263971</v>
      </c>
      <c r="F7" s="102">
        <f t="shared" si="0"/>
        <v>6424746.9899999993</v>
      </c>
      <c r="G7" s="102">
        <f t="shared" si="0"/>
        <v>126238286.59</v>
      </c>
      <c r="H7" s="102">
        <f t="shared" si="0"/>
        <v>130842647.33333333</v>
      </c>
      <c r="I7" s="101">
        <f t="shared" ref="I7:I133" si="1">H7-G7</f>
        <v>4604360.7433333248</v>
      </c>
      <c r="J7" s="579">
        <f t="shared" ref="J7:J136" si="2">IF(I7=0,"",I7/H7)</f>
        <v>3.5190061017363126E-2</v>
      </c>
      <c r="K7" s="603">
        <f>K8+K13+K17+K27+K38+K45+K53+K63+K69</f>
        <v>196263971</v>
      </c>
    </row>
    <row r="8" spans="1:11" ht="12.75" customHeight="1" x14ac:dyDescent="0.25">
      <c r="A8" s="518" t="s">
        <v>1216</v>
      </c>
      <c r="B8" s="169"/>
      <c r="C8" s="677">
        <f t="shared" ref="C8:H8" si="3">SUM(C9:C12)</f>
        <v>0</v>
      </c>
      <c r="D8" s="609">
        <f t="shared" si="3"/>
        <v>5914548.2937818393</v>
      </c>
      <c r="E8" s="608">
        <f t="shared" si="3"/>
        <v>39449298</v>
      </c>
      <c r="F8" s="608">
        <f t="shared" si="3"/>
        <v>209986.37</v>
      </c>
      <c r="G8" s="608">
        <f t="shared" si="3"/>
        <v>103212522.62</v>
      </c>
      <c r="H8" s="608">
        <f t="shared" si="3"/>
        <v>26299532</v>
      </c>
      <c r="I8" s="258">
        <f t="shared" si="1"/>
        <v>-76912990.620000005</v>
      </c>
      <c r="J8" s="575">
        <f t="shared" si="2"/>
        <v>-2.9245003530861311</v>
      </c>
      <c r="K8" s="610">
        <f>SUM(K9:K12)</f>
        <v>39449298</v>
      </c>
    </row>
    <row r="9" spans="1:11" ht="12.75" customHeight="1" x14ac:dyDescent="0.25">
      <c r="A9" s="574" t="s">
        <v>168</v>
      </c>
      <c r="B9" s="169"/>
      <c r="C9" s="748"/>
      <c r="D9" s="745">
        <v>5914548.2937818393</v>
      </c>
      <c r="E9" s="733">
        <v>39449298</v>
      </c>
      <c r="F9" s="733">
        <v>209986.37</v>
      </c>
      <c r="G9" s="733">
        <v>103212522.62</v>
      </c>
      <c r="H9" s="733">
        <f>E9/12*8</f>
        <v>26299532</v>
      </c>
      <c r="I9" s="258">
        <f t="shared" si="1"/>
        <v>-76912990.620000005</v>
      </c>
      <c r="J9" s="575">
        <f t="shared" si="2"/>
        <v>-2.9245003530861311</v>
      </c>
      <c r="K9" s="735">
        <f>E9</f>
        <v>39449298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10334330</v>
      </c>
      <c r="F17" s="408">
        <f t="shared" si="5"/>
        <v>0</v>
      </c>
      <c r="G17" s="408">
        <f t="shared" si="5"/>
        <v>0</v>
      </c>
      <c r="H17" s="408">
        <f t="shared" si="5"/>
        <v>6889553.333333333</v>
      </c>
      <c r="I17" s="258">
        <f t="shared" si="1"/>
        <v>6889553.333333333</v>
      </c>
      <c r="J17" s="575">
        <f t="shared" si="2"/>
        <v>1</v>
      </c>
      <c r="K17" s="642">
        <f>SUM(K18:K26)</f>
        <v>10334330</v>
      </c>
    </row>
    <row r="18" spans="1:11" ht="12.75" customHeight="1" x14ac:dyDescent="0.25">
      <c r="A18" s="574" t="s">
        <v>1225</v>
      </c>
      <c r="B18" s="169"/>
      <c r="C18" s="748"/>
      <c r="D18" s="745"/>
      <c r="E18" s="733">
        <v>10334330</v>
      </c>
      <c r="F18" s="733"/>
      <c r="G18" s="733"/>
      <c r="H18" s="733">
        <f>E18/12*8</f>
        <v>6889553.333333333</v>
      </c>
      <c r="I18" s="258">
        <f t="shared" si="1"/>
        <v>6889553.333333333</v>
      </c>
      <c r="J18" s="575">
        <f t="shared" si="2"/>
        <v>1</v>
      </c>
      <c r="K18" s="735">
        <f>E18</f>
        <v>10334330</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68660397</v>
      </c>
      <c r="F27" s="408">
        <f t="shared" si="6"/>
        <v>1313264.8400000001</v>
      </c>
      <c r="G27" s="408">
        <f t="shared" si="6"/>
        <v>11098476.48</v>
      </c>
      <c r="H27" s="408">
        <f t="shared" si="6"/>
        <v>45773598</v>
      </c>
      <c r="I27" s="258">
        <f t="shared" si="1"/>
        <v>34675121.519999996</v>
      </c>
      <c r="J27" s="575">
        <f t="shared" si="2"/>
        <v>0.75753541419225978</v>
      </c>
      <c r="K27" s="642">
        <f>SUM(K28:K37)</f>
        <v>68660397</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v>68660397</v>
      </c>
      <c r="F30" s="733"/>
      <c r="G30" s="733"/>
      <c r="H30" s="733">
        <f>E30/12*8</f>
        <v>45773598</v>
      </c>
      <c r="I30" s="258">
        <f t="shared" si="1"/>
        <v>45773598</v>
      </c>
      <c r="J30" s="575">
        <f t="shared" si="2"/>
        <v>1</v>
      </c>
      <c r="K30" s="735">
        <f>E30</f>
        <v>68660397</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v>1313264.8400000001</v>
      </c>
      <c r="G35" s="733">
        <v>11098476.48</v>
      </c>
      <c r="H35" s="733"/>
      <c r="I35" s="258">
        <f t="shared" si="1"/>
        <v>-11098476.48</v>
      </c>
      <c r="J35" s="575" t="e">
        <f t="shared" si="2"/>
        <v>#DIV/0!</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32720000</v>
      </c>
      <c r="F38" s="408">
        <f t="shared" si="7"/>
        <v>4901495.7799999993</v>
      </c>
      <c r="G38" s="408">
        <f t="shared" si="7"/>
        <v>11927287.489999998</v>
      </c>
      <c r="H38" s="408">
        <f t="shared" si="7"/>
        <v>21813333.333333332</v>
      </c>
      <c r="I38" s="258">
        <f t="shared" si="1"/>
        <v>9886045.8433333337</v>
      </c>
      <c r="J38" s="575">
        <f t="shared" si="2"/>
        <v>0.45321114807457219</v>
      </c>
      <c r="K38" s="642">
        <f>SUM(K39:K44)</f>
        <v>32720000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v>30000000</v>
      </c>
      <c r="F40" s="733">
        <v>2494512.65</v>
      </c>
      <c r="G40" s="733">
        <v>5961178.3299999991</v>
      </c>
      <c r="H40" s="733">
        <f>E40/12*8</f>
        <v>20000000</v>
      </c>
      <c r="I40" s="258">
        <f t="shared" si="1"/>
        <v>14038821.670000002</v>
      </c>
      <c r="J40" s="575">
        <f t="shared" si="2"/>
        <v>0.70194108350000006</v>
      </c>
      <c r="K40" s="735">
        <f t="shared" ref="K40:K41" si="8">E40</f>
        <v>30000000</v>
      </c>
    </row>
    <row r="41" spans="1:11" ht="12.75" customHeight="1" x14ac:dyDescent="0.25">
      <c r="A41" s="574" t="s">
        <v>1245</v>
      </c>
      <c r="B41" s="169"/>
      <c r="C41" s="748"/>
      <c r="D41" s="745"/>
      <c r="E41" s="733">
        <v>2720000</v>
      </c>
      <c r="F41" s="733"/>
      <c r="G41" s="733"/>
      <c r="H41" s="733">
        <f>E41/12*8</f>
        <v>1813333.3333333333</v>
      </c>
      <c r="I41" s="258">
        <f t="shared" si="1"/>
        <v>1813333.3333333333</v>
      </c>
      <c r="J41" s="575">
        <f t="shared" si="2"/>
        <v>1</v>
      </c>
      <c r="K41" s="735">
        <f t="shared" si="8"/>
        <v>2720000</v>
      </c>
    </row>
    <row r="42" spans="1:11" ht="12.75" customHeight="1" x14ac:dyDescent="0.25">
      <c r="A42" s="574" t="s">
        <v>1246</v>
      </c>
      <c r="B42" s="169"/>
      <c r="C42" s="748"/>
      <c r="D42" s="745"/>
      <c r="E42" s="733"/>
      <c r="F42" s="733">
        <v>2406983.13</v>
      </c>
      <c r="G42" s="733">
        <v>5966109.1599999992</v>
      </c>
      <c r="H42" s="733"/>
      <c r="I42" s="258">
        <f t="shared" si="1"/>
        <v>-5966109.1599999992</v>
      </c>
      <c r="J42" s="575" t="e">
        <f t="shared" si="2"/>
        <v>#DIV/0!</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9">SUM(C46:C52)</f>
        <v>0</v>
      </c>
      <c r="D45" s="649">
        <f t="shared" si="9"/>
        <v>1556460.0773110106</v>
      </c>
      <c r="E45" s="408">
        <f t="shared" si="9"/>
        <v>45099946</v>
      </c>
      <c r="F45" s="408">
        <f t="shared" si="9"/>
        <v>0</v>
      </c>
      <c r="G45" s="408">
        <f t="shared" si="9"/>
        <v>0</v>
      </c>
      <c r="H45" s="408">
        <f t="shared" si="9"/>
        <v>30066630.666666668</v>
      </c>
      <c r="I45" s="258">
        <f t="shared" si="1"/>
        <v>30066630.666666668</v>
      </c>
      <c r="J45" s="575">
        <f t="shared" si="2"/>
        <v>1</v>
      </c>
      <c r="K45" s="642">
        <f>SUM(K46:K52)</f>
        <v>45099946</v>
      </c>
    </row>
    <row r="46" spans="1:11" ht="12.75" customHeight="1" x14ac:dyDescent="0.25">
      <c r="A46" s="574" t="s">
        <v>1249</v>
      </c>
      <c r="B46" s="169"/>
      <c r="C46" s="748"/>
      <c r="D46" s="745">
        <v>1556460.0773110106</v>
      </c>
      <c r="E46" s="733">
        <v>45099946</v>
      </c>
      <c r="F46" s="733"/>
      <c r="G46" s="733"/>
      <c r="H46" s="733">
        <f>E46/12*8</f>
        <v>30066630.666666668</v>
      </c>
      <c r="I46" s="258">
        <f t="shared" si="1"/>
        <v>30066630.666666668</v>
      </c>
      <c r="J46" s="575">
        <f t="shared" si="2"/>
        <v>1</v>
      </c>
      <c r="K46" s="735">
        <f>E46</f>
        <v>45099946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0">SUM(C54:C62)</f>
        <v>0</v>
      </c>
      <c r="D53" s="649">
        <f t="shared" si="10"/>
        <v>0</v>
      </c>
      <c r="E53" s="408">
        <f t="shared" si="10"/>
        <v>0</v>
      </c>
      <c r="F53" s="408">
        <f t="shared" si="10"/>
        <v>0</v>
      </c>
      <c r="G53" s="408">
        <f t="shared" si="10"/>
        <v>0</v>
      </c>
      <c r="H53" s="408">
        <f t="shared" si="10"/>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1">SUM(C64:C68)</f>
        <v>0</v>
      </c>
      <c r="D63" s="649">
        <f t="shared" si="11"/>
        <v>0</v>
      </c>
      <c r="E63" s="408">
        <f t="shared" si="11"/>
        <v>0</v>
      </c>
      <c r="F63" s="408">
        <f t="shared" si="11"/>
        <v>0</v>
      </c>
      <c r="G63" s="408">
        <f t="shared" si="11"/>
        <v>0</v>
      </c>
      <c r="H63" s="408">
        <f t="shared" si="11"/>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2">SUM(C70:C73)</f>
        <v>0</v>
      </c>
      <c r="D69" s="649">
        <f t="shared" si="12"/>
        <v>0</v>
      </c>
      <c r="E69" s="408">
        <f t="shared" si="12"/>
        <v>0</v>
      </c>
      <c r="F69" s="408">
        <f t="shared" si="12"/>
        <v>0</v>
      </c>
      <c r="G69" s="408">
        <f t="shared" si="12"/>
        <v>0</v>
      </c>
      <c r="H69" s="408">
        <f t="shared" si="12"/>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3">+C76+C99</f>
        <v>0</v>
      </c>
      <c r="D75" s="577">
        <f t="shared" si="13"/>
        <v>0</v>
      </c>
      <c r="E75" s="578">
        <f t="shared" si="13"/>
        <v>12300000</v>
      </c>
      <c r="F75" s="578">
        <f t="shared" si="13"/>
        <v>0</v>
      </c>
      <c r="G75" s="578">
        <f t="shared" si="13"/>
        <v>1178169.95</v>
      </c>
      <c r="H75" s="578">
        <f t="shared" si="13"/>
        <v>8200000</v>
      </c>
      <c r="I75" s="578">
        <f t="shared" si="1"/>
        <v>7021830.0499999998</v>
      </c>
      <c r="J75" s="579">
        <f t="shared" si="2"/>
        <v>0.85632073780487805</v>
      </c>
      <c r="K75" s="580">
        <f>+K76+K99</f>
        <v>12300000</v>
      </c>
    </row>
    <row r="76" spans="1:11" ht="12.75" customHeight="1" x14ac:dyDescent="0.25">
      <c r="A76" s="518" t="s">
        <v>1268</v>
      </c>
      <c r="B76" s="169"/>
      <c r="C76" s="648">
        <f t="shared" ref="C76:H76" si="14">SUM(C77:C98)</f>
        <v>0</v>
      </c>
      <c r="D76" s="649">
        <f t="shared" si="14"/>
        <v>0</v>
      </c>
      <c r="E76" s="408">
        <f t="shared" si="14"/>
        <v>12300000</v>
      </c>
      <c r="F76" s="408">
        <f t="shared" si="14"/>
        <v>0</v>
      </c>
      <c r="G76" s="408">
        <f t="shared" si="14"/>
        <v>1178169.95</v>
      </c>
      <c r="H76" s="408">
        <f t="shared" si="14"/>
        <v>8200000</v>
      </c>
      <c r="I76" s="258">
        <f t="shared" si="1"/>
        <v>7021830.0499999998</v>
      </c>
      <c r="J76" s="575">
        <f t="shared" si="2"/>
        <v>0.85632073780487805</v>
      </c>
      <c r="K76" s="642">
        <f>SUM(K77:K98)</f>
        <v>12300000</v>
      </c>
    </row>
    <row r="77" spans="1:11" ht="12.75" customHeight="1" x14ac:dyDescent="0.25">
      <c r="A77" s="574" t="s">
        <v>1269</v>
      </c>
      <c r="B77" s="169"/>
      <c r="C77" s="748"/>
      <c r="D77" s="753"/>
      <c r="E77" s="733">
        <v>12300000</v>
      </c>
      <c r="F77" s="733"/>
      <c r="G77" s="733"/>
      <c r="H77" s="733">
        <f>E77/12*8</f>
        <v>8200000</v>
      </c>
      <c r="I77" s="44">
        <f t="shared" si="1"/>
        <v>8200000</v>
      </c>
      <c r="J77" s="124">
        <f t="shared" si="2"/>
        <v>1</v>
      </c>
      <c r="K77" s="735">
        <f>E77</f>
        <v>12300000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1178169.95</v>
      </c>
      <c r="H87" s="733"/>
      <c r="I87" s="44">
        <f t="shared" si="1"/>
        <v>-1178169.95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5">SUM(C100:C102)</f>
        <v>0</v>
      </c>
      <c r="D99" s="649">
        <f t="shared" si="15"/>
        <v>0</v>
      </c>
      <c r="E99" s="408">
        <f t="shared" si="15"/>
        <v>0</v>
      </c>
      <c r="F99" s="408">
        <f t="shared" si="15"/>
        <v>0</v>
      </c>
      <c r="G99" s="408">
        <f t="shared" si="15"/>
        <v>0</v>
      </c>
      <c r="H99" s="408">
        <f t="shared" si="15"/>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6">SUM(C104:C108)</f>
        <v>0</v>
      </c>
      <c r="D103" s="264">
        <f t="shared" si="16"/>
        <v>0</v>
      </c>
      <c r="E103" s="99">
        <f t="shared" si="16"/>
        <v>4450000</v>
      </c>
      <c r="F103" s="99">
        <f t="shared" si="16"/>
        <v>0</v>
      </c>
      <c r="G103" s="99">
        <f t="shared" si="16"/>
        <v>0</v>
      </c>
      <c r="H103" s="99">
        <f t="shared" si="16"/>
        <v>2966666.6666666665</v>
      </c>
      <c r="I103" s="99">
        <f t="shared" si="1"/>
        <v>2966666.6666666665</v>
      </c>
      <c r="J103" s="324">
        <f t="shared" si="2"/>
        <v>1</v>
      </c>
      <c r="K103" s="195">
        <f>SUM(K104:K108)</f>
        <v>4450000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v>4450000</v>
      </c>
      <c r="F108" s="733"/>
      <c r="G108" s="733"/>
      <c r="H108" s="733">
        <f>E108/12*8</f>
        <v>2966666.6666666665</v>
      </c>
      <c r="I108" s="44">
        <f t="shared" si="1"/>
        <v>2966666.6666666665</v>
      </c>
      <c r="J108" s="124">
        <f t="shared" si="2"/>
        <v>1</v>
      </c>
      <c r="K108" s="735">
        <f>E108</f>
        <v>4450000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7">+C111+C114</f>
        <v>0</v>
      </c>
      <c r="D110" s="577">
        <f t="shared" si="17"/>
        <v>0</v>
      </c>
      <c r="E110" s="578">
        <f t="shared" si="17"/>
        <v>0</v>
      </c>
      <c r="F110" s="578">
        <f t="shared" si="17"/>
        <v>0</v>
      </c>
      <c r="G110" s="578">
        <f t="shared" si="17"/>
        <v>0</v>
      </c>
      <c r="H110" s="578">
        <f t="shared" si="17"/>
        <v>0</v>
      </c>
      <c r="I110" s="99">
        <f t="shared" si="1"/>
        <v>0</v>
      </c>
      <c r="J110" s="324" t="str">
        <f t="shared" si="2"/>
        <v/>
      </c>
      <c r="K110" s="580">
        <f>+K111+K114</f>
        <v>0</v>
      </c>
    </row>
    <row r="111" spans="1:11" ht="12.75" customHeight="1" x14ac:dyDescent="0.25">
      <c r="A111" s="518" t="s">
        <v>1294</v>
      </c>
      <c r="B111" s="169"/>
      <c r="C111" s="648">
        <f t="shared" ref="C111:H111" si="18">SUM(C112:C113)</f>
        <v>0</v>
      </c>
      <c r="D111" s="649">
        <f t="shared" si="18"/>
        <v>0</v>
      </c>
      <c r="E111" s="408">
        <f t="shared" si="18"/>
        <v>0</v>
      </c>
      <c r="F111" s="408">
        <f t="shared" si="18"/>
        <v>0</v>
      </c>
      <c r="G111" s="408">
        <f t="shared" si="18"/>
        <v>0</v>
      </c>
      <c r="H111" s="408">
        <f t="shared" si="18"/>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9">SUM(C115:C116)</f>
        <v>0</v>
      </c>
      <c r="D114" s="649">
        <f t="shared" si="19"/>
        <v>0</v>
      </c>
      <c r="E114" s="408">
        <f t="shared" si="19"/>
        <v>0</v>
      </c>
      <c r="F114" s="408">
        <f t="shared" si="19"/>
        <v>0</v>
      </c>
      <c r="G114" s="408">
        <f t="shared" si="19"/>
        <v>0</v>
      </c>
      <c r="H114" s="408">
        <f t="shared" si="19"/>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0">+C118+C130</f>
        <v>0</v>
      </c>
      <c r="D117" s="577">
        <f t="shared" si="20"/>
        <v>0</v>
      </c>
      <c r="E117" s="578">
        <f t="shared" si="20"/>
        <v>28589166.780000001</v>
      </c>
      <c r="F117" s="578">
        <f t="shared" si="20"/>
        <v>0</v>
      </c>
      <c r="G117" s="578">
        <f t="shared" si="20"/>
        <v>0</v>
      </c>
      <c r="H117" s="578">
        <f t="shared" si="20"/>
        <v>19059444.52</v>
      </c>
      <c r="I117" s="578">
        <f t="shared" si="1"/>
        <v>19059444.52</v>
      </c>
      <c r="J117" s="579">
        <f t="shared" si="2"/>
        <v>1</v>
      </c>
      <c r="K117" s="580">
        <f>+K118+K130</f>
        <v>28589166.780000001</v>
      </c>
    </row>
    <row r="118" spans="1:11" ht="12.75" customHeight="1" x14ac:dyDescent="0.25">
      <c r="A118" s="518" t="s">
        <v>1298</v>
      </c>
      <c r="B118" s="169"/>
      <c r="C118" s="648">
        <f t="shared" ref="C118:H118" si="21">SUM(C119:C129)</f>
        <v>0</v>
      </c>
      <c r="D118" s="649">
        <f t="shared" si="21"/>
        <v>0</v>
      </c>
      <c r="E118" s="408">
        <f t="shared" si="21"/>
        <v>0</v>
      </c>
      <c r="F118" s="408">
        <f t="shared" si="21"/>
        <v>0</v>
      </c>
      <c r="G118" s="408">
        <f t="shared" si="21"/>
        <v>0</v>
      </c>
      <c r="H118" s="408">
        <f t="shared" si="21"/>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2">SUM(C131:C133)</f>
        <v>0</v>
      </c>
      <c r="D130" s="649">
        <f t="shared" si="22"/>
        <v>0</v>
      </c>
      <c r="E130" s="408">
        <f t="shared" si="22"/>
        <v>28589166.780000001</v>
      </c>
      <c r="F130" s="408">
        <f t="shared" si="22"/>
        <v>0</v>
      </c>
      <c r="G130" s="408">
        <f t="shared" si="22"/>
        <v>0</v>
      </c>
      <c r="H130" s="408">
        <f t="shared" si="22"/>
        <v>19059444.52</v>
      </c>
      <c r="I130" s="258">
        <f t="shared" si="1"/>
        <v>19059444.52</v>
      </c>
      <c r="J130" s="575">
        <f t="shared" si="2"/>
        <v>1</v>
      </c>
      <c r="K130" s="642">
        <f>SUM(K131:K133)</f>
        <v>28589166.780000001</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28589166.780000001</v>
      </c>
      <c r="F132" s="733"/>
      <c r="G132" s="733"/>
      <c r="H132" s="733">
        <f>E132/12*8</f>
        <v>19059444.52</v>
      </c>
      <c r="I132" s="44">
        <f t="shared" si="1"/>
        <v>19059444.52</v>
      </c>
      <c r="J132" s="124">
        <f t="shared" si="2"/>
        <v>1</v>
      </c>
      <c r="K132" s="735">
        <f>E132</f>
        <v>28589166.780000001</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3">SUM(C136:C136)</f>
        <v>0</v>
      </c>
      <c r="D135" s="577">
        <f t="shared" si="23"/>
        <v>0</v>
      </c>
      <c r="E135" s="578">
        <f t="shared" si="23"/>
        <v>0</v>
      </c>
      <c r="F135" s="578">
        <f t="shared" si="23"/>
        <v>0</v>
      </c>
      <c r="G135" s="578">
        <f t="shared" si="23"/>
        <v>0</v>
      </c>
      <c r="H135" s="578">
        <f t="shared" si="23"/>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4">IF(I137=0,"",I137/H137)</f>
        <v/>
      </c>
      <c r="K137" s="144"/>
    </row>
    <row r="138" spans="1:11" s="100" customFormat="1" ht="12.75" customHeight="1" x14ac:dyDescent="0.25">
      <c r="A138" s="549" t="s">
        <v>1312</v>
      </c>
      <c r="B138" s="171"/>
      <c r="C138" s="940">
        <f t="shared" ref="C138:H138" si="25">SUM(C139:C140)</f>
        <v>0</v>
      </c>
      <c r="D138" s="941">
        <f t="shared" si="25"/>
        <v>0</v>
      </c>
      <c r="E138" s="942">
        <f t="shared" si="25"/>
        <v>3250000</v>
      </c>
      <c r="F138" s="942">
        <f t="shared" si="25"/>
        <v>0</v>
      </c>
      <c r="G138" s="942">
        <f t="shared" si="25"/>
        <v>0</v>
      </c>
      <c r="H138" s="942">
        <f t="shared" si="25"/>
        <v>2166666.6666666665</v>
      </c>
      <c r="I138" s="942">
        <f t="shared" ref="I138:I146" si="26">H138-G138</f>
        <v>2166666.6666666665</v>
      </c>
      <c r="J138" s="324">
        <f t="shared" si="24"/>
        <v>1</v>
      </c>
      <c r="K138" s="943">
        <f>SUM(K139:K140)</f>
        <v>3250000</v>
      </c>
    </row>
    <row r="139" spans="1:11" ht="12.75" customHeight="1" x14ac:dyDescent="0.25">
      <c r="A139" s="517" t="s">
        <v>1313</v>
      </c>
      <c r="B139" s="169"/>
      <c r="C139" s="748"/>
      <c r="D139" s="753"/>
      <c r="E139" s="733"/>
      <c r="F139" s="733"/>
      <c r="G139" s="733"/>
      <c r="H139" s="733"/>
      <c r="I139" s="44">
        <f t="shared" si="26"/>
        <v>0</v>
      </c>
      <c r="J139" s="124" t="str">
        <f t="shared" si="24"/>
        <v/>
      </c>
      <c r="K139" s="735"/>
    </row>
    <row r="140" spans="1:11" ht="12.75" customHeight="1" x14ac:dyDescent="0.25">
      <c r="A140" s="517" t="s">
        <v>1314</v>
      </c>
      <c r="B140" s="169"/>
      <c r="C140" s="648">
        <f t="shared" ref="C140:H140" si="27">SUM(C141:C146)</f>
        <v>0</v>
      </c>
      <c r="D140" s="649">
        <f t="shared" si="27"/>
        <v>0</v>
      </c>
      <c r="E140" s="408">
        <f t="shared" si="27"/>
        <v>3250000</v>
      </c>
      <c r="F140" s="408">
        <f t="shared" si="27"/>
        <v>0</v>
      </c>
      <c r="G140" s="408">
        <f t="shared" si="27"/>
        <v>0</v>
      </c>
      <c r="H140" s="408">
        <f t="shared" si="27"/>
        <v>2166666.6666666665</v>
      </c>
      <c r="I140" s="258">
        <f t="shared" si="26"/>
        <v>2166666.6666666665</v>
      </c>
      <c r="J140" s="575">
        <f t="shared" si="24"/>
        <v>1</v>
      </c>
      <c r="K140" s="642">
        <f>SUM(K141:K146)</f>
        <v>3250000</v>
      </c>
    </row>
    <row r="141" spans="1:11" ht="12.75" customHeight="1" x14ac:dyDescent="0.25">
      <c r="A141" s="574" t="s">
        <v>1315</v>
      </c>
      <c r="B141" s="169"/>
      <c r="C141" s="748"/>
      <c r="D141" s="753"/>
      <c r="E141" s="733"/>
      <c r="F141" s="733"/>
      <c r="G141" s="733"/>
      <c r="H141" s="733"/>
      <c r="I141" s="44">
        <f t="shared" si="26"/>
        <v>0</v>
      </c>
      <c r="J141" s="124" t="str">
        <f t="shared" si="24"/>
        <v/>
      </c>
      <c r="K141" s="735"/>
    </row>
    <row r="142" spans="1:11" ht="12.75" customHeight="1" x14ac:dyDescent="0.25">
      <c r="A142" s="574" t="s">
        <v>1316</v>
      </c>
      <c r="B142" s="169"/>
      <c r="C142" s="748"/>
      <c r="D142" s="753"/>
      <c r="E142" s="733"/>
      <c r="F142" s="733"/>
      <c r="G142" s="733"/>
      <c r="H142" s="733"/>
      <c r="I142" s="44">
        <f t="shared" si="26"/>
        <v>0</v>
      </c>
      <c r="J142" s="124" t="str">
        <f t="shared" si="24"/>
        <v/>
      </c>
      <c r="K142" s="735"/>
    </row>
    <row r="143" spans="1:11" ht="12.75" customHeight="1" x14ac:dyDescent="0.25">
      <c r="A143" s="574" t="s">
        <v>1317</v>
      </c>
      <c r="B143" s="169"/>
      <c r="C143" s="748"/>
      <c r="D143" s="753"/>
      <c r="E143" s="733"/>
      <c r="F143" s="733"/>
      <c r="G143" s="733"/>
      <c r="H143" s="733"/>
      <c r="I143" s="44">
        <f t="shared" si="26"/>
        <v>0</v>
      </c>
      <c r="J143" s="124" t="str">
        <f t="shared" si="24"/>
        <v/>
      </c>
      <c r="K143" s="735"/>
    </row>
    <row r="144" spans="1:11" ht="12.75" customHeight="1" x14ac:dyDescent="0.25">
      <c r="A144" s="574" t="s">
        <v>1318</v>
      </c>
      <c r="B144" s="169"/>
      <c r="C144" s="748"/>
      <c r="D144" s="753"/>
      <c r="E144" s="733">
        <v>3250000</v>
      </c>
      <c r="F144" s="733"/>
      <c r="G144" s="733"/>
      <c r="H144" s="733">
        <f>E144/12*8</f>
        <v>2166666.6666666665</v>
      </c>
      <c r="I144" s="44">
        <f t="shared" si="26"/>
        <v>2166666.6666666665</v>
      </c>
      <c r="J144" s="124">
        <f t="shared" si="24"/>
        <v>1</v>
      </c>
      <c r="K144" s="735">
        <f>E144</f>
        <v>3250000</v>
      </c>
    </row>
    <row r="145" spans="1:12" ht="12.75" customHeight="1" x14ac:dyDescent="0.25">
      <c r="A145" s="574" t="s">
        <v>1319</v>
      </c>
      <c r="B145" s="169"/>
      <c r="C145" s="748"/>
      <c r="D145" s="753"/>
      <c r="E145" s="733"/>
      <c r="F145" s="733"/>
      <c r="G145" s="733"/>
      <c r="H145" s="733"/>
      <c r="I145" s="44">
        <f t="shared" si="26"/>
        <v>0</v>
      </c>
      <c r="J145" s="124" t="str">
        <f t="shared" si="24"/>
        <v/>
      </c>
      <c r="K145" s="735"/>
    </row>
    <row r="146" spans="1:12" ht="12.75" customHeight="1" x14ac:dyDescent="0.25">
      <c r="A146" s="574" t="s">
        <v>1320</v>
      </c>
      <c r="B146" s="169"/>
      <c r="C146" s="748"/>
      <c r="D146" s="753"/>
      <c r="E146" s="733"/>
      <c r="F146" s="733"/>
      <c r="G146" s="733"/>
      <c r="H146" s="733"/>
      <c r="I146" s="44">
        <f t="shared" si="26"/>
        <v>0</v>
      </c>
      <c r="J146" s="124" t="str">
        <f t="shared" si="24"/>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8">SUM(C149:C149)</f>
        <v>0</v>
      </c>
      <c r="D148" s="577">
        <f t="shared" si="28"/>
        <v>0</v>
      </c>
      <c r="E148" s="578">
        <f t="shared" si="28"/>
        <v>0</v>
      </c>
      <c r="F148" s="578">
        <f t="shared" si="28"/>
        <v>0</v>
      </c>
      <c r="G148" s="578">
        <f t="shared" si="28"/>
        <v>0</v>
      </c>
      <c r="H148" s="578">
        <f t="shared" si="28"/>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9">SUM(C152:C152)</f>
        <v>0</v>
      </c>
      <c r="D151" s="577">
        <f t="shared" si="29"/>
        <v>389115.01932775264</v>
      </c>
      <c r="E151" s="578">
        <f t="shared" si="29"/>
        <v>389115.01932775264</v>
      </c>
      <c r="F151" s="578">
        <f t="shared" si="29"/>
        <v>0</v>
      </c>
      <c r="G151" s="578">
        <f t="shared" si="29"/>
        <v>0</v>
      </c>
      <c r="H151" s="578">
        <f t="shared" si="29"/>
        <v>259410.01288516843</v>
      </c>
      <c r="I151" s="578">
        <f>H151-G151</f>
        <v>259410.01288516843</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E152/12*8</f>
        <v>259410.01288516843</v>
      </c>
      <c r="I152" s="44">
        <f>H152-G152</f>
        <v>259410.01288516843</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0">SUM(C155:C155)</f>
        <v>0</v>
      </c>
      <c r="D154" s="577">
        <f t="shared" si="30"/>
        <v>7339876.6095793974</v>
      </c>
      <c r="E154" s="578">
        <f t="shared" si="30"/>
        <v>4365000</v>
      </c>
      <c r="F154" s="578">
        <f t="shared" si="30"/>
        <v>0</v>
      </c>
      <c r="G154" s="578">
        <f t="shared" si="30"/>
        <v>0</v>
      </c>
      <c r="H154" s="578">
        <f t="shared" si="30"/>
        <v>2910000</v>
      </c>
      <c r="I154" s="578">
        <f>H154-G154</f>
        <v>2910000</v>
      </c>
      <c r="J154" s="324">
        <f>IF(I154=0,"",I154/H154)</f>
        <v>1</v>
      </c>
      <c r="K154" s="580">
        <f>SUM(K155)</f>
        <v>4365000</v>
      </c>
    </row>
    <row r="155" spans="1:12" ht="12.75" customHeight="1" x14ac:dyDescent="0.25">
      <c r="A155" s="518" t="s">
        <v>1323</v>
      </c>
      <c r="B155" s="169"/>
      <c r="C155" s="748"/>
      <c r="D155" s="753">
        <v>7339876.6095793974</v>
      </c>
      <c r="E155" s="733">
        <v>4365000</v>
      </c>
      <c r="F155" s="733"/>
      <c r="G155" s="733"/>
      <c r="H155" s="733">
        <f>E155/12*8</f>
        <v>2910000</v>
      </c>
      <c r="I155" s="44">
        <f>H155-G155</f>
        <v>2910000</v>
      </c>
      <c r="J155" s="124">
        <f>IF(I155=0,"",I155/H155)</f>
        <v>1</v>
      </c>
      <c r="K155" s="735">
        <f>E155</f>
        <v>4365000</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1">SUM(C158:C158)</f>
        <v>0</v>
      </c>
      <c r="D157" s="577">
        <f t="shared" si="31"/>
        <v>0</v>
      </c>
      <c r="E157" s="578">
        <f t="shared" si="31"/>
        <v>10180000</v>
      </c>
      <c r="F157" s="578">
        <f t="shared" si="31"/>
        <v>0</v>
      </c>
      <c r="G157" s="578">
        <f t="shared" si="31"/>
        <v>0</v>
      </c>
      <c r="H157" s="578">
        <f t="shared" si="31"/>
        <v>6786666.666666667</v>
      </c>
      <c r="I157" s="578">
        <f>H157-G157</f>
        <v>6786666.666666667</v>
      </c>
      <c r="J157" s="324">
        <f>IF(I157=0,"",I157/H157)</f>
        <v>1</v>
      </c>
      <c r="K157" s="580">
        <f>SUM(K158)</f>
        <v>10180000</v>
      </c>
    </row>
    <row r="158" spans="1:12" ht="12.75" customHeight="1" x14ac:dyDescent="0.25">
      <c r="A158" s="518" t="s">
        <v>1324</v>
      </c>
      <c r="B158" s="169"/>
      <c r="C158" s="748"/>
      <c r="D158" s="753"/>
      <c r="E158" s="733">
        <v>10180000</v>
      </c>
      <c r="F158" s="733"/>
      <c r="G158" s="733"/>
      <c r="H158" s="733">
        <f>E158/12*8</f>
        <v>6786666.666666667</v>
      </c>
      <c r="I158" s="44">
        <f>H158-G158</f>
        <v>6786666.666666667</v>
      </c>
      <c r="J158" s="124">
        <f>IF(I158=0,"",I158/H158)</f>
        <v>1</v>
      </c>
      <c r="K158" s="735">
        <f>E158</f>
        <v>10180000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2">SUM(C161:C161)</f>
        <v>0</v>
      </c>
      <c r="D160" s="577">
        <f t="shared" si="32"/>
        <v>0</v>
      </c>
      <c r="E160" s="578">
        <f t="shared" si="32"/>
        <v>0</v>
      </c>
      <c r="F160" s="578">
        <f t="shared" si="32"/>
        <v>0</v>
      </c>
      <c r="G160" s="578">
        <f t="shared" si="32"/>
        <v>0</v>
      </c>
      <c r="H160" s="578">
        <f t="shared" si="32"/>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3">SUM(C164:C164)</f>
        <v>0</v>
      </c>
      <c r="D163" s="577">
        <f t="shared" si="33"/>
        <v>0</v>
      </c>
      <c r="E163" s="578">
        <f t="shared" si="33"/>
        <v>0</v>
      </c>
      <c r="F163" s="578">
        <f t="shared" si="33"/>
        <v>0</v>
      </c>
      <c r="G163" s="578">
        <f t="shared" si="33"/>
        <v>0</v>
      </c>
      <c r="H163" s="578">
        <f t="shared" si="33"/>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4">C7+C75+C103+C110+C117+C135+C138+C148+C151+C154+C157+C160+C163</f>
        <v>0</v>
      </c>
      <c r="D166" s="271">
        <f t="shared" si="34"/>
        <v>15200000</v>
      </c>
      <c r="E166" s="55">
        <f t="shared" si="34"/>
        <v>259787252.79932776</v>
      </c>
      <c r="F166" s="55">
        <f t="shared" si="34"/>
        <v>6424746.9899999993</v>
      </c>
      <c r="G166" s="55">
        <f t="shared" si="34"/>
        <v>127416456.54000001</v>
      </c>
      <c r="H166" s="55">
        <f t="shared" si="34"/>
        <v>173191501.86621848</v>
      </c>
      <c r="I166" s="55">
        <f>H166-G166</f>
        <v>45775045.326218471</v>
      </c>
      <c r="J166" s="290">
        <f>IF(I166=0,"",I166/H166)</f>
        <v>0.26430306818158628</v>
      </c>
      <c r="K166" s="235">
        <f>K7+K75+K103+K110+K117+K135+K138+K148+K151+K154+K157+K160+K163</f>
        <v>259787252.79932776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-194.66492176055908</v>
      </c>
      <c r="F171" s="135">
        <f>F166+SC13a!F166+SC13e!F166-'C5-Capex'!F40</f>
        <v>0</v>
      </c>
      <c r="G171" s="135">
        <f>G166+SC13a!G166+SC13e!G166-'C5-Capex'!G40</f>
        <v>0</v>
      </c>
      <c r="H171" s="135" t="e">
        <f>H166+SC13a!H166+SC13e!H166-'C5-Capex'!H40</f>
        <v>#VALUE!</v>
      </c>
      <c r="I171" s="135"/>
      <c r="J171" s="135"/>
      <c r="K171" s="135">
        <f>K166+SC13a!K166+SC13e!K166-'C5-Capex'!K40</f>
        <v>-194.66492176055908</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37" activePane="bottomRight" state="frozen"/>
      <selection pane="topRight"/>
      <selection pane="bottomLeft"/>
      <selection pane="bottomRight" activeCell="G164" sqref="G16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"&amp;S71Sc&amp; " - "&amp;Head57</f>
        <v>KZN225 Msunduzi - Supporting Table SC13c Consolidated Monthly Budget Statement - expenditure on repairs and maintenance by asset class - M08 February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6595337.5499999989</v>
      </c>
      <c r="G7" s="102">
        <f t="shared" si="0"/>
        <v>39879598.470000006</v>
      </c>
      <c r="H7" s="102">
        <f t="shared" si="0"/>
        <v>121872725.45973282</v>
      </c>
      <c r="I7" s="101">
        <f t="shared" ref="I7:I166" si="1">H7-G7</f>
        <v>81993126.989732802</v>
      </c>
      <c r="J7" s="579">
        <f t="shared" ref="J7:J166" si="2">IF(I7=0,"",I7/H7)</f>
        <v>0.67277667485022008</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44918277.768567644</v>
      </c>
      <c r="I8" s="258">
        <f t="shared" si="1"/>
        <v>44918277.768567644</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E9/12*8</f>
        <v>44918277.768567644</v>
      </c>
      <c r="I9" s="258">
        <f t="shared" si="1"/>
        <v>44918277.768567644</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1150413.98</v>
      </c>
      <c r="G17" s="408">
        <f t="shared" si="5"/>
        <v>9311945.2200000007</v>
      </c>
      <c r="H17" s="408">
        <f t="shared" si="5"/>
        <v>48245641.101463668</v>
      </c>
      <c r="I17" s="258">
        <f t="shared" si="1"/>
        <v>38933695.881463669</v>
      </c>
      <c r="J17" s="575">
        <f t="shared" si="2"/>
        <v>0.80698888008522096</v>
      </c>
      <c r="K17" s="642">
        <f>SUM(K18:K26)</f>
        <v>72368461.652195498</v>
      </c>
    </row>
    <row r="18" spans="1:11" ht="12.75" customHeight="1" x14ac:dyDescent="0.25">
      <c r="A18" s="574" t="s">
        <v>1225</v>
      </c>
      <c r="B18" s="169"/>
      <c r="C18" s="748"/>
      <c r="D18" s="745">
        <v>72368461.652195498</v>
      </c>
      <c r="E18" s="733">
        <v>72368461.652195498</v>
      </c>
      <c r="F18" s="733"/>
      <c r="G18" s="733"/>
      <c r="H18" s="733">
        <f>E18/12*8</f>
        <v>48245641.101463668</v>
      </c>
      <c r="I18" s="258">
        <f t="shared" si="1"/>
        <v>48245641.101463668</v>
      </c>
      <c r="J18" s="575">
        <f t="shared" si="2"/>
        <v>1</v>
      </c>
      <c r="K18" s="735">
        <f>E18</f>
        <v>72368461.652195498</v>
      </c>
    </row>
    <row r="19" spans="1:11" ht="12.75" customHeight="1" x14ac:dyDescent="0.25">
      <c r="A19" s="574" t="s">
        <v>1226</v>
      </c>
      <c r="B19" s="169"/>
      <c r="C19" s="748"/>
      <c r="D19" s="745"/>
      <c r="E19" s="733"/>
      <c r="F19" s="733">
        <v>1150413.98</v>
      </c>
      <c r="G19" s="733">
        <v>9311945.2200000007</v>
      </c>
      <c r="H19" s="733"/>
      <c r="I19" s="258">
        <f t="shared" si="1"/>
        <v>-9311945.2200000007</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14766423.204592608</v>
      </c>
      <c r="I27" s="258">
        <f t="shared" si="1"/>
        <v>14766423.204592608</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E34/12*8</f>
        <v>14766423.204592608</v>
      </c>
      <c r="I34" s="258">
        <f t="shared" si="1"/>
        <v>14766423.204592608</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5850262.1753371162</v>
      </c>
      <c r="I38" s="258">
        <f t="shared" si="1"/>
        <v>5850262.1753371162</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E41/12*8</f>
        <v>5850262.1753371162</v>
      </c>
      <c r="I41" s="258">
        <f t="shared" si="1"/>
        <v>5850262.1753371162</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8092121.2097717756</v>
      </c>
      <c r="I45" s="258">
        <f t="shared" si="1"/>
        <v>8092121.2097717756</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E46/12*8</f>
        <v>8092121.2097717756</v>
      </c>
      <c r="I46" s="258">
        <f t="shared" si="1"/>
        <v>8092121.2097717756</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5444923.5699999994</v>
      </c>
      <c r="G53" s="408">
        <f t="shared" si="9"/>
        <v>30567653.250000007</v>
      </c>
      <c r="H53" s="408">
        <f t="shared" si="9"/>
        <v>0</v>
      </c>
      <c r="I53" s="258">
        <f t="shared" si="1"/>
        <v>-30567653.250000007</v>
      </c>
      <c r="J53" s="575" t="e">
        <f t="shared" si="2"/>
        <v>#DIV/0!</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v>7962.25</v>
      </c>
      <c r="G60" s="733">
        <v>995334.78000000014</v>
      </c>
      <c r="H60" s="733"/>
      <c r="I60" s="258">
        <f t="shared" si="1"/>
        <v>-995334.78000000014</v>
      </c>
      <c r="J60" s="575" t="e">
        <f t="shared" si="2"/>
        <v>#DIV/0!</v>
      </c>
      <c r="K60" s="735"/>
    </row>
    <row r="61" spans="1:11" ht="12.75" customHeight="1" x14ac:dyDescent="0.25">
      <c r="A61" s="574" t="s">
        <v>1232</v>
      </c>
      <c r="B61" s="169"/>
      <c r="C61" s="748"/>
      <c r="D61" s="745"/>
      <c r="E61" s="733"/>
      <c r="F61" s="733">
        <v>5436961.3199999994</v>
      </c>
      <c r="G61" s="733">
        <v>29572318.470000006</v>
      </c>
      <c r="H61" s="733"/>
      <c r="I61" s="258">
        <f t="shared" si="1"/>
        <v>-29572318.470000006</v>
      </c>
      <c r="J61" s="575" t="e">
        <f t="shared" si="2"/>
        <v>#DIV/0!</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15675147.565903341</v>
      </c>
      <c r="I75" s="578">
        <f t="shared" si="1"/>
        <v>15675147.565903341</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15675147.565903341</v>
      </c>
      <c r="I76" s="258">
        <f t="shared" si="1"/>
        <v>15675147.565903341</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E77/12*8</f>
        <v>618338.60984073498</v>
      </c>
      <c r="I77" s="44">
        <f t="shared" si="1"/>
        <v>618338.60984073498</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E80/12*8</f>
        <v>308202.7150651975</v>
      </c>
      <c r="I80" s="44">
        <f t="shared" si="1"/>
        <v>308202.7150651975</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E86/12*8</f>
        <v>585153.63165098405</v>
      </c>
      <c r="I86" s="44">
        <f t="shared" si="1"/>
        <v>585153.63165098405</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E88/12*8</f>
        <v>2540301.2932449346</v>
      </c>
      <c r="I88" s="44">
        <f t="shared" si="1"/>
        <v>2540301.2932449346</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E90/12*8</f>
        <v>8372141.9087632122</v>
      </c>
      <c r="I90" s="44">
        <f t="shared" si="1"/>
        <v>8372141.9087632122</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E93/12*8</f>
        <v>3251009.4073382784</v>
      </c>
      <c r="I93" s="44">
        <f t="shared" si="1"/>
        <v>3251009.4073382784</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17988003.198277608</v>
      </c>
      <c r="I103" s="99">
        <f t="shared" si="1"/>
        <v>17988003.198277608</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E105/12*8</f>
        <v>17988003.198277608</v>
      </c>
      <c r="I105" s="44">
        <f t="shared" si="1"/>
        <v>17988003.198277608</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780497.87999999989</v>
      </c>
      <c r="G117" s="578">
        <f t="shared" si="19"/>
        <v>4199272.34</v>
      </c>
      <c r="H117" s="578">
        <f t="shared" si="19"/>
        <v>0</v>
      </c>
      <c r="I117" s="578">
        <f t="shared" si="1"/>
        <v>-4199272.34</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780497.87999999989</v>
      </c>
      <c r="G118" s="408">
        <f t="shared" si="20"/>
        <v>4199272.34</v>
      </c>
      <c r="H118" s="408">
        <f t="shared" si="20"/>
        <v>0</v>
      </c>
      <c r="I118" s="258">
        <f t="shared" si="1"/>
        <v>-4199272.34</v>
      </c>
      <c r="J118" s="575" t="e">
        <f t="shared" si="2"/>
        <v>#DIV/0!</v>
      </c>
      <c r="K118" s="642">
        <f>SUM(K119:K129)</f>
        <v>0</v>
      </c>
    </row>
    <row r="119" spans="1:11" ht="12.75" customHeight="1" x14ac:dyDescent="0.25">
      <c r="A119" s="574" t="s">
        <v>1299</v>
      </c>
      <c r="B119" s="169"/>
      <c r="C119" s="748"/>
      <c r="D119" s="753"/>
      <c r="E119" s="733"/>
      <c r="F119" s="733">
        <v>780497.87999999989</v>
      </c>
      <c r="G119" s="733">
        <v>4199272.34</v>
      </c>
      <c r="H119" s="733"/>
      <c r="I119" s="44">
        <f t="shared" si="1"/>
        <v>-4199272.34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985657.7300000001</v>
      </c>
      <c r="G154" s="578">
        <f t="shared" si="29"/>
        <v>8490287.4299999997</v>
      </c>
      <c r="H154" s="578">
        <f t="shared" si="29"/>
        <v>0</v>
      </c>
      <c r="I154" s="578">
        <f>H154-G154</f>
        <v>-8490287.4299999997</v>
      </c>
      <c r="J154" s="324" t="e">
        <f>IF(I154=0,"",I154/H154)</f>
        <v>#DIV/0!</v>
      </c>
      <c r="K154" s="580">
        <f>SUM(K155)</f>
        <v>0</v>
      </c>
    </row>
    <row r="155" spans="1:12" ht="12.75" customHeight="1" x14ac:dyDescent="0.25">
      <c r="A155" s="518" t="s">
        <v>1323</v>
      </c>
      <c r="B155" s="169"/>
      <c r="C155" s="748"/>
      <c r="D155" s="753"/>
      <c r="E155" s="733"/>
      <c r="F155" s="733">
        <v>985657.7300000001</v>
      </c>
      <c r="G155" s="733">
        <v>8490287.4299999997</v>
      </c>
      <c r="H155" s="733"/>
      <c r="I155" s="44">
        <f>H155-G155</f>
        <v>-8490287.4299999997</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8361493.1599999992</v>
      </c>
      <c r="G166" s="55">
        <f t="shared" si="33"/>
        <v>52569158.240000002</v>
      </c>
      <c r="H166" s="55">
        <f t="shared" si="33"/>
        <v>155535876.22391379</v>
      </c>
      <c r="I166" s="55">
        <f t="shared" si="1"/>
        <v>102966717.98391378</v>
      </c>
      <c r="J166" s="290">
        <f t="shared" si="2"/>
        <v>0.66201265253863373</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28" activePane="bottomRight" state="frozen"/>
      <selection pane="topRight"/>
      <selection pane="bottomLeft"/>
      <selection pane="bottomRight" activeCell="N158" sqref="N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"&amp;S71Sd&amp; " - "&amp;Head57</f>
        <v>KZN225 Msunduzi - Supporting Table SC13d Consolidated Monthly Budget Statement - depreciation by asset class - M08 February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24596390.390000004</v>
      </c>
      <c r="G7" s="102">
        <f t="shared" si="0"/>
        <v>213437307.20999998</v>
      </c>
      <c r="H7" s="102">
        <f t="shared" si="0"/>
        <v>68123620.435309887</v>
      </c>
      <c r="I7" s="101">
        <f t="shared" ref="I7:I166" si="1">H7-G7</f>
        <v>-145313686.77469009</v>
      </c>
      <c r="J7" s="579">
        <f t="shared" ref="J7:J166" si="2">IF(I7=0,"",I7/H7)</f>
        <v>-2.1330881395635717</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9179514.9900000021</v>
      </c>
      <c r="G8" s="608">
        <f t="shared" si="3"/>
        <v>79665078.819999978</v>
      </c>
      <c r="H8" s="608">
        <f t="shared" si="3"/>
        <v>9955746.6420995407</v>
      </c>
      <c r="I8" s="258">
        <f t="shared" si="1"/>
        <v>-69709332.177900434</v>
      </c>
      <c r="J8" s="575">
        <f t="shared" si="2"/>
        <v>-7.001919060808846</v>
      </c>
      <c r="K8" s="610">
        <f>SUM(K9:K12)</f>
        <v>14933619.963149311</v>
      </c>
    </row>
    <row r="9" spans="1:11" ht="12.75" customHeight="1" x14ac:dyDescent="0.25">
      <c r="A9" s="574" t="s">
        <v>168</v>
      </c>
      <c r="B9" s="169"/>
      <c r="C9" s="748"/>
      <c r="D9" s="745">
        <v>14851561.889929518</v>
      </c>
      <c r="E9" s="733">
        <v>14851561.889929518</v>
      </c>
      <c r="F9" s="733">
        <v>9179514.9900000021</v>
      </c>
      <c r="G9" s="733">
        <v>79665078.819999978</v>
      </c>
      <c r="H9" s="733">
        <f>E9/12*8</f>
        <v>9901041.2599530127</v>
      </c>
      <c r="I9" s="258">
        <f t="shared" si="1"/>
        <v>-69764037.560046971</v>
      </c>
      <c r="J9" s="575">
        <f t="shared" si="2"/>
        <v>-7.0461313844053253</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E12/12*8</f>
        <v>54705.382146528071</v>
      </c>
      <c r="I12" s="258">
        <f t="shared" si="1"/>
        <v>54705.382146528071</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7228446.8200000003</v>
      </c>
      <c r="G17" s="408">
        <f t="shared" si="5"/>
        <v>62708371.980000004</v>
      </c>
      <c r="H17" s="408">
        <f t="shared" si="5"/>
        <v>53896460.169662021</v>
      </c>
      <c r="I17" s="258">
        <f t="shared" si="1"/>
        <v>-8811911.8103379831</v>
      </c>
      <c r="J17" s="575">
        <f t="shared" si="2"/>
        <v>-0.16349704196896689</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E19/12*8</f>
        <v>26200521.455692459</v>
      </c>
      <c r="I19" s="258">
        <f t="shared" si="1"/>
        <v>26200521.455692459</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318922.95</v>
      </c>
      <c r="G20" s="733">
        <v>2755192.95</v>
      </c>
      <c r="H20" s="733">
        <f t="shared" si="6"/>
        <v>20278407.351206899</v>
      </c>
      <c r="I20" s="258">
        <f t="shared" si="1"/>
        <v>17523214.401206899</v>
      </c>
      <c r="J20" s="575">
        <f t="shared" si="2"/>
        <v>0.86413168932440743</v>
      </c>
      <c r="K20" s="735">
        <f t="shared" si="7"/>
        <v>30417611.026810348</v>
      </c>
    </row>
    <row r="21" spans="1:11" ht="12.75" customHeight="1" x14ac:dyDescent="0.25">
      <c r="A21" s="574" t="s">
        <v>1228</v>
      </c>
      <c r="B21" s="169"/>
      <c r="C21" s="748"/>
      <c r="D21" s="745">
        <v>10972255.34036158</v>
      </c>
      <c r="E21" s="733">
        <v>10972255.34036158</v>
      </c>
      <c r="F21" s="733">
        <v>4048628.1300000004</v>
      </c>
      <c r="G21" s="733">
        <v>35136307.509999998</v>
      </c>
      <c r="H21" s="733">
        <f t="shared" si="6"/>
        <v>7314836.8935743868</v>
      </c>
      <c r="I21" s="258">
        <f t="shared" si="1"/>
        <v>-27821470.616425611</v>
      </c>
      <c r="J21" s="575">
        <f t="shared" si="2"/>
        <v>-3.803430072496214</v>
      </c>
      <c r="K21" s="735">
        <f t="shared" si="7"/>
        <v>10972255.34036158</v>
      </c>
    </row>
    <row r="22" spans="1:11" ht="12.75" customHeight="1" x14ac:dyDescent="0.25">
      <c r="A22" s="574" t="s">
        <v>1229</v>
      </c>
      <c r="B22" s="169"/>
      <c r="C22" s="748"/>
      <c r="D22" s="745">
        <v>154041.70378242273</v>
      </c>
      <c r="E22" s="733">
        <v>154041.70378242273</v>
      </c>
      <c r="F22" s="733">
        <v>2701918.59</v>
      </c>
      <c r="G22" s="733">
        <v>23437178.32</v>
      </c>
      <c r="H22" s="733">
        <f t="shared" si="6"/>
        <v>102694.46918828182</v>
      </c>
      <c r="I22" s="258">
        <f t="shared" si="1"/>
        <v>-23334483.85081172</v>
      </c>
      <c r="J22" s="575">
        <f t="shared" si="2"/>
        <v>-227.22240092628431</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158977.15</v>
      </c>
      <c r="G25" s="733">
        <v>1379693.1999999997</v>
      </c>
      <c r="H25" s="733"/>
      <c r="I25" s="258">
        <f t="shared" si="1"/>
        <v>-1379693.1999999997</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6526647.629999999</v>
      </c>
      <c r="G27" s="408">
        <f t="shared" si="8"/>
        <v>56641977.559999995</v>
      </c>
      <c r="H27" s="408">
        <f t="shared" si="8"/>
        <v>4271413.6235483224</v>
      </c>
      <c r="I27" s="258">
        <f t="shared" si="1"/>
        <v>-52370563.936451674</v>
      </c>
      <c r="J27" s="575">
        <f t="shared" si="2"/>
        <v>-12.260710048713738</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c r="G30" s="733"/>
      <c r="H30" s="733">
        <f>E30/12*8</f>
        <v>4271413.6235483224</v>
      </c>
      <c r="I30" s="258">
        <f t="shared" si="1"/>
        <v>4271413.6235483224</v>
      </c>
      <c r="J30" s="575">
        <f t="shared" si="2"/>
        <v>1</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6526647.629999999</v>
      </c>
      <c r="G34" s="733">
        <v>56641977.559999995</v>
      </c>
      <c r="H34" s="733"/>
      <c r="I34" s="258">
        <f t="shared" si="1"/>
        <v>-56641977.559999995</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1546145.12</v>
      </c>
      <c r="G38" s="408">
        <f t="shared" si="9"/>
        <v>13418325.15</v>
      </c>
      <c r="H38" s="408">
        <f t="shared" si="9"/>
        <v>0</v>
      </c>
      <c r="I38" s="258">
        <f t="shared" si="1"/>
        <v>-13418325.15</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v>1546145.12</v>
      </c>
      <c r="G41" s="733">
        <v>13418325.15</v>
      </c>
      <c r="H41" s="733"/>
      <c r="I41" s="258">
        <f t="shared" si="1"/>
        <v>-13418325.15</v>
      </c>
      <c r="J41" s="575" t="e">
        <f t="shared" si="2"/>
        <v>#DIV/0!</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106483.23</v>
      </c>
      <c r="G45" s="408">
        <f t="shared" si="10"/>
        <v>924122.25</v>
      </c>
      <c r="H45" s="408">
        <f t="shared" si="10"/>
        <v>0</v>
      </c>
      <c r="I45" s="258">
        <f t="shared" si="1"/>
        <v>-924122.25</v>
      </c>
      <c r="J45" s="575" t="e">
        <f t="shared" si="2"/>
        <v>#DIV/0!</v>
      </c>
      <c r="K45" s="642">
        <f>SUM(K46:K52)</f>
        <v>0</v>
      </c>
    </row>
    <row r="46" spans="1:11" ht="12.75" customHeight="1" x14ac:dyDescent="0.25">
      <c r="A46" s="574" t="s">
        <v>1249</v>
      </c>
      <c r="B46" s="169"/>
      <c r="C46" s="748"/>
      <c r="D46" s="745"/>
      <c r="E46" s="733"/>
      <c r="F46" s="733">
        <v>106483.23</v>
      </c>
      <c r="G46" s="733">
        <v>924122.25</v>
      </c>
      <c r="H46" s="733"/>
      <c r="I46" s="258">
        <f t="shared" si="1"/>
        <v>-924122.25</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9152.6</v>
      </c>
      <c r="G53" s="408">
        <f t="shared" si="11"/>
        <v>79431.45</v>
      </c>
      <c r="H53" s="408">
        <f t="shared" si="11"/>
        <v>0</v>
      </c>
      <c r="I53" s="258">
        <f t="shared" si="1"/>
        <v>-79431.45</v>
      </c>
      <c r="J53" s="575" t="e">
        <f t="shared" si="2"/>
        <v>#DIV/0!</v>
      </c>
      <c r="K53" s="642">
        <f>SUM(K54:K62)</f>
        <v>0</v>
      </c>
    </row>
    <row r="54" spans="1:11" ht="12.75" customHeight="1" x14ac:dyDescent="0.25">
      <c r="A54" s="574" t="s">
        <v>1256</v>
      </c>
      <c r="B54" s="169"/>
      <c r="C54" s="748"/>
      <c r="D54" s="745"/>
      <c r="E54" s="733"/>
      <c r="F54" s="733">
        <v>9152.6</v>
      </c>
      <c r="G54" s="733">
        <v>79431.45</v>
      </c>
      <c r="H54" s="733"/>
      <c r="I54" s="258">
        <f t="shared" si="1"/>
        <v>-79431.45</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2307667.46</v>
      </c>
      <c r="G75" s="578">
        <f t="shared" si="14"/>
        <v>20022312.279999994</v>
      </c>
      <c r="H75" s="578">
        <f t="shared" si="14"/>
        <v>25553474.485751085</v>
      </c>
      <c r="I75" s="578">
        <f t="shared" si="1"/>
        <v>5531162.2057510912</v>
      </c>
      <c r="J75" s="579">
        <f t="shared" si="2"/>
        <v>0.21645440853201126</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1278031.83</v>
      </c>
      <c r="G76" s="408">
        <f t="shared" si="15"/>
        <v>11086544.809999999</v>
      </c>
      <c r="H76" s="408">
        <f t="shared" si="15"/>
        <v>14808643.069196889</v>
      </c>
      <c r="I76" s="258">
        <f t="shared" si="1"/>
        <v>3722098.2591968905</v>
      </c>
      <c r="J76" s="575">
        <f t="shared" si="2"/>
        <v>0.25134634157934022</v>
      </c>
      <c r="K76" s="642">
        <f>SUM(K77:K98)</f>
        <v>22212964.603795335</v>
      </c>
    </row>
    <row r="77" spans="1:11" ht="12.75" customHeight="1" x14ac:dyDescent="0.25">
      <c r="A77" s="574" t="s">
        <v>1269</v>
      </c>
      <c r="B77" s="169"/>
      <c r="C77" s="748"/>
      <c r="D77" s="753">
        <v>216338.10110699103</v>
      </c>
      <c r="E77" s="733">
        <v>216338.10110699103</v>
      </c>
      <c r="F77" s="733"/>
      <c r="G77" s="733"/>
      <c r="H77" s="733">
        <f>E77/12*8</f>
        <v>144225.40073799403</v>
      </c>
      <c r="I77" s="44">
        <f t="shared" si="1"/>
        <v>144225.40073799403</v>
      </c>
      <c r="J77" s="124">
        <f t="shared" si="2"/>
        <v>1</v>
      </c>
      <c r="K77" s="735">
        <f>E77</f>
        <v>216338.10110699103</v>
      </c>
    </row>
    <row r="78" spans="1:11" ht="12.75" customHeight="1" x14ac:dyDescent="0.25">
      <c r="A78" s="574" t="s">
        <v>1270</v>
      </c>
      <c r="B78" s="169"/>
      <c r="C78" s="748"/>
      <c r="D78" s="753"/>
      <c r="E78" s="733"/>
      <c r="F78" s="733">
        <v>273944.53999999998</v>
      </c>
      <c r="G78" s="733">
        <v>2377446.79</v>
      </c>
      <c r="H78" s="733"/>
      <c r="I78" s="44">
        <f t="shared" si="1"/>
        <v>-2377446.79</v>
      </c>
      <c r="J78" s="124" t="e">
        <f t="shared" si="2"/>
        <v>#DIV/0!</v>
      </c>
      <c r="K78" s="735"/>
    </row>
    <row r="79" spans="1:11" ht="12.75" customHeight="1" x14ac:dyDescent="0.25">
      <c r="A79" s="574" t="s">
        <v>1271</v>
      </c>
      <c r="B79" s="169"/>
      <c r="C79" s="748"/>
      <c r="D79" s="753"/>
      <c r="E79" s="733"/>
      <c r="F79" s="733">
        <v>38358.839999999997</v>
      </c>
      <c r="G79" s="733">
        <v>332900.21999999997</v>
      </c>
      <c r="H79" s="733"/>
      <c r="I79" s="44">
        <f t="shared" si="1"/>
        <v>-332900.21999999997</v>
      </c>
      <c r="J79" s="124" t="e">
        <f t="shared" si="2"/>
        <v>#DIV/0!</v>
      </c>
      <c r="K79" s="735"/>
    </row>
    <row r="80" spans="1:11" ht="12.75" customHeight="1" x14ac:dyDescent="0.25">
      <c r="A80" s="574" t="s">
        <v>1272</v>
      </c>
      <c r="B80" s="169"/>
      <c r="C80" s="748"/>
      <c r="D80" s="753">
        <v>11576837.362840936</v>
      </c>
      <c r="E80" s="733">
        <v>11576837.362840936</v>
      </c>
      <c r="F80" s="733">
        <v>53447.329999999994</v>
      </c>
      <c r="G80" s="733">
        <v>463846.01</v>
      </c>
      <c r="H80" s="733">
        <f t="shared" ref="H80:H81" si="16">E80/12*8</f>
        <v>7717891.5752272904</v>
      </c>
      <c r="I80" s="44">
        <f t="shared" si="1"/>
        <v>7254045.5652272906</v>
      </c>
      <c r="J80" s="124">
        <f t="shared" si="2"/>
        <v>0.93989990589025096</v>
      </c>
      <c r="K80" s="735">
        <f t="shared" ref="K80:K81" si="17">E80</f>
        <v>11576837.362840936</v>
      </c>
    </row>
    <row r="81" spans="1:11" ht="12.75" customHeight="1" x14ac:dyDescent="0.25">
      <c r="A81" s="574" t="s">
        <v>1273</v>
      </c>
      <c r="B81" s="169"/>
      <c r="C81" s="748"/>
      <c r="D81" s="753">
        <v>4052316.8497124896</v>
      </c>
      <c r="E81" s="733">
        <v>4052316.8497124896</v>
      </c>
      <c r="F81" s="733">
        <v>47463.14</v>
      </c>
      <c r="G81" s="733">
        <v>411912.13</v>
      </c>
      <c r="H81" s="733">
        <f t="shared" si="16"/>
        <v>2701544.5664749932</v>
      </c>
      <c r="I81" s="44">
        <f t="shared" si="1"/>
        <v>2289632.4364749934</v>
      </c>
      <c r="J81" s="124">
        <f t="shared" si="2"/>
        <v>0.84752717570842528</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29128.32</v>
      </c>
      <c r="G85" s="733">
        <v>252792.28</v>
      </c>
      <c r="H85" s="733"/>
      <c r="I85" s="44">
        <f t="shared" si="1"/>
        <v>-252792.28</v>
      </c>
      <c r="J85" s="124" t="e">
        <f t="shared" si="2"/>
        <v>#DIV/0!</v>
      </c>
      <c r="K85" s="735"/>
    </row>
    <row r="86" spans="1:11" ht="12.75" customHeight="1" x14ac:dyDescent="0.25">
      <c r="A86" s="574" t="s">
        <v>553</v>
      </c>
      <c r="B86" s="169"/>
      <c r="C86" s="748"/>
      <c r="D86" s="753">
        <v>5202994.7779857824</v>
      </c>
      <c r="E86" s="733">
        <v>5202994.7779857824</v>
      </c>
      <c r="F86" s="733">
        <v>210021.53</v>
      </c>
      <c r="G86" s="733">
        <v>1822686.87</v>
      </c>
      <c r="H86" s="733">
        <f>E86/12*8</f>
        <v>3468663.1853238549</v>
      </c>
      <c r="I86" s="44">
        <f t="shared" si="1"/>
        <v>1645976.3153238548</v>
      </c>
      <c r="J86" s="124">
        <f t="shared" si="2"/>
        <v>0.47452757081981622</v>
      </c>
      <c r="K86" s="735">
        <f>E86</f>
        <v>5202994.7779857824</v>
      </c>
    </row>
    <row r="87" spans="1:11" ht="12.75" customHeight="1" x14ac:dyDescent="0.25">
      <c r="A87" s="574" t="s">
        <v>1277</v>
      </c>
      <c r="B87" s="169"/>
      <c r="C87" s="748"/>
      <c r="D87" s="753"/>
      <c r="E87" s="733"/>
      <c r="F87" s="733">
        <v>34260.43</v>
      </c>
      <c r="G87" s="733">
        <v>297331.49000000005</v>
      </c>
      <c r="H87" s="733"/>
      <c r="I87" s="44">
        <f t="shared" si="1"/>
        <v>-297331.49000000005</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E89/12*8</f>
        <v>464729.83334321569</v>
      </c>
      <c r="I89" s="44">
        <f t="shared" si="1"/>
        <v>464729.83334321569</v>
      </c>
      <c r="J89" s="124">
        <f t="shared" si="2"/>
        <v>1</v>
      </c>
      <c r="K89" s="735">
        <f>E89</f>
        <v>697094.75001482351</v>
      </c>
    </row>
    <row r="90" spans="1:11" ht="12.75" customHeight="1" x14ac:dyDescent="0.25">
      <c r="A90" s="574" t="s">
        <v>1279</v>
      </c>
      <c r="B90" s="169"/>
      <c r="C90" s="748"/>
      <c r="D90" s="753"/>
      <c r="E90" s="733"/>
      <c r="F90" s="733">
        <v>7373.84</v>
      </c>
      <c r="G90" s="733">
        <v>63994.420000000006</v>
      </c>
      <c r="H90" s="733"/>
      <c r="I90" s="44">
        <f t="shared" si="1"/>
        <v>-63994.420000000006</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79486.600000000006</v>
      </c>
      <c r="G92" s="733">
        <v>689830.21</v>
      </c>
      <c r="H92" s="733">
        <f>E92/12*8</f>
        <v>311588.50808954128</v>
      </c>
      <c r="I92" s="44">
        <f t="shared" si="1"/>
        <v>-378241.70191045868</v>
      </c>
      <c r="J92" s="124">
        <f t="shared" si="2"/>
        <v>-1.2139141595098983</v>
      </c>
      <c r="K92" s="735">
        <f>E92</f>
        <v>467382.76213431195</v>
      </c>
    </row>
    <row r="93" spans="1:11" ht="12.75" customHeight="1" x14ac:dyDescent="0.25">
      <c r="A93" s="574" t="s">
        <v>441</v>
      </c>
      <c r="B93" s="169"/>
      <c r="C93" s="748"/>
      <c r="D93" s="753"/>
      <c r="E93" s="733"/>
      <c r="F93" s="733">
        <v>442094.89</v>
      </c>
      <c r="G93" s="733">
        <v>3831808.18</v>
      </c>
      <c r="H93" s="733"/>
      <c r="I93" s="44">
        <f t="shared" si="1"/>
        <v>-3831808.18</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62452.369999999995</v>
      </c>
      <c r="G96" s="733">
        <v>541996.21</v>
      </c>
      <c r="H96" s="733"/>
      <c r="I96" s="44">
        <f t="shared" si="1"/>
        <v>-541996.21</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1029635.63</v>
      </c>
      <c r="G99" s="408">
        <f t="shared" si="18"/>
        <v>8935767.4699999969</v>
      </c>
      <c r="H99" s="408">
        <f t="shared" si="18"/>
        <v>10744831.416554196</v>
      </c>
      <c r="I99" s="258">
        <f t="shared" si="1"/>
        <v>1809063.9465541989</v>
      </c>
      <c r="J99" s="575">
        <f t="shared" si="2"/>
        <v>0.16836596838243881</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E100/12*8</f>
        <v>28976.652856693312</v>
      </c>
      <c r="I100" s="44">
        <f t="shared" si="1"/>
        <v>28976.652856693312</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1029635.63</v>
      </c>
      <c r="G101" s="733">
        <v>8935767.4699999969</v>
      </c>
      <c r="H101" s="733">
        <f t="shared" si="19"/>
        <v>5779658.5496407999</v>
      </c>
      <c r="I101" s="44">
        <f>H101-G101</f>
        <v>-3156108.9203591971</v>
      </c>
      <c r="J101" s="124">
        <f>IF(I101=0,"",I101/H101)</f>
        <v>-0.54607186449714162</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4936196.2140567023</v>
      </c>
      <c r="I102" s="44">
        <f t="shared" si="1"/>
        <v>4936196.2140567023</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1992257.1500000001</v>
      </c>
      <c r="G117" s="578">
        <f t="shared" si="25"/>
        <v>17290147.849999994</v>
      </c>
      <c r="H117" s="578">
        <f t="shared" si="25"/>
        <v>108682646.37843984</v>
      </c>
      <c r="I117" s="578">
        <f t="shared" si="1"/>
        <v>91392498.52843985</v>
      </c>
      <c r="J117" s="579">
        <f t="shared" si="2"/>
        <v>0.84091160432554612</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1989549.7400000002</v>
      </c>
      <c r="G118" s="408">
        <f t="shared" si="26"/>
        <v>17266651.539999995</v>
      </c>
      <c r="H118" s="408">
        <f t="shared" si="26"/>
        <v>108682646.37843984</v>
      </c>
      <c r="I118" s="258">
        <f t="shared" si="1"/>
        <v>91415994.838439852</v>
      </c>
      <c r="J118" s="575">
        <f t="shared" si="2"/>
        <v>0.84112779624562672</v>
      </c>
      <c r="K118" s="642">
        <f>SUM(K119:K129)</f>
        <v>163023969.56765977</v>
      </c>
    </row>
    <row r="119" spans="1:11" ht="12.75" customHeight="1" x14ac:dyDescent="0.25">
      <c r="A119" s="574" t="s">
        <v>1299</v>
      </c>
      <c r="B119" s="169"/>
      <c r="C119" s="748"/>
      <c r="D119" s="753">
        <v>108029891.92018634</v>
      </c>
      <c r="E119" s="733">
        <v>108029891.92018634</v>
      </c>
      <c r="F119" s="733">
        <v>1925966.8600000003</v>
      </c>
      <c r="G119" s="733">
        <v>16714842.589999996</v>
      </c>
      <c r="H119" s="733">
        <f>E119/12*8</f>
        <v>72019927.946790889</v>
      </c>
      <c r="I119" s="44">
        <f t="shared" si="1"/>
        <v>55305085.356790893</v>
      </c>
      <c r="J119" s="124">
        <f t="shared" si="2"/>
        <v>0.76791364464639422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63582.880000000005</v>
      </c>
      <c r="G122" s="733">
        <v>551808.94999999995</v>
      </c>
      <c r="H122" s="733">
        <f>E122/12*8</f>
        <v>1152549.0517011271</v>
      </c>
      <c r="I122" s="44">
        <f t="shared" si="1"/>
        <v>600740.10170112713</v>
      </c>
      <c r="J122" s="124">
        <f t="shared" si="2"/>
        <v>0.52122736191961039</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E129/12*8</f>
        <v>35510169.379947819</v>
      </c>
      <c r="I129" s="44">
        <f t="shared" si="1"/>
        <v>35510169.379947819</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2707.41</v>
      </c>
      <c r="G130" s="408">
        <f t="shared" si="27"/>
        <v>23496.31</v>
      </c>
      <c r="H130" s="408">
        <f t="shared" si="27"/>
        <v>0</v>
      </c>
      <c r="I130" s="258">
        <f t="shared" si="1"/>
        <v>-23496.31</v>
      </c>
      <c r="J130" s="575" t="e">
        <f t="shared" si="2"/>
        <v>#DIV/0!</v>
      </c>
      <c r="K130" s="642">
        <f>SUM(K131:K133)</f>
        <v>0</v>
      </c>
    </row>
    <row r="131" spans="1:11" ht="12.75" customHeight="1" x14ac:dyDescent="0.25">
      <c r="A131" s="574" t="s">
        <v>1309</v>
      </c>
      <c r="B131" s="169"/>
      <c r="C131" s="748"/>
      <c r="D131" s="753"/>
      <c r="E131" s="733"/>
      <c r="F131" s="733">
        <v>2707.41</v>
      </c>
      <c r="G131" s="733">
        <v>23496.31</v>
      </c>
      <c r="H131" s="733"/>
      <c r="I131" s="44">
        <f t="shared" si="1"/>
        <v>-23496.31</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803477.0400000005</v>
      </c>
      <c r="G138" s="942">
        <f t="shared" si="30"/>
        <v>6973032.6999999983</v>
      </c>
      <c r="H138" s="942">
        <f t="shared" si="30"/>
        <v>56596693.33612515</v>
      </c>
      <c r="I138" s="942">
        <f t="shared" ref="I138:I146" si="31">H138-G138</f>
        <v>49623660.636125155</v>
      </c>
      <c r="J138" s="324">
        <f t="shared" si="29"/>
        <v>0.87679434452844307</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803477.0400000005</v>
      </c>
      <c r="G140" s="408">
        <f t="shared" si="32"/>
        <v>6973032.6999999983</v>
      </c>
      <c r="H140" s="408">
        <f t="shared" si="32"/>
        <v>56596693.33612515</v>
      </c>
      <c r="I140" s="258">
        <f t="shared" si="31"/>
        <v>49623660.636125155</v>
      </c>
      <c r="J140" s="575">
        <f t="shared" si="29"/>
        <v>0.87679434452844307</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803477.0400000005</v>
      </c>
      <c r="G144" s="733">
        <v>6973032.6999999983</v>
      </c>
      <c r="H144" s="733">
        <f t="shared" ref="H144:H145" si="33">E144/12*8</f>
        <v>55414657.276371993</v>
      </c>
      <c r="I144" s="44">
        <f t="shared" si="31"/>
        <v>48441624.576371998</v>
      </c>
      <c r="J144" s="124">
        <f t="shared" si="29"/>
        <v>0.87416627580636153</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1182036.0597531602</v>
      </c>
      <c r="I145" s="44">
        <f t="shared" si="31"/>
        <v>1182036.0597531602</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785199.21</v>
      </c>
      <c r="G148" s="578">
        <f t="shared" si="35"/>
        <v>6718002.3999999985</v>
      </c>
      <c r="H148" s="578">
        <f t="shared" si="35"/>
        <v>38377268.315862477</v>
      </c>
      <c r="I148" s="578">
        <f>H148-G148</f>
        <v>31659265.915862478</v>
      </c>
      <c r="J148" s="324">
        <f>IF(I148=0,"",I148/H148)</f>
        <v>0.82494839537020292</v>
      </c>
      <c r="K148" s="580">
        <f>SUM(K149)</f>
        <v>57565902.473793715</v>
      </c>
    </row>
    <row r="149" spans="1:12" ht="12.75" customHeight="1" x14ac:dyDescent="0.25">
      <c r="A149" s="518" t="s">
        <v>1321</v>
      </c>
      <c r="B149" s="169"/>
      <c r="C149" s="748"/>
      <c r="D149" s="753">
        <v>65065902.198033363</v>
      </c>
      <c r="E149" s="733">
        <v>57565902.473793715</v>
      </c>
      <c r="F149" s="733">
        <v>785199.21</v>
      </c>
      <c r="G149" s="733">
        <v>6718002.3999999985</v>
      </c>
      <c r="H149" s="733">
        <f>E149/12*8</f>
        <v>38377268.315862477</v>
      </c>
      <c r="I149" s="44">
        <f>H149-G149</f>
        <v>31659265.915862478</v>
      </c>
      <c r="J149" s="124">
        <f>IF(I149=0,"",I149/H149)</f>
        <v>0.82494839537020292</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126924.67999999995</v>
      </c>
      <c r="G151" s="578">
        <f t="shared" si="36"/>
        <v>1092886.4499999997</v>
      </c>
      <c r="H151" s="578">
        <f t="shared" si="36"/>
        <v>18643685.524840999</v>
      </c>
      <c r="I151" s="578">
        <f>H151-G151</f>
        <v>17550799.074841</v>
      </c>
      <c r="J151" s="324">
        <f>IF(I151=0,"",I151/H151)</f>
        <v>0.94138034303658313</v>
      </c>
      <c r="K151" s="580">
        <f>SUM(K152)</f>
        <v>27965528.287261501</v>
      </c>
    </row>
    <row r="152" spans="1:12" ht="12.75" customHeight="1" x14ac:dyDescent="0.25">
      <c r="A152" s="518" t="s">
        <v>1322</v>
      </c>
      <c r="B152" s="169"/>
      <c r="C152" s="748"/>
      <c r="D152" s="753">
        <v>27965528.287261501</v>
      </c>
      <c r="E152" s="733">
        <v>27965528.287261501</v>
      </c>
      <c r="F152" s="733">
        <v>126924.67999999995</v>
      </c>
      <c r="G152" s="733">
        <v>1092886.4499999997</v>
      </c>
      <c r="H152" s="733">
        <f>E152/12*8</f>
        <v>18643685.524840999</v>
      </c>
      <c r="I152" s="44">
        <f>H152-G152</f>
        <v>17550799.074841</v>
      </c>
      <c r="J152" s="124">
        <f>IF(I152=0,"",I152/H152)</f>
        <v>0.94138034303658313</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671866.23999999987</v>
      </c>
      <c r="G154" s="578">
        <f t="shared" si="37"/>
        <v>5802388.8099999959</v>
      </c>
      <c r="H154" s="578">
        <f t="shared" si="37"/>
        <v>5579137.0165667506</v>
      </c>
      <c r="I154" s="578">
        <f>H154-G154</f>
        <v>-223251.79343324527</v>
      </c>
      <c r="J154" s="324">
        <f>IF(I154=0,"",I154/H154)</f>
        <v>-4.0015470631088457E-2</v>
      </c>
      <c r="K154" s="580">
        <f>SUM(K155)</f>
        <v>8368705.5248501254</v>
      </c>
    </row>
    <row r="155" spans="1:12" ht="12.75" customHeight="1" x14ac:dyDescent="0.25">
      <c r="A155" s="518" t="s">
        <v>1323</v>
      </c>
      <c r="B155" s="169"/>
      <c r="C155" s="748"/>
      <c r="D155" s="753">
        <v>7418705.5248501254</v>
      </c>
      <c r="E155" s="733">
        <v>8368705.5248501254</v>
      </c>
      <c r="F155" s="733">
        <v>671866.23999999987</v>
      </c>
      <c r="G155" s="733">
        <v>5802388.8099999959</v>
      </c>
      <c r="H155" s="733">
        <f>E155/12*8</f>
        <v>5579137.0165667506</v>
      </c>
      <c r="I155" s="44">
        <f>H155-G155</f>
        <v>-223251.79343324527</v>
      </c>
      <c r="J155" s="124">
        <f>IF(I155=0,"",I155/H155)</f>
        <v>-4.0015470631088457E-2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1241085.8999999994</v>
      </c>
      <c r="G157" s="578">
        <f t="shared" si="38"/>
        <v>9884162.2400000002</v>
      </c>
      <c r="H157" s="578">
        <f t="shared" si="38"/>
        <v>71106.874104008966</v>
      </c>
      <c r="I157" s="578">
        <f>H157-G157</f>
        <v>-9813055.3658959921</v>
      </c>
      <c r="J157" s="324">
        <f>IF(I157=0,"",I157/H157)</f>
        <v>-138.00431378184769</v>
      </c>
      <c r="K157" s="580">
        <f>SUM(K158)</f>
        <v>106660.31115601346</v>
      </c>
    </row>
    <row r="158" spans="1:12" ht="12.75" customHeight="1" x14ac:dyDescent="0.25">
      <c r="A158" s="518" t="s">
        <v>1324</v>
      </c>
      <c r="B158" s="169"/>
      <c r="C158" s="748"/>
      <c r="D158" s="753">
        <v>106660.31115601346</v>
      </c>
      <c r="E158" s="733">
        <v>106660.31115601346</v>
      </c>
      <c r="F158" s="733">
        <v>1241085.8999999994</v>
      </c>
      <c r="G158" s="733">
        <v>9884162.2400000002</v>
      </c>
      <c r="H158" s="733">
        <f>E158/12*8</f>
        <v>71106.874104008966</v>
      </c>
      <c r="I158" s="44">
        <f>H158-G158</f>
        <v>-9813055.3658959921</v>
      </c>
      <c r="J158" s="124">
        <f>IF(I158=0,"",I158/H158)</f>
        <v>-138.00431378184769</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32524868.07</v>
      </c>
      <c r="G166" s="55">
        <f t="shared" si="41"/>
        <v>281220239.93999994</v>
      </c>
      <c r="H166" s="55">
        <f t="shared" si="41"/>
        <v>321627632.36700022</v>
      </c>
      <c r="I166" s="55">
        <f t="shared" si="1"/>
        <v>40407392.427000284</v>
      </c>
      <c r="J166" s="290">
        <f t="shared" si="2"/>
        <v>0.12563408227590517</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L174" sqref="L17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9" t="str">
        <f>muni&amp; " - "&amp;S71Se&amp; " - "&amp;Head57</f>
        <v>KZN225 Msunduzi - Supporting Table SC13e Monthly Budget Statement - capital expenditure on upgrading of existing assets by asset class - M08 February</v>
      </c>
      <c r="B1" s="1059"/>
      <c r="C1" s="1059"/>
      <c r="D1" s="1059"/>
      <c r="E1" s="1059"/>
      <c r="F1" s="1059"/>
      <c r="G1" s="1059"/>
      <c r="H1" s="1059"/>
      <c r="I1" s="1059"/>
      <c r="J1" s="1059"/>
      <c r="K1" s="1059"/>
    </row>
    <row r="2" spans="1:11" x14ac:dyDescent="0.25">
      <c r="A2" s="1044" t="str">
        <f>desc</f>
        <v>Description</v>
      </c>
      <c r="B2" s="1037" t="str">
        <f>head27</f>
        <v>Ref</v>
      </c>
      <c r="C2" s="139" t="str">
        <f>Head1</f>
        <v>2019/20</v>
      </c>
      <c r="D2" s="245" t="str">
        <f>Head2</f>
        <v>Budget Year 2020/21</v>
      </c>
      <c r="E2" s="229"/>
      <c r="F2" s="229"/>
      <c r="G2" s="229"/>
      <c r="H2" s="229"/>
      <c r="I2" s="229"/>
      <c r="J2" s="229"/>
      <c r="K2" s="230"/>
    </row>
    <row r="3" spans="1:11" ht="25.5" x14ac:dyDescent="0.25">
      <c r="A3" s="1045"/>
      <c r="B3" s="1048"/>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102280127.31575039</v>
      </c>
      <c r="F7" s="102">
        <f t="shared" si="0"/>
        <v>13585078.350000001</v>
      </c>
      <c r="G7" s="102">
        <f t="shared" si="0"/>
        <v>44450258.780000031</v>
      </c>
      <c r="H7" s="102">
        <f t="shared" si="0"/>
        <v>68186751.543833584</v>
      </c>
      <c r="I7" s="101">
        <f t="shared" ref="I7:I133" si="1">H7-G7</f>
        <v>23736492.763833553</v>
      </c>
      <c r="J7" s="579">
        <f t="shared" ref="J7:J136" si="2">IF(I7=0,"",I7/H7)</f>
        <v>0.34811003936116008</v>
      </c>
      <c r="K7" s="603">
        <f>K8+K13+K17+K27+K38+K45+K53+K63+K69</f>
        <v>102280127.31575039</v>
      </c>
    </row>
    <row r="8" spans="1:11" ht="12.75" customHeight="1" x14ac:dyDescent="0.25">
      <c r="A8" s="518" t="s">
        <v>1216</v>
      </c>
      <c r="B8" s="169"/>
      <c r="C8" s="677">
        <f t="shared" ref="C8:H8" si="3">SUM(C9:C12)</f>
        <v>0</v>
      </c>
      <c r="D8" s="609">
        <f t="shared" si="3"/>
        <v>31255314.729466628</v>
      </c>
      <c r="E8" s="608">
        <f t="shared" si="3"/>
        <v>70819012</v>
      </c>
      <c r="F8" s="608">
        <f t="shared" si="3"/>
        <v>9578849.4700000007</v>
      </c>
      <c r="G8" s="608">
        <f t="shared" si="3"/>
        <v>38912022.25000003</v>
      </c>
      <c r="H8" s="608">
        <f t="shared" si="3"/>
        <v>47212674.666666664</v>
      </c>
      <c r="I8" s="258">
        <f t="shared" si="1"/>
        <v>8300652.4166666344</v>
      </c>
      <c r="J8" s="575">
        <f t="shared" si="2"/>
        <v>0.17581406847358944</v>
      </c>
      <c r="K8" s="610">
        <f>SUM(K9:K12)</f>
        <v>70819012</v>
      </c>
    </row>
    <row r="9" spans="1:11" ht="12.75" customHeight="1" x14ac:dyDescent="0.25">
      <c r="A9" s="574" t="s">
        <v>168</v>
      </c>
      <c r="B9" s="169"/>
      <c r="C9" s="748"/>
      <c r="D9" s="745">
        <v>31255314.729466628</v>
      </c>
      <c r="E9" s="733">
        <v>70819012</v>
      </c>
      <c r="F9" s="733">
        <v>9578849.4700000007</v>
      </c>
      <c r="G9" s="733">
        <v>38912022.25000003</v>
      </c>
      <c r="H9" s="733">
        <f>E9/12*8</f>
        <v>47212674.666666664</v>
      </c>
      <c r="I9" s="258">
        <f t="shared" si="1"/>
        <v>8300652.4166666344</v>
      </c>
      <c r="J9" s="575">
        <f t="shared" si="2"/>
        <v>0.17581406847358944</v>
      </c>
      <c r="K9" s="735">
        <f>E9</f>
        <v>70819012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10790319.899708584</v>
      </c>
      <c r="I17" s="258">
        <f t="shared" si="1"/>
        <v>10790319.899708584</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E18/12*8</f>
        <v>10790319.899708584</v>
      </c>
      <c r="I18" s="258">
        <f t="shared" si="1"/>
        <v>10790319.899708584</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4006228.88</v>
      </c>
      <c r="G27" s="408">
        <f t="shared" si="6"/>
        <v>4006228.88</v>
      </c>
      <c r="H27" s="408">
        <f t="shared" si="6"/>
        <v>3642140.3107916694</v>
      </c>
      <c r="I27" s="258">
        <f t="shared" si="1"/>
        <v>-364088.56920833047</v>
      </c>
      <c r="J27" s="575">
        <f t="shared" si="2"/>
        <v>-9.996555270798746E-2</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c r="G30" s="733"/>
      <c r="H30" s="733">
        <f>E30/12*8</f>
        <v>3642140.3107916694</v>
      </c>
      <c r="I30" s="258">
        <f t="shared" si="1"/>
        <v>3642140.3107916694</v>
      </c>
      <c r="J30" s="575">
        <f t="shared" si="2"/>
        <v>1</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4006228.88</v>
      </c>
      <c r="G34" s="733">
        <v>4006228.88</v>
      </c>
      <c r="H34" s="733"/>
      <c r="I34" s="258">
        <f t="shared" si="1"/>
        <v>-4006228.88</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9812425</v>
      </c>
      <c r="F45" s="408">
        <f t="shared" si="8"/>
        <v>0</v>
      </c>
      <c r="G45" s="408">
        <f t="shared" si="8"/>
        <v>1532007.65</v>
      </c>
      <c r="H45" s="408">
        <f t="shared" si="8"/>
        <v>6541616.666666667</v>
      </c>
      <c r="I45" s="258">
        <f t="shared" si="1"/>
        <v>5009609.0166666675</v>
      </c>
      <c r="J45" s="575">
        <f t="shared" si="2"/>
        <v>0.76580595775254345</v>
      </c>
      <c r="K45" s="642">
        <f>SUM(K46:K52)</f>
        <v>9812425</v>
      </c>
    </row>
    <row r="46" spans="1:11" ht="12.75" customHeight="1" x14ac:dyDescent="0.25">
      <c r="A46" s="574" t="s">
        <v>1249</v>
      </c>
      <c r="B46" s="169"/>
      <c r="C46" s="748"/>
      <c r="D46" s="745">
        <v>4127956.9724179767</v>
      </c>
      <c r="E46" s="733">
        <v>9812425</v>
      </c>
      <c r="F46" s="733"/>
      <c r="G46" s="733">
        <v>1532007.65</v>
      </c>
      <c r="H46" s="733">
        <f>E46/12*8</f>
        <v>6541616.666666667</v>
      </c>
      <c r="I46" s="258">
        <f t="shared" si="1"/>
        <v>5009609.0166666675</v>
      </c>
      <c r="J46" s="575">
        <f t="shared" si="2"/>
        <v>0.76580595775254345</v>
      </c>
      <c r="K46" s="735">
        <f>E46</f>
        <v>9812425</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8390471</v>
      </c>
      <c r="F75" s="578">
        <f t="shared" si="12"/>
        <v>311415.15000000002</v>
      </c>
      <c r="G75" s="578">
        <f t="shared" si="12"/>
        <v>436415.15</v>
      </c>
      <c r="H75" s="578">
        <f t="shared" si="12"/>
        <v>5593647.333333333</v>
      </c>
      <c r="I75" s="578">
        <f t="shared" si="1"/>
        <v>5157232.1833333327</v>
      </c>
      <c r="J75" s="579">
        <f t="shared" si="2"/>
        <v>0.92198021720115586</v>
      </c>
      <c r="K75" s="580">
        <f>+K76+K99</f>
        <v>8390471</v>
      </c>
    </row>
    <row r="76" spans="1:11" ht="12.75" customHeight="1" x14ac:dyDescent="0.25">
      <c r="A76" s="518" t="s">
        <v>1268</v>
      </c>
      <c r="B76" s="169"/>
      <c r="C76" s="648">
        <f t="shared" ref="C76:H76" si="13">SUM(C77:C98)</f>
        <v>0</v>
      </c>
      <c r="D76" s="649">
        <f t="shared" si="13"/>
        <v>0</v>
      </c>
      <c r="E76" s="408">
        <f t="shared" si="13"/>
        <v>5774410</v>
      </c>
      <c r="F76" s="408">
        <f t="shared" si="13"/>
        <v>311415.15000000002</v>
      </c>
      <c r="G76" s="408">
        <f t="shared" si="13"/>
        <v>436415.15</v>
      </c>
      <c r="H76" s="408">
        <f t="shared" si="13"/>
        <v>3849606.6666666665</v>
      </c>
      <c r="I76" s="258">
        <f t="shared" si="1"/>
        <v>3413191.5166666666</v>
      </c>
      <c r="J76" s="575">
        <f t="shared" si="2"/>
        <v>0.88663383358646164</v>
      </c>
      <c r="K76" s="642">
        <f>SUM(K77:K98)</f>
        <v>5774410</v>
      </c>
    </row>
    <row r="77" spans="1:11" ht="12.75" customHeight="1" x14ac:dyDescent="0.25">
      <c r="A77" s="574" t="s">
        <v>1269</v>
      </c>
      <c r="B77" s="169"/>
      <c r="C77" s="748"/>
      <c r="D77" s="753"/>
      <c r="E77" s="733">
        <v>5774410</v>
      </c>
      <c r="F77" s="733">
        <v>311415.15000000002</v>
      </c>
      <c r="G77" s="733">
        <v>311415.15000000002</v>
      </c>
      <c r="H77" s="733">
        <f>E77/12*8</f>
        <v>3849606.6666666665</v>
      </c>
      <c r="I77" s="44">
        <f t="shared" si="1"/>
        <v>3538191.5166666666</v>
      </c>
      <c r="J77" s="124">
        <f t="shared" si="2"/>
        <v>0.91910468342220242</v>
      </c>
      <c r="K77" s="735">
        <f>E77</f>
        <v>5774410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v>125000</v>
      </c>
      <c r="H87" s="733"/>
      <c r="I87" s="44">
        <f t="shared" si="1"/>
        <v>-125000</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2616061</v>
      </c>
      <c r="F99" s="408">
        <f t="shared" si="14"/>
        <v>0</v>
      </c>
      <c r="G99" s="408">
        <f t="shared" si="14"/>
        <v>0</v>
      </c>
      <c r="H99" s="408">
        <f t="shared" si="14"/>
        <v>1744040.6666666667</v>
      </c>
      <c r="I99" s="258">
        <f t="shared" si="1"/>
        <v>1744040.6666666667</v>
      </c>
      <c r="J99" s="575">
        <f t="shared" si="2"/>
        <v>1</v>
      </c>
      <c r="K99" s="642">
        <f>SUM(K100:K102)</f>
        <v>2616061</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v>2616061</v>
      </c>
      <c r="F101" s="733"/>
      <c r="G101" s="733"/>
      <c r="H101" s="733">
        <f>E101/12*8</f>
        <v>1744040.6666666667</v>
      </c>
      <c r="I101" s="44">
        <f>H101-G101</f>
        <v>1744040.6666666667</v>
      </c>
      <c r="J101" s="124">
        <f>IF(I101=0,"",I101/H101)</f>
        <v>1</v>
      </c>
      <c r="K101" s="735">
        <f>E101</f>
        <v>2616061</v>
      </c>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8300000</v>
      </c>
      <c r="F103" s="99">
        <f t="shared" si="15"/>
        <v>0</v>
      </c>
      <c r="G103" s="99">
        <f t="shared" si="15"/>
        <v>0</v>
      </c>
      <c r="H103" s="99">
        <f t="shared" si="15"/>
        <v>5533333.333333333</v>
      </c>
      <c r="I103" s="99">
        <f t="shared" si="1"/>
        <v>5533333.333333333</v>
      </c>
      <c r="J103" s="324">
        <f t="shared" si="2"/>
        <v>1</v>
      </c>
      <c r="K103" s="195">
        <f>SUM(K104:K108)</f>
        <v>8300000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8300000</v>
      </c>
      <c r="F108" s="733"/>
      <c r="G108" s="733"/>
      <c r="H108" s="733">
        <f>E108/12*8</f>
        <v>5533333.333333333</v>
      </c>
      <c r="I108" s="44">
        <f t="shared" si="1"/>
        <v>5533333.333333333</v>
      </c>
      <c r="J108" s="124">
        <f t="shared" si="2"/>
        <v>1</v>
      </c>
      <c r="K108" s="735">
        <f>E108</f>
        <v>8300000</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244264000</v>
      </c>
      <c r="F117" s="578">
        <f t="shared" si="19"/>
        <v>0</v>
      </c>
      <c r="G117" s="578">
        <f t="shared" si="19"/>
        <v>0</v>
      </c>
      <c r="H117" s="578">
        <f t="shared" si="19"/>
        <v>162842666.66666666</v>
      </c>
      <c r="I117" s="578">
        <f t="shared" si="1"/>
        <v>162842666.66666666</v>
      </c>
      <c r="J117" s="579">
        <f t="shared" si="2"/>
        <v>1</v>
      </c>
      <c r="K117" s="580">
        <f>+K118+K130</f>
        <v>244264000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244264000</v>
      </c>
      <c r="F130" s="408">
        <f t="shared" si="21"/>
        <v>0</v>
      </c>
      <c r="G130" s="408">
        <f t="shared" si="21"/>
        <v>0</v>
      </c>
      <c r="H130" s="408">
        <f t="shared" si="21"/>
        <v>162842666.66666666</v>
      </c>
      <c r="I130" s="258">
        <f t="shared" si="1"/>
        <v>162842666.66666666</v>
      </c>
      <c r="J130" s="575">
        <f t="shared" si="2"/>
        <v>1</v>
      </c>
      <c r="K130" s="642">
        <f>SUM(K131:K133)</f>
        <v>244264000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v>244264000</v>
      </c>
      <c r="F132" s="733"/>
      <c r="G132" s="733"/>
      <c r="H132" s="733">
        <f>E132/12*8</f>
        <v>162842666.66666666</v>
      </c>
      <c r="I132" s="44">
        <f t="shared" si="1"/>
        <v>162842666.66666666</v>
      </c>
      <c r="J132" s="124">
        <f t="shared" si="2"/>
        <v>1</v>
      </c>
      <c r="K132" s="735">
        <f>E132</f>
        <v>244264000</v>
      </c>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300000</v>
      </c>
      <c r="F138" s="942">
        <f t="shared" si="24"/>
        <v>0</v>
      </c>
      <c r="G138" s="942">
        <f t="shared" si="24"/>
        <v>0</v>
      </c>
      <c r="H138" s="942">
        <f t="shared" si="24"/>
        <v>200000</v>
      </c>
      <c r="I138" s="942">
        <f t="shared" ref="I138:I146" si="25">H138-G138</f>
        <v>200000</v>
      </c>
      <c r="J138" s="324">
        <f t="shared" si="23"/>
        <v>1</v>
      </c>
      <c r="K138" s="943">
        <f>SUM(K139:K140)</f>
        <v>300000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300000</v>
      </c>
      <c r="F140" s="408">
        <f t="shared" si="26"/>
        <v>0</v>
      </c>
      <c r="G140" s="408">
        <f t="shared" si="26"/>
        <v>0</v>
      </c>
      <c r="H140" s="408">
        <f t="shared" si="26"/>
        <v>200000</v>
      </c>
      <c r="I140" s="258">
        <f t="shared" si="25"/>
        <v>200000</v>
      </c>
      <c r="J140" s="575">
        <f t="shared" si="23"/>
        <v>1</v>
      </c>
      <c r="K140" s="642">
        <f>SUM(K141:K146)</f>
        <v>300000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v>300000</v>
      </c>
      <c r="F144" s="733"/>
      <c r="G144" s="733"/>
      <c r="H144" s="733">
        <f>E144/12*8</f>
        <v>200000</v>
      </c>
      <c r="I144" s="44">
        <f t="shared" si="25"/>
        <v>200000</v>
      </c>
      <c r="J144" s="124">
        <f t="shared" si="23"/>
        <v>1</v>
      </c>
      <c r="K144" s="735">
        <f>E144</f>
        <v>300000</v>
      </c>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200000</v>
      </c>
      <c r="F148" s="578">
        <f t="shared" si="27"/>
        <v>0</v>
      </c>
      <c r="G148" s="578">
        <f t="shared" si="27"/>
        <v>0</v>
      </c>
      <c r="H148" s="578">
        <f t="shared" si="27"/>
        <v>133333.33333333334</v>
      </c>
      <c r="I148" s="578">
        <f>H148-G148</f>
        <v>133333.33333333334</v>
      </c>
      <c r="J148" s="324">
        <f>IF(I148=0,"",I148/H148)</f>
        <v>1</v>
      </c>
      <c r="K148" s="580">
        <f>SUM(K149)</f>
        <v>200000</v>
      </c>
    </row>
    <row r="149" spans="1:12" ht="12.75" customHeight="1" x14ac:dyDescent="0.25">
      <c r="A149" s="518" t="s">
        <v>1321</v>
      </c>
      <c r="B149" s="169"/>
      <c r="C149" s="748"/>
      <c r="D149" s="753">
        <v>172522.43577434224</v>
      </c>
      <c r="E149" s="733">
        <v>200000</v>
      </c>
      <c r="F149" s="733"/>
      <c r="G149" s="733"/>
      <c r="H149" s="733">
        <f>E149/12*8</f>
        <v>133333.33333333334</v>
      </c>
      <c r="I149" s="44">
        <f>H149-G149</f>
        <v>133333.33333333334</v>
      </c>
      <c r="J149" s="124">
        <f>IF(I149=0,"",I149/H149)</f>
        <v>1</v>
      </c>
      <c r="K149" s="735">
        <f>E149</f>
        <v>200000</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11500000</v>
      </c>
      <c r="F151" s="578">
        <f t="shared" si="28"/>
        <v>0</v>
      </c>
      <c r="G151" s="578">
        <f t="shared" si="28"/>
        <v>0</v>
      </c>
      <c r="H151" s="578">
        <f t="shared" si="28"/>
        <v>7666666.666666667</v>
      </c>
      <c r="I151" s="578">
        <f>H151-G151</f>
        <v>7666666.666666667</v>
      </c>
      <c r="J151" s="324">
        <f>IF(I151=0,"",I151/H151)</f>
        <v>1</v>
      </c>
      <c r="K151" s="580">
        <f>SUM(K152)</f>
        <v>11500000</v>
      </c>
    </row>
    <row r="152" spans="1:12" ht="12.75" customHeight="1" x14ac:dyDescent="0.25">
      <c r="A152" s="518" t="s">
        <v>1322</v>
      </c>
      <c r="B152" s="169"/>
      <c r="C152" s="748"/>
      <c r="D152" s="753">
        <v>28753.73929572371</v>
      </c>
      <c r="E152" s="733">
        <v>11500000</v>
      </c>
      <c r="F152" s="733"/>
      <c r="G152" s="733"/>
      <c r="H152" s="733">
        <f>E152/12*8</f>
        <v>7666666.666666667</v>
      </c>
      <c r="I152" s="44">
        <f>H152-G152</f>
        <v>7666666.666666667</v>
      </c>
      <c r="J152" s="124">
        <f>IF(I152=0,"",I152/H152)</f>
        <v>1</v>
      </c>
      <c r="K152" s="735">
        <f>E152</f>
        <v>11500000</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88758324</v>
      </c>
      <c r="F157" s="578">
        <f t="shared" si="30"/>
        <v>0</v>
      </c>
      <c r="G157" s="578">
        <f t="shared" si="30"/>
        <v>0</v>
      </c>
      <c r="H157" s="578">
        <f t="shared" si="30"/>
        <v>59172216</v>
      </c>
      <c r="I157" s="578">
        <f>H157-G157</f>
        <v>59172216</v>
      </c>
      <c r="J157" s="324">
        <f>IF(I157=0,"",I157/H157)</f>
        <v>1</v>
      </c>
      <c r="K157" s="580">
        <f>SUM(K158)</f>
        <v>88758324</v>
      </c>
    </row>
    <row r="158" spans="1:12" ht="12.75" customHeight="1" x14ac:dyDescent="0.25">
      <c r="A158" s="518" t="s">
        <v>1324</v>
      </c>
      <c r="B158" s="169"/>
      <c r="C158" s="748"/>
      <c r="D158" s="753">
        <v>48149976.690004274</v>
      </c>
      <c r="E158" s="733">
        <v>88758324</v>
      </c>
      <c r="F158" s="733"/>
      <c r="G158" s="733"/>
      <c r="H158" s="733">
        <f>E158/12*8</f>
        <v>59172216</v>
      </c>
      <c r="I158" s="44">
        <f>H158-G158</f>
        <v>59172216</v>
      </c>
      <c r="J158" s="124">
        <f>IF(I158=0,"",I158/H158)</f>
        <v>1</v>
      </c>
      <c r="K158" s="735">
        <f>E158</f>
        <v>88758324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463992922.31575036</v>
      </c>
      <c r="F166" s="55">
        <f t="shared" si="33"/>
        <v>13896493.500000002</v>
      </c>
      <c r="G166" s="55">
        <f t="shared" si="33"/>
        <v>44886673.93000003</v>
      </c>
      <c r="H166" s="55">
        <f t="shared" si="33"/>
        <v>309328614.87716687</v>
      </c>
      <c r="I166" s="55">
        <f>H166-G166</f>
        <v>264441940.94716683</v>
      </c>
      <c r="J166" s="290">
        <f>IF(I166=0,"",I166/H166)</f>
        <v>0.85489000444454721</v>
      </c>
      <c r="K166" s="235">
        <f>K7+K75+K103+K110+K117+K135+K138+K148+K151+K154+K157+K160+K163</f>
        <v>463992922.31575036</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-194.66492187976837</v>
      </c>
      <c r="F171" s="135">
        <f>F166+SC13a!F166+SC13b!F166-'C5-Capex'!F40</f>
        <v>0</v>
      </c>
      <c r="G171" s="135">
        <f>G166+SC13a!G166+SC13b!G166-'C5-Capex'!G40</f>
        <v>0</v>
      </c>
      <c r="H171" s="135" t="e">
        <f>H166+SC13a!H166+SC13b!H166-'C5-Capex'!H40</f>
        <v>#VALUE!</v>
      </c>
      <c r="I171" s="135"/>
      <c r="J171" s="135"/>
      <c r="K171" s="135">
        <f>K166+SC13a!K166+SC13b!K166-'C5-Capex'!K40</f>
        <v>-194.66492187976837</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37" workbookViewId="0">
      <selection activeCell="G118" sqref="G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51276404.180000007</v>
      </c>
      <c r="F5" s="43"/>
      <c r="G5" s="43"/>
      <c r="H5" s="43"/>
      <c r="I5" s="43"/>
      <c r="J5" s="43"/>
      <c r="K5" s="43"/>
    </row>
    <row r="6" spans="1:11" x14ac:dyDescent="0.25">
      <c r="A6" s="42" t="str">
        <f>LEFT('SC12'!A9,3)</f>
        <v>Oct</v>
      </c>
      <c r="B6" s="43">
        <f>'SC12'!B9</f>
        <v>66093583.333333336</v>
      </c>
      <c r="C6" s="43">
        <f>'SC12'!C9</f>
        <v>48407631.75</v>
      </c>
      <c r="D6" s="43">
        <f>'SC12'!D9</f>
        <v>0</v>
      </c>
      <c r="E6" s="45">
        <f>'SC12'!E9</f>
        <v>34751661.439999998</v>
      </c>
      <c r="F6" s="43"/>
      <c r="G6" s="43"/>
      <c r="H6" s="43"/>
      <c r="I6" s="43"/>
      <c r="J6" s="43"/>
      <c r="K6" s="43"/>
    </row>
    <row r="7" spans="1:11" x14ac:dyDescent="0.25">
      <c r="A7" s="42" t="str">
        <f>LEFT('SC12'!A10,3)</f>
        <v>Nov</v>
      </c>
      <c r="B7" s="43">
        <f>'SC12'!B10</f>
        <v>66093583.333333336</v>
      </c>
      <c r="C7" s="43">
        <f>'SC12'!C10</f>
        <v>48407631.75</v>
      </c>
      <c r="D7" s="43">
        <f>'SC12'!D10</f>
        <v>0</v>
      </c>
      <c r="E7" s="45">
        <f>'SC12'!E10</f>
        <v>64917006.57</v>
      </c>
      <c r="F7" s="43"/>
      <c r="G7" s="43"/>
      <c r="H7" s="43"/>
      <c r="I7" s="43"/>
      <c r="J7" s="43"/>
      <c r="K7" s="43"/>
    </row>
    <row r="8" spans="1:11" x14ac:dyDescent="0.25">
      <c r="A8" s="42" t="str">
        <f>LEFT('SC12'!A11,3)</f>
        <v>Dec</v>
      </c>
      <c r="B8" s="43">
        <f>'SC12'!B11</f>
        <v>66093583.333333336</v>
      </c>
      <c r="C8" s="43">
        <f>'SC12'!C11</f>
        <v>48407631.75</v>
      </c>
      <c r="D8" s="43">
        <f>'SC12'!D11</f>
        <v>0</v>
      </c>
      <c r="E8" s="45">
        <f>'SC12'!E11</f>
        <v>66421825.969999984</v>
      </c>
      <c r="F8" s="43"/>
      <c r="G8" s="43"/>
      <c r="H8" s="43"/>
      <c r="I8" s="43"/>
      <c r="J8" s="43"/>
      <c r="K8" s="43"/>
    </row>
    <row r="9" spans="1:11" x14ac:dyDescent="0.25">
      <c r="A9" s="42" t="str">
        <f>LEFT('SC12'!A12,3)</f>
        <v>Jan</v>
      </c>
      <c r="B9" s="43">
        <f>'SC12'!B12</f>
        <v>66093583.333333336</v>
      </c>
      <c r="C9" s="43">
        <f>'SC12'!C12</f>
        <v>48407631.75</v>
      </c>
      <c r="D9" s="43">
        <f>'SC12'!D12</f>
        <v>0</v>
      </c>
      <c r="E9" s="45">
        <f>'SC12'!E12</f>
        <v>4048843.38</v>
      </c>
      <c r="F9" s="43"/>
      <c r="G9" s="43"/>
      <c r="H9" s="43"/>
      <c r="I9" s="43"/>
      <c r="J9" s="43"/>
      <c r="K9" s="43"/>
    </row>
    <row r="10" spans="1:11" x14ac:dyDescent="0.25">
      <c r="A10" s="42" t="str">
        <f>LEFT('SC12'!A13,3)</f>
        <v>Feb</v>
      </c>
      <c r="B10" s="43">
        <f>'SC12'!B13</f>
        <v>66093583.333333336</v>
      </c>
      <c r="C10" s="43">
        <f>'SC12'!C13</f>
        <v>48407631.75</v>
      </c>
      <c r="D10" s="43">
        <f>'SC12'!D13</f>
        <v>0</v>
      </c>
      <c r="E10" s="45">
        <f>'SC12'!E13</f>
        <v>35188377.060000002</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80506412.770000011</v>
      </c>
      <c r="C30" s="45">
        <f>'SC12'!G8</f>
        <v>145222895.25</v>
      </c>
      <c r="D30" s="43"/>
      <c r="E30" s="43"/>
      <c r="F30" s="43"/>
      <c r="G30" s="43"/>
      <c r="H30" s="43"/>
      <c r="I30" s="43"/>
    </row>
    <row r="31" spans="1:10" x14ac:dyDescent="0.25">
      <c r="A31" s="42" t="str">
        <f>LEFT('SC12'!A9,3)</f>
        <v>Oct</v>
      </c>
      <c r="B31" s="43">
        <f>'SC12'!F9</f>
        <v>115258074.21000001</v>
      </c>
      <c r="C31" s="45">
        <f>'SC12'!G9</f>
        <v>193630527</v>
      </c>
      <c r="D31" s="43"/>
      <c r="E31" s="43"/>
      <c r="F31" s="43"/>
      <c r="G31" s="43"/>
      <c r="H31" s="43"/>
      <c r="I31" s="43"/>
    </row>
    <row r="32" spans="1:10" x14ac:dyDescent="0.25">
      <c r="A32" s="42" t="str">
        <f>LEFT('SC12'!A10,3)</f>
        <v>Nov</v>
      </c>
      <c r="B32" s="43">
        <f>'SC12'!F10</f>
        <v>180175080.78</v>
      </c>
      <c r="C32" s="45">
        <f>'SC12'!G10</f>
        <v>242038158.75</v>
      </c>
      <c r="D32" s="43"/>
      <c r="E32" s="43"/>
      <c r="F32" s="43"/>
      <c r="G32" s="43"/>
      <c r="H32" s="43"/>
      <c r="I32" s="43"/>
    </row>
    <row r="33" spans="1:9" x14ac:dyDescent="0.25">
      <c r="A33" s="42" t="str">
        <f>LEFT('SC12'!A11,3)</f>
        <v>Dec</v>
      </c>
      <c r="B33" s="43">
        <f>'SC12'!F11</f>
        <v>246596906.75</v>
      </c>
      <c r="C33" s="45">
        <f>'SC12'!G11</f>
        <v>290445790.5</v>
      </c>
      <c r="D33" s="43"/>
      <c r="E33" s="43"/>
      <c r="F33" s="43"/>
      <c r="G33" s="43"/>
      <c r="H33" s="43"/>
      <c r="I33" s="43"/>
    </row>
    <row r="34" spans="1:9" x14ac:dyDescent="0.25">
      <c r="A34" s="42" t="str">
        <f>LEFT('SC12'!A12,3)</f>
        <v>Jan</v>
      </c>
      <c r="B34" s="43">
        <f>'SC12'!F12</f>
        <v>250645750.13</v>
      </c>
      <c r="C34" s="45">
        <f>'SC12'!G12</f>
        <v>338853422.25</v>
      </c>
      <c r="D34" s="43"/>
      <c r="E34" s="43"/>
      <c r="F34" s="43"/>
      <c r="G34" s="43"/>
      <c r="H34" s="43"/>
      <c r="I34" s="43"/>
    </row>
    <row r="35" spans="1:9" x14ac:dyDescent="0.25">
      <c r="A35" s="42" t="str">
        <f>LEFT('SC12'!A13,3)</f>
        <v>Feb</v>
      </c>
      <c r="B35" s="43">
        <f>'SC12'!F13</f>
        <v>285834127.19</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440690279.0800001</v>
      </c>
      <c r="C53" s="43">
        <f>'SC3'!D14</f>
        <v>138420312.27000001</v>
      </c>
      <c r="D53" s="43">
        <f>'SC3'!E14</f>
        <v>114545127.72999999</v>
      </c>
      <c r="E53" s="43">
        <f>'SC3'!F14</f>
        <v>124237484.80000001</v>
      </c>
      <c r="F53" s="43">
        <f>'SC3'!G14</f>
        <v>106807246.14999999</v>
      </c>
      <c r="G53" s="43">
        <f>'SC3'!H14</f>
        <v>91316267.530000001</v>
      </c>
      <c r="H53" s="43">
        <f>'SC3'!I14</f>
        <v>490755753.45999992</v>
      </c>
      <c r="I53" s="43">
        <f>'SC3'!J14</f>
        <v>3301923940.4199996</v>
      </c>
    </row>
    <row r="54" spans="1:9" x14ac:dyDescent="0.25">
      <c r="A54" s="61" t="str">
        <f>Head1</f>
        <v>2019/20</v>
      </c>
      <c r="B54" s="43">
        <f>'SC3'!C15</f>
        <v>642595431.96000004</v>
      </c>
      <c r="C54" s="43">
        <f>'SC3'!D15</f>
        <v>108240381.34</v>
      </c>
      <c r="D54" s="43">
        <f>'SC3'!E15</f>
        <v>44009736.210000008</v>
      </c>
      <c r="E54" s="43">
        <f>'SC3'!F15</f>
        <v>108503285.74000002</v>
      </c>
      <c r="F54" s="43">
        <f>'SC3'!G15</f>
        <v>76879044.390000001</v>
      </c>
      <c r="G54" s="43">
        <f>'SC3'!H15</f>
        <v>93223283.939999998</v>
      </c>
      <c r="H54" s="43">
        <f>'SC3'!I15</f>
        <v>428350856.12</v>
      </c>
      <c r="I54" s="43">
        <f>'SC3'!J15</f>
        <v>2602563840.0400004</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219950846.70370001</v>
      </c>
      <c r="C78" s="43">
        <f>'SC3'!K17</f>
        <v>226753450.21000001</v>
      </c>
      <c r="D78" s="43"/>
      <c r="E78" s="43"/>
      <c r="F78" s="43"/>
      <c r="G78" s="43"/>
      <c r="H78" s="43"/>
      <c r="I78" s="43"/>
      <c r="J78" s="43"/>
    </row>
    <row r="79" spans="1:10" x14ac:dyDescent="0.25">
      <c r="A79" s="61" t="str">
        <f>'SC3'!A18</f>
        <v>Commercial</v>
      </c>
      <c r="B79" s="43">
        <f>C79*0.97</f>
        <v>702669855.98829985</v>
      </c>
      <c r="C79" s="43">
        <f>'SC3'!K18</f>
        <v>724401913.38999987</v>
      </c>
      <c r="D79" s="43"/>
      <c r="E79" s="43"/>
      <c r="F79" s="43"/>
      <c r="G79" s="43"/>
      <c r="H79" s="43"/>
      <c r="I79" s="43"/>
      <c r="J79" s="43"/>
    </row>
    <row r="80" spans="1:10" x14ac:dyDescent="0.25">
      <c r="A80" s="61" t="str">
        <f>'SC3'!A19</f>
        <v>Households</v>
      </c>
      <c r="B80" s="43">
        <f>C80*0.97</f>
        <v>3511251851.415</v>
      </c>
      <c r="C80" s="43">
        <f>'SC3'!K19</f>
        <v>3619847269.5</v>
      </c>
    </row>
    <row r="81" spans="1:3" x14ac:dyDescent="0.25">
      <c r="A81" s="61" t="str">
        <f>'SC3'!A20</f>
        <v>Other</v>
      </c>
      <c r="B81" s="43">
        <f>C81*0.97</f>
        <v>230562964.98980001</v>
      </c>
      <c r="C81" s="43">
        <f>'SC3'!K20</f>
        <v>237693778.34</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143091668.13999999</v>
      </c>
      <c r="C103" s="405">
        <f>'SC4'!L7</f>
        <v>12742194.800000001</v>
      </c>
      <c r="D103" s="405">
        <f>'SC4'!L8</f>
        <v>0</v>
      </c>
      <c r="E103" s="405">
        <f>'SC4'!L9</f>
        <v>206242948.99000001</v>
      </c>
      <c r="F103" s="405">
        <f>'SC4'!L10</f>
        <v>0</v>
      </c>
      <c r="G103" s="405">
        <f>'SC4'!L11</f>
        <v>0</v>
      </c>
      <c r="H103" s="405">
        <f>'SC4'!L12</f>
        <v>53693961.099999994</v>
      </c>
      <c r="I103" s="405">
        <f>'SC4'!L13</f>
        <v>0</v>
      </c>
      <c r="J103" s="405">
        <f>'SC4'!L14</f>
        <v>381205971.88</v>
      </c>
    </row>
    <row r="104" spans="1:10" x14ac:dyDescent="0.25">
      <c r="A104" s="61" t="str">
        <f>A53</f>
        <v>Budget Year 2020/21</v>
      </c>
      <c r="B104" s="43">
        <f>'SC4'!K6</f>
        <v>147529500.84</v>
      </c>
      <c r="C104" s="43">
        <f>'SC4'!K7</f>
        <v>334874882.28999996</v>
      </c>
      <c r="D104" s="43">
        <f>'SC4'!K8</f>
        <v>0</v>
      </c>
      <c r="E104" s="43">
        <f>'SC4'!K9</f>
        <v>198646045.73000002</v>
      </c>
      <c r="F104" s="43">
        <f>'SC4'!K10</f>
        <v>0</v>
      </c>
      <c r="G104" s="43">
        <f>'SC4'!K11</f>
        <v>0</v>
      </c>
      <c r="H104" s="43">
        <f>'SC4'!K12</f>
        <v>59929581.209999993</v>
      </c>
      <c r="I104" s="43">
        <f>'SC4'!K13</f>
        <v>1274831.8500000001</v>
      </c>
      <c r="J104" s="43">
        <f>'SC4'!K14</f>
        <v>362882312.38</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D32" sqref="D32:D39"/>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7"/>
      <c r="D8" s="1017"/>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t="s">
        <v>1464</v>
      </c>
      <c r="C10" s="845"/>
      <c r="D10" s="846"/>
      <c r="F10" s="823"/>
      <c r="G10" s="822"/>
      <c r="H10" s="823"/>
      <c r="I10" s="823"/>
      <c r="J10" s="822"/>
      <c r="K10" s="824"/>
      <c r="L10" s="824"/>
      <c r="M10" s="824"/>
      <c r="N10" s="824"/>
      <c r="O10" s="824"/>
      <c r="P10" s="825"/>
      <c r="Q10" s="826"/>
    </row>
    <row r="11" spans="1:17" ht="13.5" customHeight="1" x14ac:dyDescent="0.2">
      <c r="A11" s="847"/>
      <c r="B11" s="848"/>
      <c r="C11" s="1018"/>
      <c r="D11" s="1019"/>
      <c r="F11" s="823"/>
      <c r="G11" s="822"/>
      <c r="H11" s="823"/>
      <c r="I11" s="823"/>
      <c r="J11" s="822"/>
      <c r="K11" s="824"/>
      <c r="L11" s="824"/>
      <c r="M11" s="824"/>
      <c r="N11" s="824"/>
      <c r="O11" s="824"/>
      <c r="P11" s="825"/>
      <c r="Q11" s="829"/>
    </row>
    <row r="12" spans="1:17" ht="13.5" customHeight="1" x14ac:dyDescent="0.2">
      <c r="A12" s="843" t="s">
        <v>344</v>
      </c>
      <c r="B12" s="849" t="s">
        <v>1465</v>
      </c>
      <c r="C12" s="850"/>
      <c r="D12" s="850"/>
      <c r="F12" s="823"/>
      <c r="G12" s="823"/>
      <c r="H12" s="823"/>
      <c r="I12" s="823"/>
      <c r="J12" s="822"/>
      <c r="K12" s="824"/>
      <c r="L12" s="824"/>
      <c r="M12" s="824"/>
      <c r="N12" s="824"/>
      <c r="O12" s="824"/>
      <c r="P12" s="825"/>
      <c r="Q12" s="826"/>
    </row>
    <row r="13" spans="1:17" ht="13.5" customHeight="1" x14ac:dyDescent="0.2">
      <c r="A13" s="851"/>
      <c r="B13" s="852"/>
      <c r="C13" s="1020"/>
      <c r="D13" s="1020"/>
      <c r="F13" s="823"/>
      <c r="G13" s="823"/>
      <c r="H13" s="823"/>
      <c r="I13" s="853"/>
      <c r="J13" s="823"/>
      <c r="K13" s="824"/>
      <c r="L13" s="824"/>
      <c r="M13" s="824"/>
      <c r="N13" s="824"/>
      <c r="O13" s="824"/>
      <c r="P13" s="825"/>
    </row>
    <row r="14" spans="1:17" ht="13.5" customHeight="1" thickBot="1" x14ac:dyDescent="0.25">
      <c r="A14" s="1021" t="s">
        <v>345</v>
      </c>
      <c r="B14" s="1022"/>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t="s">
        <v>1461</v>
      </c>
      <c r="C16" s="812"/>
      <c r="D16" s="812"/>
      <c r="E16" s="834"/>
      <c r="F16" s="854"/>
      <c r="G16" s="853"/>
      <c r="H16" s="854"/>
      <c r="I16" s="854"/>
      <c r="J16" s="823"/>
      <c r="K16" s="824"/>
      <c r="L16" s="824"/>
      <c r="M16" s="824"/>
      <c r="N16" s="824"/>
      <c r="O16" s="824"/>
      <c r="P16" s="825"/>
      <c r="Q16" s="813"/>
    </row>
    <row r="17" spans="1:17" ht="13.5" customHeight="1" x14ac:dyDescent="0.2">
      <c r="A17" s="857" t="s">
        <v>348</v>
      </c>
      <c r="B17" s="858" t="s">
        <v>1460</v>
      </c>
      <c r="F17" s="854"/>
      <c r="G17" s="854"/>
      <c r="H17" s="854"/>
      <c r="I17" s="854"/>
      <c r="J17" s="853"/>
      <c r="K17" s="824"/>
      <c r="L17" s="824"/>
      <c r="M17" s="824"/>
      <c r="N17" s="824"/>
      <c r="O17" s="824"/>
      <c r="P17" s="825"/>
    </row>
    <row r="18" spans="1:17" ht="13.5" customHeight="1" x14ac:dyDescent="0.2">
      <c r="A18" s="859" t="s">
        <v>349</v>
      </c>
      <c r="B18" s="860">
        <v>3200</v>
      </c>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t="s">
        <v>1462</v>
      </c>
      <c r="F21" s="854"/>
      <c r="G21" s="854"/>
      <c r="H21" s="854"/>
      <c r="I21" s="854"/>
      <c r="J21" s="854"/>
      <c r="K21" s="824"/>
      <c r="L21" s="824"/>
      <c r="M21" s="824"/>
      <c r="N21" s="824"/>
      <c r="O21" s="824"/>
      <c r="P21" s="825"/>
    </row>
    <row r="22" spans="1:17" ht="13.5" customHeight="1" x14ac:dyDescent="0.2">
      <c r="A22" s="857" t="s">
        <v>352</v>
      </c>
      <c r="B22" s="858" t="s">
        <v>1463</v>
      </c>
      <c r="F22" s="854"/>
      <c r="G22" s="854"/>
      <c r="H22" s="854"/>
      <c r="I22" s="854"/>
      <c r="J22" s="854"/>
      <c r="K22" s="824"/>
      <c r="L22" s="824"/>
      <c r="M22" s="824"/>
      <c r="N22" s="824"/>
      <c r="O22" s="824"/>
      <c r="P22" s="825"/>
    </row>
    <row r="23" spans="1:17" ht="13.5" customHeight="1" x14ac:dyDescent="0.2">
      <c r="A23" s="857" t="s">
        <v>348</v>
      </c>
      <c r="B23" s="858" t="s">
        <v>1460</v>
      </c>
      <c r="F23" s="854"/>
      <c r="G23" s="854"/>
      <c r="H23" s="854"/>
      <c r="I23" s="854"/>
      <c r="J23" s="854"/>
      <c r="K23" s="824"/>
      <c r="L23" s="824"/>
      <c r="M23" s="824"/>
      <c r="N23" s="824"/>
      <c r="O23" s="824"/>
      <c r="P23" s="825"/>
    </row>
    <row r="24" spans="1:17" ht="13.5" customHeight="1" x14ac:dyDescent="0.2">
      <c r="A24" s="859" t="s">
        <v>349</v>
      </c>
      <c r="B24" s="860">
        <v>3200</v>
      </c>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1003">
        <v>333923000</v>
      </c>
      <c r="F27" s="854"/>
      <c r="G27" s="854"/>
      <c r="H27" s="854"/>
      <c r="I27" s="854"/>
      <c r="J27" s="854"/>
      <c r="K27" s="824"/>
      <c r="L27" s="824"/>
      <c r="M27" s="824"/>
      <c r="N27" s="824"/>
      <c r="O27" s="824"/>
      <c r="P27" s="825"/>
    </row>
    <row r="28" spans="1:17" ht="13.5" customHeight="1" x14ac:dyDescent="0.2">
      <c r="A28" s="859" t="s">
        <v>355</v>
      </c>
      <c r="B28" s="1004">
        <v>824978725</v>
      </c>
      <c r="J28" s="854"/>
      <c r="K28" s="854"/>
      <c r="L28" s="854"/>
      <c r="M28" s="854"/>
      <c r="N28" s="854"/>
      <c r="O28" s="854"/>
      <c r="P28" s="825"/>
    </row>
    <row r="29" spans="1:17" ht="13.5" customHeight="1" x14ac:dyDescent="0.2">
      <c r="A29" s="861"/>
      <c r="B29" s="868"/>
      <c r="P29" s="825"/>
    </row>
    <row r="30" spans="1:17" ht="13.5" customHeight="1" thickBot="1" x14ac:dyDescent="0.25">
      <c r="A30" s="1023" t="s">
        <v>356</v>
      </c>
      <c r="B30" s="1024"/>
      <c r="C30" s="1025"/>
      <c r="D30" s="1026"/>
      <c r="P30" s="825"/>
    </row>
    <row r="31" spans="1:17" ht="13.5" customHeight="1" thickTop="1" x14ac:dyDescent="0.2">
      <c r="A31" s="863" t="s">
        <v>357</v>
      </c>
      <c r="B31" s="864"/>
      <c r="C31" s="1027" t="s">
        <v>358</v>
      </c>
      <c r="D31" s="1031"/>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t="s">
        <v>1471</v>
      </c>
      <c r="P34" s="825"/>
    </row>
    <row r="35" spans="1:17" ht="13.5" customHeight="1" x14ac:dyDescent="0.2">
      <c r="A35" s="857" t="s">
        <v>354</v>
      </c>
      <c r="B35" s="869"/>
      <c r="C35" s="857" t="s">
        <v>354</v>
      </c>
      <c r="D35" s="1003">
        <v>333924594</v>
      </c>
      <c r="F35" s="822"/>
      <c r="G35" s="824"/>
      <c r="P35" s="825"/>
    </row>
    <row r="36" spans="1:17" ht="13.5" customHeight="1" x14ac:dyDescent="0.2">
      <c r="A36" s="857" t="s">
        <v>360</v>
      </c>
      <c r="B36" s="869"/>
      <c r="C36" s="857" t="s">
        <v>360</v>
      </c>
      <c r="D36" s="1003">
        <v>711567427</v>
      </c>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t="s">
        <v>1470</v>
      </c>
      <c r="F38" s="823"/>
      <c r="G38" s="824"/>
      <c r="P38" s="825"/>
    </row>
    <row r="39" spans="1:17" ht="13.5" customHeight="1" x14ac:dyDescent="0.2">
      <c r="A39" s="857"/>
      <c r="B39" s="869"/>
      <c r="C39" s="857"/>
      <c r="D39" s="869"/>
      <c r="F39" s="823"/>
      <c r="G39" s="824"/>
      <c r="P39" s="825"/>
    </row>
    <row r="40" spans="1:17" ht="13.5" customHeight="1" x14ac:dyDescent="0.2">
      <c r="A40" s="1029" t="s">
        <v>362</v>
      </c>
      <c r="B40" s="1032"/>
      <c r="C40" s="1029" t="s">
        <v>363</v>
      </c>
      <c r="D40" s="1032"/>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t="s">
        <v>1467</v>
      </c>
      <c r="C43" s="857" t="s">
        <v>359</v>
      </c>
      <c r="D43" s="858"/>
      <c r="F43" s="823"/>
      <c r="G43" s="824"/>
      <c r="P43" s="825"/>
    </row>
    <row r="44" spans="1:17" ht="13.5" customHeight="1" x14ac:dyDescent="0.2">
      <c r="A44" s="857" t="s">
        <v>354</v>
      </c>
      <c r="B44" s="1003">
        <v>333922036</v>
      </c>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t="s">
        <v>1466</v>
      </c>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9" t="s">
        <v>364</v>
      </c>
      <c r="B49" s="1032"/>
      <c r="C49" s="1029" t="s">
        <v>365</v>
      </c>
      <c r="D49" s="1032"/>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t="s">
        <v>1469</v>
      </c>
      <c r="C52" s="857" t="s">
        <v>359</v>
      </c>
      <c r="D52" s="858"/>
      <c r="F52" s="854"/>
      <c r="G52" s="824"/>
      <c r="P52" s="825"/>
    </row>
    <row r="53" spans="1:17" ht="13.5" customHeight="1" x14ac:dyDescent="0.2">
      <c r="A53" s="857" t="s">
        <v>354</v>
      </c>
      <c r="B53" s="1003">
        <v>333924171</v>
      </c>
      <c r="C53" s="857" t="s">
        <v>354</v>
      </c>
      <c r="D53" s="858"/>
      <c r="F53" s="854"/>
      <c r="G53" s="824"/>
      <c r="P53" s="825"/>
    </row>
    <row r="54" spans="1:17" ht="13.5" customHeight="1" x14ac:dyDescent="0.2">
      <c r="A54" s="857" t="s">
        <v>360</v>
      </c>
      <c r="B54" s="1003">
        <v>823671810</v>
      </c>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t="s">
        <v>1468</v>
      </c>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3" t="s">
        <v>366</v>
      </c>
      <c r="B58" s="1034"/>
      <c r="C58" s="1025"/>
      <c r="D58" s="1035"/>
      <c r="E58" s="812"/>
      <c r="F58" s="854"/>
      <c r="G58" s="824"/>
      <c r="P58" s="825"/>
    </row>
    <row r="59" spans="1:17" s="874" customFormat="1" ht="13.5" customHeight="1" thickTop="1" x14ac:dyDescent="0.2">
      <c r="A59" s="863" t="s">
        <v>367</v>
      </c>
      <c r="B59" s="864"/>
      <c r="C59" s="1027" t="s">
        <v>368</v>
      </c>
      <c r="D59" s="1028"/>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9" t="s">
        <v>370</v>
      </c>
      <c r="D68" s="1030"/>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3" t="s">
        <v>371</v>
      </c>
      <c r="B77" s="1014"/>
      <c r="C77" s="1013" t="s">
        <v>371</v>
      </c>
      <c r="D77" s="1014"/>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3" t="s">
        <v>371</v>
      </c>
      <c r="B85" s="1014"/>
      <c r="C85" s="1013" t="s">
        <v>371</v>
      </c>
      <c r="D85" s="1014"/>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3" t="s">
        <v>371</v>
      </c>
      <c r="B93" s="1014"/>
      <c r="C93" s="1013" t="s">
        <v>371</v>
      </c>
      <c r="D93" s="1014"/>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3" t="s">
        <v>371</v>
      </c>
      <c r="B101" s="1014"/>
      <c r="C101" s="1013" t="s">
        <v>371</v>
      </c>
      <c r="D101" s="1014"/>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3" t="s">
        <v>371</v>
      </c>
      <c r="B109" s="1014"/>
      <c r="C109" s="1013" t="s">
        <v>371</v>
      </c>
      <c r="D109" s="1014"/>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3" t="s">
        <v>371</v>
      </c>
      <c r="B117" s="1014"/>
      <c r="C117" s="1013" t="s">
        <v>371</v>
      </c>
      <c r="D117" s="1014"/>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3" t="s">
        <v>371</v>
      </c>
      <c r="B125" s="1014"/>
      <c r="C125" s="1013" t="s">
        <v>371</v>
      </c>
      <c r="D125" s="1014"/>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3" t="s">
        <v>371</v>
      </c>
      <c r="B133" s="1014"/>
      <c r="C133" s="1015"/>
      <c r="D133" s="1016"/>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26" activePane="bottomRight" state="frozen"/>
      <selection pane="topRight"/>
      <selection pane="bottomLeft"/>
      <selection pane="bottomRight" activeCell="F66" sqref="F66"/>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M08 February</v>
      </c>
      <c r="B1" s="346"/>
      <c r="C1" s="346"/>
      <c r="D1" s="346"/>
      <c r="E1" s="346"/>
      <c r="F1" s="346"/>
      <c r="G1" s="346"/>
      <c r="H1" s="346"/>
      <c r="I1" s="346"/>
      <c r="J1" s="346"/>
    </row>
    <row r="2" spans="1:10" x14ac:dyDescent="0.25">
      <c r="A2" s="1037" t="str">
        <f>desc</f>
        <v>Description</v>
      </c>
      <c r="B2" s="158" t="str">
        <f>Head1</f>
        <v>2019/20</v>
      </c>
      <c r="C2" s="1039" t="str">
        <f>Head2</f>
        <v>Budget Year 2020/21</v>
      </c>
      <c r="D2" s="1040"/>
      <c r="E2" s="1040"/>
      <c r="F2" s="1040"/>
      <c r="G2" s="1040"/>
      <c r="H2" s="1040"/>
      <c r="I2" s="1040"/>
      <c r="J2" s="1041"/>
    </row>
    <row r="3" spans="1:10" ht="25.5" x14ac:dyDescent="0.25">
      <c r="A3" s="1038"/>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102261807.64</v>
      </c>
      <c r="F6" s="408">
        <f>SUM('C4-FinPerf RE'!G6:G6)</f>
        <v>812876501.57000005</v>
      </c>
      <c r="G6" s="650">
        <f>SUM('C4-FinPerf RE'!H6:H6)</f>
        <v>846529729.34786654</v>
      </c>
      <c r="H6" s="408">
        <f>F6-G6</f>
        <v>-33653227.777866483</v>
      </c>
      <c r="I6" s="591">
        <f>IF(H6=0,"",H6/G6)</f>
        <v>-3.9754336571016374E-2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253839309.09</v>
      </c>
      <c r="F7" s="408">
        <f>SUM('C4-FinPerf RE'!G7:G10)</f>
        <v>2242004099.6500001</v>
      </c>
      <c r="G7" s="650">
        <f>SUM('C4-FinPerf RE'!H7:H10)</f>
        <v>2383842401.5286078</v>
      </c>
      <c r="H7" s="408">
        <f>F7-G7</f>
        <v>-141838301.87860775</v>
      </c>
      <c r="I7" s="207">
        <f>IF(H7=0,"",H7/G7)</f>
        <v>-5.9499865338268919E-2</v>
      </c>
      <c r="J7" s="642">
        <f>SUM('C4-FinPerf RE'!K7:K10)</f>
        <v>3575763602.2929115</v>
      </c>
    </row>
    <row r="8" spans="1:10" ht="12.75" customHeight="1" x14ac:dyDescent="0.25">
      <c r="A8" s="152" t="s">
        <v>496</v>
      </c>
      <c r="B8" s="648">
        <f>'C4-FinPerf RE'!C13</f>
        <v>0</v>
      </c>
      <c r="C8" s="649">
        <f>'C4-FinPerf RE'!D13</f>
        <v>15260422.42725</v>
      </c>
      <c r="D8" s="408">
        <f>'C4-FinPerf RE'!E13</f>
        <v>15369322.42725</v>
      </c>
      <c r="E8" s="408">
        <f>'C4-FinPerf RE'!F13</f>
        <v>652535.74</v>
      </c>
      <c r="F8" s="408">
        <f>'C4-FinPerf RE'!G13</f>
        <v>4784692.5</v>
      </c>
      <c r="G8" s="650">
        <f>'C4-FinPerf RE'!H13</f>
        <v>10246214.9515</v>
      </c>
      <c r="H8" s="408">
        <f>F8-G8</f>
        <v>-5461522.4515000004</v>
      </c>
      <c r="I8" s="207">
        <f>IF(H8=0,"",H8/G8)</f>
        <v>-0.53302829165227084</v>
      </c>
      <c r="J8" s="642">
        <f>'C4-FinPerf RE'!K13</f>
        <v>15369322.42725</v>
      </c>
    </row>
    <row r="9" spans="1:10" ht="12.75" customHeight="1" x14ac:dyDescent="0.25">
      <c r="A9" s="152" t="s">
        <v>1118</v>
      </c>
      <c r="B9" s="648">
        <f>'C4-FinPerf RE'!C19</f>
        <v>0</v>
      </c>
      <c r="C9" s="649">
        <f>'C4-FinPerf RE'!D19</f>
        <v>675483240</v>
      </c>
      <c r="D9" s="408">
        <f>'C4-FinPerf RE'!E19</f>
        <v>819982787</v>
      </c>
      <c r="E9" s="408">
        <f>'C4-FinPerf RE'!F19</f>
        <v>5576449.54</v>
      </c>
      <c r="F9" s="408">
        <f>'C4-FinPerf RE'!G19</f>
        <v>578024097.55999994</v>
      </c>
      <c r="G9" s="650">
        <f>'C4-FinPerf RE'!H19</f>
        <v>546655191.33333337</v>
      </c>
      <c r="H9" s="408">
        <f>F9-G9</f>
        <v>31368906.22666657</v>
      </c>
      <c r="I9" s="207">
        <f>IF(H9=0,"",H9/G9)</f>
        <v>5.7383350097079358E-2</v>
      </c>
      <c r="J9" s="642">
        <f>'C4-FinPerf RE'!K19</f>
        <v>819982787</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24402484.48</v>
      </c>
      <c r="F10" s="409">
        <f>'C4-FinPerf RE'!G12+'C4-FinPerf RE'!G14+'C4-FinPerf RE'!G15+'C4-FinPerf RE'!G16+'C4-FinPerf RE'!G17+'C4-FinPerf RE'!G18+'C4-FinPerf RE'!G20+'C4-FinPerf RE'!G21</f>
        <v>187329278.19</v>
      </c>
      <c r="G10" s="653">
        <f>'C4-FinPerf RE'!H12+'C4-FinPerf RE'!H14+'C4-FinPerf RE'!H15+'C4-FinPerf RE'!H16+'C4-FinPerf RE'!H17+'C4-FinPerf RE'!H18+'C4-FinPerf RE'!H20+'C4-FinPerf RE'!H21</f>
        <v>254338932.75339997</v>
      </c>
      <c r="H10" s="409">
        <f>F10-G10</f>
        <v>-67009654.563399971</v>
      </c>
      <c r="I10" s="208">
        <f>IF(H10=0,"",H10/G10)</f>
        <v>-0.26346597368311947</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6062418704.8720617</v>
      </c>
      <c r="E11" s="657">
        <f t="shared" si="0"/>
        <v>386732586.49000007</v>
      </c>
      <c r="F11" s="657">
        <f t="shared" si="0"/>
        <v>3825018669.4700003</v>
      </c>
      <c r="G11" s="658">
        <f t="shared" si="0"/>
        <v>4041612469.9147077</v>
      </c>
      <c r="H11" s="657">
        <f t="shared" ref="H11:H25" si="1">F11-G11</f>
        <v>-216593800.44470739</v>
      </c>
      <c r="I11" s="593">
        <f t="shared" ref="I11:I25" si="2">IF(H11=0,"",H11/G11)</f>
        <v>-5.3590937294707597E-2</v>
      </c>
      <c r="J11" s="659">
        <f t="shared" si="0"/>
        <v>6062418704.8720617</v>
      </c>
    </row>
    <row r="12" spans="1:10" ht="12.75" customHeight="1" x14ac:dyDescent="0.25">
      <c r="A12" s="152" t="s">
        <v>475</v>
      </c>
      <c r="B12" s="648">
        <f>'C4-FinPerf RE'!C25</f>
        <v>0</v>
      </c>
      <c r="C12" s="649">
        <f>'C4-FinPerf RE'!D25</f>
        <v>1478324301.5741799</v>
      </c>
      <c r="D12" s="408">
        <f>'C4-FinPerf RE'!E25</f>
        <v>1474657970.2495086</v>
      </c>
      <c r="E12" s="408">
        <f>'C4-FinPerf RE'!F25</f>
        <v>104979721.02000006</v>
      </c>
      <c r="F12" s="408">
        <f>'C4-FinPerf RE'!G25</f>
        <v>915634113.61000085</v>
      </c>
      <c r="G12" s="650">
        <f>'C4-FinPerf RE'!H25</f>
        <v>983105313.49967241</v>
      </c>
      <c r="H12" s="408">
        <f t="shared" si="1"/>
        <v>-67471199.889671564</v>
      </c>
      <c r="I12" s="207">
        <f t="shared" si="2"/>
        <v>-6.8630693948226781E-2</v>
      </c>
      <c r="J12" s="642">
        <f>'C4-FinPerf RE'!K25</f>
        <v>1474657970.2495086</v>
      </c>
    </row>
    <row r="13" spans="1:10" ht="12.75" customHeight="1" x14ac:dyDescent="0.25">
      <c r="A13" s="152" t="s">
        <v>842</v>
      </c>
      <c r="B13" s="648">
        <f>'C4-FinPerf RE'!C26</f>
        <v>0</v>
      </c>
      <c r="C13" s="649">
        <f>'C4-FinPerf RE'!D26</f>
        <v>53650401.115479976</v>
      </c>
      <c r="D13" s="408">
        <f>'C4-FinPerf RE'!E26</f>
        <v>53650401.439999998</v>
      </c>
      <c r="E13" s="408">
        <f>'C4-FinPerf RE'!F26</f>
        <v>5865426.1100000003</v>
      </c>
      <c r="F13" s="408">
        <f>'C4-FinPerf RE'!G26</f>
        <v>35553018.93</v>
      </c>
      <c r="G13" s="650">
        <f>'C4-FinPerf RE'!H26</f>
        <v>35766934.293333329</v>
      </c>
      <c r="H13" s="408">
        <f t="shared" si="1"/>
        <v>-213915.36333332956</v>
      </c>
      <c r="I13" s="207">
        <f t="shared" si="2"/>
        <v>-5.9808134960340079E-3</v>
      </c>
      <c r="J13" s="642">
        <f>'C4-FinPerf RE'!K26</f>
        <v>53650401.439999998</v>
      </c>
    </row>
    <row r="14" spans="1:10" ht="12.75" customHeight="1" x14ac:dyDescent="0.25">
      <c r="A14" s="581" t="s">
        <v>664</v>
      </c>
      <c r="B14" s="648">
        <f>'C4-FinPerf RE'!C28</f>
        <v>0</v>
      </c>
      <c r="C14" s="649">
        <f>'C4-FinPerf RE'!D28</f>
        <v>489941448.27473986</v>
      </c>
      <c r="D14" s="408">
        <f>'C4-FinPerf RE'!E28</f>
        <v>482441449.27473998</v>
      </c>
      <c r="E14" s="408">
        <f>'C4-FinPerf RE'!F28</f>
        <v>32524868.070000011</v>
      </c>
      <c r="F14" s="408">
        <f>'C4-FinPerf RE'!G28</f>
        <v>281220239.93000007</v>
      </c>
      <c r="G14" s="650">
        <f>'C4-FinPerf RE'!H28</f>
        <v>321627632.84982663</v>
      </c>
      <c r="H14" s="408">
        <f t="shared" si="1"/>
        <v>-40407392.919826567</v>
      </c>
      <c r="I14" s="207">
        <f t="shared" si="2"/>
        <v>-0.12563408361959205</v>
      </c>
      <c r="J14" s="642">
        <f>'C4-FinPerf RE'!K28</f>
        <v>482441449.27473998</v>
      </c>
    </row>
    <row r="15" spans="1:10" ht="12.75" customHeight="1" x14ac:dyDescent="0.25">
      <c r="A15" s="152" t="s">
        <v>452</v>
      </c>
      <c r="B15" s="648">
        <f>'C4-FinPerf RE'!C29</f>
        <v>0</v>
      </c>
      <c r="C15" s="649">
        <f>'C4-FinPerf RE'!D29</f>
        <v>31793212.220000003</v>
      </c>
      <c r="D15" s="408">
        <f>'C4-FinPerf RE'!E29</f>
        <v>36505334.219999969</v>
      </c>
      <c r="E15" s="408">
        <f>'C4-FinPerf RE'!F29</f>
        <v>2575288.0100000002</v>
      </c>
      <c r="F15" s="408">
        <f>'C4-FinPerf RE'!G29</f>
        <v>24969974.100000001</v>
      </c>
      <c r="G15" s="650">
        <f>'C4-FinPerf RE'!H29</f>
        <v>24336889.479999978</v>
      </c>
      <c r="H15" s="408">
        <f t="shared" si="1"/>
        <v>633084.62000002339</v>
      </c>
      <c r="I15" s="207">
        <f t="shared" si="2"/>
        <v>2.6013374491439898E-2</v>
      </c>
      <c r="J15" s="642">
        <f>'C4-FinPerf RE'!K29</f>
        <v>36505334.219999969</v>
      </c>
    </row>
    <row r="16" spans="1:10" ht="12.75" customHeight="1" x14ac:dyDescent="0.25">
      <c r="A16" s="152" t="s">
        <v>495</v>
      </c>
      <c r="B16" s="648">
        <f>SUM('C4-FinPerf RE'!C30:C31)</f>
        <v>0</v>
      </c>
      <c r="C16" s="649">
        <f>SUM('C4-FinPerf RE'!D30:D31)</f>
        <v>2654837499.1911387</v>
      </c>
      <c r="D16" s="408">
        <f>SUM('C4-FinPerf RE'!E30:E31)</f>
        <v>2617809631.6479759</v>
      </c>
      <c r="E16" s="408">
        <f>SUM('C4-FinPerf RE'!F30:F31)</f>
        <v>180121199.60999998</v>
      </c>
      <c r="F16" s="408">
        <f>SUM('C4-FinPerf RE'!G30:G31)</f>
        <v>1792363406.8100002</v>
      </c>
      <c r="G16" s="650">
        <f>SUM('C4-FinPerf RE'!H30:H31)</f>
        <v>1745206421.0986507</v>
      </c>
      <c r="H16" s="408">
        <f t="shared" si="1"/>
        <v>47156985.711349487</v>
      </c>
      <c r="I16" s="591">
        <f t="shared" si="2"/>
        <v>2.7020864203366267E-2</v>
      </c>
      <c r="J16" s="642">
        <f>SUM('C4-FinPerf RE'!K30:K31)</f>
        <v>2617809631.6479759</v>
      </c>
    </row>
    <row r="17" spans="1:11" ht="12.75" customHeight="1" x14ac:dyDescent="0.25">
      <c r="A17" s="152" t="s">
        <v>1118</v>
      </c>
      <c r="B17" s="648">
        <f>'C4-FinPerf RE'!C33</f>
        <v>0</v>
      </c>
      <c r="C17" s="649">
        <f>'C4-FinPerf RE'!D33</f>
        <v>25080461.44304001</v>
      </c>
      <c r="D17" s="408">
        <f>'C4-FinPerf RE'!E33</f>
        <v>59680462</v>
      </c>
      <c r="E17" s="408">
        <f>'C4-FinPerf RE'!F33</f>
        <v>5573958.1299999999</v>
      </c>
      <c r="F17" s="408">
        <f>'C4-FinPerf RE'!G33</f>
        <v>31482959.32</v>
      </c>
      <c r="G17" s="650">
        <f>'C4-FinPerf RE'!H33</f>
        <v>39786974.666666664</v>
      </c>
      <c r="H17" s="408">
        <f t="shared" si="1"/>
        <v>-8304015.3466666639</v>
      </c>
      <c r="I17" s="207">
        <f t="shared" si="2"/>
        <v>-0.20871190675434109</v>
      </c>
      <c r="J17" s="642">
        <f>'C4-FinPerf RE'!K33</f>
        <v>59680462</v>
      </c>
    </row>
    <row r="18" spans="1:11" ht="12.75" customHeight="1" x14ac:dyDescent="0.25">
      <c r="A18" s="152" t="s">
        <v>434</v>
      </c>
      <c r="B18" s="648">
        <f>'C4-FinPerf RE'!C36-SUM('C1-Sum'!B12:B17)</f>
        <v>0</v>
      </c>
      <c r="C18" s="649">
        <f>'C4-FinPerf RE'!D36-SUM('C1-Sum'!C12:C17)</f>
        <v>782850145.72604942</v>
      </c>
      <c r="D18" s="408">
        <f>'C4-FinPerf RE'!E36-SUM('C1-Sum'!D12:D17)</f>
        <v>948405778.58908653</v>
      </c>
      <c r="E18" s="408">
        <f>'C4-FinPerf RE'!F36-SUM('C1-Sum'!E12:E17)</f>
        <v>46575053.579999983</v>
      </c>
      <c r="F18" s="408">
        <f>'C4-FinPerf RE'!G36-SUM('C1-Sum'!F12:F17)</f>
        <v>481348721.86000013</v>
      </c>
      <c r="G18" s="650">
        <f>'C4-FinPerf RE'!H36-SUM('C1-Sum'!G12:G17)</f>
        <v>632270519.05939007</v>
      </c>
      <c r="H18" s="408">
        <f t="shared" si="1"/>
        <v>-150921797.19938993</v>
      </c>
      <c r="I18" s="207">
        <f t="shared" si="2"/>
        <v>-0.2386981405109822</v>
      </c>
      <c r="J18" s="642">
        <f>'C4-FinPerf RE'!K36-SUM('C1-Sum'!J12:J17)</f>
        <v>948405778.58908653</v>
      </c>
    </row>
    <row r="19" spans="1:11" ht="12.75" customHeight="1" x14ac:dyDescent="0.25">
      <c r="A19" s="583" t="s">
        <v>488</v>
      </c>
      <c r="B19" s="660">
        <f t="shared" ref="B19:G19" si="3">SUM(B12:B18)</f>
        <v>0</v>
      </c>
      <c r="C19" s="661">
        <f t="shared" si="3"/>
        <v>5516477469.5446281</v>
      </c>
      <c r="D19" s="662">
        <f t="shared" si="3"/>
        <v>5673151027.4213114</v>
      </c>
      <c r="E19" s="662">
        <f t="shared" si="3"/>
        <v>378215514.53000003</v>
      </c>
      <c r="F19" s="662">
        <f t="shared" si="3"/>
        <v>3562572434.5600014</v>
      </c>
      <c r="G19" s="663">
        <f t="shared" si="3"/>
        <v>3782100684.9475398</v>
      </c>
      <c r="H19" s="662">
        <f t="shared" si="1"/>
        <v>-219528250.38753843</v>
      </c>
      <c r="I19" s="382">
        <f t="shared" si="2"/>
        <v>-5.8043999532123358E-2</v>
      </c>
      <c r="J19" s="664">
        <f>SUM(J12:J18)</f>
        <v>5673151027.4213114</v>
      </c>
    </row>
    <row r="20" spans="1:11" ht="12.75" customHeight="1" x14ac:dyDescent="0.25">
      <c r="A20" s="153" t="s">
        <v>489</v>
      </c>
      <c r="B20" s="665">
        <f t="shared" ref="B20:G20" si="4">B11-B19</f>
        <v>0</v>
      </c>
      <c r="C20" s="666">
        <f t="shared" si="4"/>
        <v>401332788.32743359</v>
      </c>
      <c r="D20" s="637">
        <f t="shared" si="4"/>
        <v>389267677.45075035</v>
      </c>
      <c r="E20" s="637">
        <f t="shared" si="4"/>
        <v>8517071.9600000381</v>
      </c>
      <c r="F20" s="637">
        <f t="shared" si="4"/>
        <v>262446234.90999889</v>
      </c>
      <c r="G20" s="667">
        <f t="shared" si="4"/>
        <v>259511784.96716785</v>
      </c>
      <c r="H20" s="637">
        <f t="shared" si="1"/>
        <v>2934449.9428310394</v>
      </c>
      <c r="I20" s="206">
        <f t="shared" si="2"/>
        <v>1.1307578741375045E-2</v>
      </c>
      <c r="J20" s="641">
        <f>J11-J19</f>
        <v>389267677.45075035</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526485334.99999982</v>
      </c>
      <c r="E21" s="983">
        <f>'C4-FinPerf RE'!F39</f>
        <v>30775637.649999999</v>
      </c>
      <c r="F21" s="983">
        <f>'C4-FinPerf RE'!G39</f>
        <v>285306032.31999999</v>
      </c>
      <c r="G21" s="984">
        <f>'C4-FinPerf RE'!H39</f>
        <v>350990223.33333319</v>
      </c>
      <c r="H21" s="983">
        <f t="shared" si="1"/>
        <v>-65684191.013333201</v>
      </c>
      <c r="I21" s="985">
        <f t="shared" si="2"/>
        <v>-0.18713965987295703</v>
      </c>
      <c r="J21" s="986">
        <f>'C4-FinPerf RE'!K39</f>
        <v>526485334.99999982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915753012.45075011</v>
      </c>
      <c r="E23" s="657">
        <f t="shared" si="5"/>
        <v>39292709.610000037</v>
      </c>
      <c r="F23" s="657">
        <f t="shared" si="5"/>
        <v>547752267.22999883</v>
      </c>
      <c r="G23" s="658">
        <f t="shared" si="5"/>
        <v>610502008.30050111</v>
      </c>
      <c r="H23" s="657">
        <f t="shared" si="1"/>
        <v>-62749741.070502281</v>
      </c>
      <c r="I23" s="592">
        <f t="shared" si="2"/>
        <v>-0.10278384053998987</v>
      </c>
      <c r="J23" s="659">
        <f>J20+J21+J22</f>
        <v>915753012.45075011</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915753012.45075011</v>
      </c>
      <c r="E25" s="637">
        <f t="shared" si="6"/>
        <v>39292709.610000037</v>
      </c>
      <c r="F25" s="637">
        <f t="shared" si="6"/>
        <v>547752267.22999883</v>
      </c>
      <c r="G25" s="667">
        <f t="shared" si="6"/>
        <v>610502008.30050111</v>
      </c>
      <c r="H25" s="637">
        <f t="shared" si="1"/>
        <v>-62749741.070502281</v>
      </c>
      <c r="I25" s="206">
        <f t="shared" si="2"/>
        <v>-0.10278384053998987</v>
      </c>
      <c r="J25" s="641">
        <f>J23+J24</f>
        <v>915753012.45075011</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747190359.77999997</v>
      </c>
      <c r="E28" s="662">
        <f>'C5-Capex'!F40</f>
        <v>35188377.060000002</v>
      </c>
      <c r="F28" s="662">
        <f>'C5-Capex'!G40</f>
        <v>286003679.24000001</v>
      </c>
      <c r="G28" s="663">
        <f>'C5-Capex'!H40</f>
        <v>498126906.51999998</v>
      </c>
      <c r="H28" s="662">
        <f t="shared" ref="H28:H33" si="7">F28-G28</f>
        <v>-212123227.27999997</v>
      </c>
      <c r="I28" s="382">
        <f t="shared" ref="I28:I33" si="8">IF(H28=0,"",H28/G28)</f>
        <v>-0.42584173732338459</v>
      </c>
      <c r="J28" s="664">
        <f>'C5-Capex'!K40</f>
        <v>747190359.77999997</v>
      </c>
    </row>
    <row r="29" spans="1:11" ht="12.75" customHeight="1" x14ac:dyDescent="0.25">
      <c r="A29" s="152" t="s">
        <v>499</v>
      </c>
      <c r="B29" s="648">
        <f>'C5-Capex'!C70</f>
        <v>0</v>
      </c>
      <c r="C29" s="649">
        <f>'C5-Capex'!D70</f>
        <v>525891580.99999988</v>
      </c>
      <c r="D29" s="408">
        <f>'C5-Capex'!E70</f>
        <v>648605943.77999997</v>
      </c>
      <c r="E29" s="408">
        <f>'C5-Capex'!F70</f>
        <v>29177797.32</v>
      </c>
      <c r="F29" s="408">
        <f>'C5-Capex'!G70</f>
        <v>255785419.07999998</v>
      </c>
      <c r="G29" s="650">
        <f>'C5-Capex'!H70</f>
        <v>432403962.51999998</v>
      </c>
      <c r="H29" s="408">
        <f t="shared" si="7"/>
        <v>-176618543.44</v>
      </c>
      <c r="I29" s="591">
        <f t="shared" si="8"/>
        <v>-0.40845727317272412</v>
      </c>
      <c r="J29" s="642">
        <f>'C5-Capex'!K70</f>
        <v>648605943.77999997</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98584414</v>
      </c>
      <c r="E32" s="662">
        <f>'C5-Capex'!F73</f>
        <v>6010579.7400000002</v>
      </c>
      <c r="F32" s="662">
        <f>'C5-Capex'!G73</f>
        <v>30218260.160000011</v>
      </c>
      <c r="G32" s="663">
        <f>'C5-Capex'!H73</f>
        <v>65722942.666666664</v>
      </c>
      <c r="H32" s="662">
        <f t="shared" si="7"/>
        <v>-35504682.506666653</v>
      </c>
      <c r="I32" s="382">
        <f t="shared" si="8"/>
        <v>-0.54021748062528407</v>
      </c>
      <c r="J32" s="664">
        <f>'C5-Capex'!K73</f>
        <v>98584414</v>
      </c>
      <c r="K32" s="156"/>
    </row>
    <row r="33" spans="1:10" ht="12.75" customHeight="1" x14ac:dyDescent="0.25">
      <c r="A33" s="583" t="s">
        <v>137</v>
      </c>
      <c r="B33" s="668">
        <f t="shared" ref="B33:G33" si="9">+B29+B31+B32</f>
        <v>0</v>
      </c>
      <c r="C33" s="613">
        <f t="shared" si="9"/>
        <v>580891580.99999988</v>
      </c>
      <c r="D33" s="611">
        <f t="shared" si="9"/>
        <v>747190357.77999997</v>
      </c>
      <c r="E33" s="611">
        <f t="shared" si="9"/>
        <v>35188377.060000002</v>
      </c>
      <c r="F33" s="611">
        <f t="shared" si="9"/>
        <v>286003679.24000001</v>
      </c>
      <c r="G33" s="612">
        <f t="shared" si="9"/>
        <v>498126905.18666667</v>
      </c>
      <c r="H33" s="611">
        <f t="shared" si="7"/>
        <v>-212123225.94666666</v>
      </c>
      <c r="I33" s="594">
        <f t="shared" si="8"/>
        <v>-0.42584173578653856</v>
      </c>
      <c r="J33" s="614">
        <f>+J29+J31+J32</f>
        <v>747190357.77999997</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2694173744.3592668</v>
      </c>
      <c r="E36" s="408"/>
      <c r="F36" s="408">
        <f>'C6-FinPos'!F13</f>
        <v>3178250664.8000002</v>
      </c>
      <c r="G36" s="217"/>
      <c r="H36" s="217"/>
      <c r="I36" s="219"/>
      <c r="J36" s="642">
        <f>'C6-FinPos'!G13</f>
        <v>2694173744.3592668</v>
      </c>
    </row>
    <row r="37" spans="1:10" ht="12.75" customHeight="1" x14ac:dyDescent="0.25">
      <c r="A37" s="152" t="s">
        <v>631</v>
      </c>
      <c r="B37" s="648">
        <f>'C6-FinPos'!C25</f>
        <v>0</v>
      </c>
      <c r="C37" s="649">
        <f>'C6-FinPos'!D25</f>
        <v>8340425652.5764656</v>
      </c>
      <c r="D37" s="408">
        <f>'C6-FinPos'!E25</f>
        <v>8511254429.0807037</v>
      </c>
      <c r="E37" s="408"/>
      <c r="F37" s="408">
        <f>'C6-FinPos'!F25</f>
        <v>7520478880.6300011</v>
      </c>
      <c r="G37" s="217"/>
      <c r="H37" s="217"/>
      <c r="I37" s="219"/>
      <c r="J37" s="642">
        <f>'C6-FinPos'!G25</f>
        <v>8511254429.0807037</v>
      </c>
    </row>
    <row r="38" spans="1:10" ht="12.75" customHeight="1" x14ac:dyDescent="0.25">
      <c r="A38" s="152" t="s">
        <v>459</v>
      </c>
      <c r="B38" s="648">
        <f>'C6-FinPos'!C35</f>
        <v>0</v>
      </c>
      <c r="C38" s="649">
        <f>'C6-FinPos'!D35</f>
        <v>1441718351.4141357</v>
      </c>
      <c r="D38" s="408">
        <f>'C6-FinPos'!E35</f>
        <v>1345847464.413985</v>
      </c>
      <c r="E38" s="408"/>
      <c r="F38" s="408">
        <f>'C6-FinPos'!F35</f>
        <v>1436224884.8</v>
      </c>
      <c r="G38" s="217"/>
      <c r="H38" s="217"/>
      <c r="I38" s="219"/>
      <c r="J38" s="642">
        <f>'C6-FinPos'!G35</f>
        <v>1345847464.413985</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8767715756.9995632</v>
      </c>
      <c r="E40" s="408"/>
      <c r="F40" s="637">
        <f>'C6-FinPos'!F48</f>
        <v>8442414335.3400002</v>
      </c>
      <c r="G40" s="595"/>
      <c r="H40" s="595"/>
      <c r="I40" s="596"/>
      <c r="J40" s="641">
        <f>'C6-FinPos'!G48</f>
        <v>8767715756.9995632</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594287085.52309227</v>
      </c>
      <c r="E43" s="408">
        <f>'C7-CFlow'!F18</f>
        <v>-111105548.29999995</v>
      </c>
      <c r="F43" s="408">
        <f>'C7-CFlow'!G18</f>
        <v>-50356601.979999781</v>
      </c>
      <c r="G43" s="650">
        <f>'C7-CFlow'!H18</f>
        <v>396191390.3487277</v>
      </c>
      <c r="H43" s="408">
        <f>G43-F43</f>
        <v>446547992.32872748</v>
      </c>
      <c r="I43" s="207">
        <f>IF(H43=0,"",H43/G43)</f>
        <v>1.1271017069191631</v>
      </c>
      <c r="J43" s="642">
        <f>'C7-CFlow'!K18</f>
        <v>594287085.52309227</v>
      </c>
    </row>
    <row r="44" spans="1:10" ht="12.75" customHeight="1" x14ac:dyDescent="0.25">
      <c r="A44" s="152" t="s">
        <v>649</v>
      </c>
      <c r="B44" s="648">
        <f>'C7-CFlow'!C28</f>
        <v>0</v>
      </c>
      <c r="C44" s="649">
        <f>'C7-CFlow'!D28</f>
        <v>-580891580.99999988</v>
      </c>
      <c r="D44" s="408">
        <f>'C7-CFlow'!E28</f>
        <v>-747190357.77999985</v>
      </c>
      <c r="E44" s="408">
        <f>'C7-CFlow'!F28</f>
        <v>-51590954.259999998</v>
      </c>
      <c r="F44" s="408">
        <f>'C7-CFlow'!G28</f>
        <v>-32648395.490000002</v>
      </c>
      <c r="G44" s="650">
        <f>'C7-CFlow'!H28</f>
        <v>-498126905.18666655</v>
      </c>
      <c r="H44" s="408">
        <f>G44-F44</f>
        <v>-465478509.69666654</v>
      </c>
      <c r="I44" s="207">
        <f>IF(H44=0,"",H44/G44)</f>
        <v>0.93445767504213517</v>
      </c>
      <c r="J44" s="642">
        <f>'C7-CFlow'!K28</f>
        <v>-747190357.77999985</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-52804000</v>
      </c>
      <c r="H45" s="408">
        <f>G45-F45</f>
        <v>-32547809.629999999</v>
      </c>
      <c r="I45" s="207">
        <f>IF(H45=0,"",H45/G45)</f>
        <v>0.61638909230361338</v>
      </c>
      <c r="J45" s="642">
        <f>'C7-CFlow'!K37</f>
        <v>-79206000</v>
      </c>
    </row>
    <row r="46" spans="1:10" ht="12.75" customHeight="1" x14ac:dyDescent="0.25">
      <c r="A46" s="153" t="s">
        <v>54</v>
      </c>
      <c r="B46" s="665">
        <f>'C7-CFlow'!C41</f>
        <v>0</v>
      </c>
      <c r="C46" s="666">
        <f>'C7-CFlow'!D41</f>
        <v>382435849.43256199</v>
      </c>
      <c r="D46" s="637">
        <f>'C7-CFlow'!E41</f>
        <v>286867694.74309242</v>
      </c>
      <c r="E46" s="637">
        <f>'C7-CFlow'!F41</f>
        <v>0</v>
      </c>
      <c r="F46" s="637">
        <f>'C7-CFlow'!G41</f>
        <v>366787061.16000021</v>
      </c>
      <c r="G46" s="667">
        <f>'C7-CFlow'!H41</f>
        <v>364237452.16206115</v>
      </c>
      <c r="H46" s="637">
        <f>G46-F46</f>
        <v>-2549608.9979390502</v>
      </c>
      <c r="I46" s="206">
        <f>IF(H46=0,"",H46/G46)</f>
        <v>-6.9998540314976888E-3</v>
      </c>
      <c r="J46" s="641">
        <f>'C7-CFlow'!K41</f>
        <v>237938976.74309242</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440690279.0800001</v>
      </c>
      <c r="C50" s="649">
        <f>'SC3'!D14</f>
        <v>138420312.27000001</v>
      </c>
      <c r="D50" s="408">
        <f>'SC3'!E14</f>
        <v>114545127.72999999</v>
      </c>
      <c r="E50" s="408">
        <f>'SC3'!F14</f>
        <v>124237484.80000001</v>
      </c>
      <c r="F50" s="408">
        <f>'SC3'!G14</f>
        <v>106807246.14999999</v>
      </c>
      <c r="G50" s="650">
        <f>'SC3'!H14</f>
        <v>91316267.530000001</v>
      </c>
      <c r="H50" s="408">
        <f>'SC3'!I14</f>
        <v>490755753.45999992</v>
      </c>
      <c r="I50" s="650">
        <f>'SC3'!J14</f>
        <v>3301923940.4199996</v>
      </c>
      <c r="J50" s="642">
        <f>'SC3'!K14</f>
        <v>4808696411.4400005</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924141192.51999998</v>
      </c>
      <c r="C52" s="649">
        <f>'SC4'!D15</f>
        <v>6716930.8600000003</v>
      </c>
      <c r="D52" s="408">
        <f>'SC4'!E15</f>
        <v>74636509.829999998</v>
      </c>
      <c r="E52" s="408">
        <f>'SC4'!F15</f>
        <v>84416720.680000007</v>
      </c>
      <c r="F52" s="408">
        <f>'SC4'!G15</f>
        <v>15225800.40999998</v>
      </c>
      <c r="G52" s="650">
        <f>'SC4'!H15</f>
        <v>0</v>
      </c>
      <c r="H52" s="408">
        <f>'SC4'!I15</f>
        <v>0</v>
      </c>
      <c r="I52" s="650">
        <f>'SC4'!J15</f>
        <v>0</v>
      </c>
      <c r="J52" s="642">
        <f>'SC4'!K15</f>
        <v>1105137154.3000002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6"/>
      <c r="B55" s="1036"/>
      <c r="C55" s="1036"/>
      <c r="D55" s="1036"/>
      <c r="E55" s="1036"/>
      <c r="F55" s="1036"/>
      <c r="G55" s="1036"/>
      <c r="H55" s="1036"/>
      <c r="I55" s="1036"/>
      <c r="J55" s="1036"/>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20" activePane="bottomRight" state="frozen"/>
      <selection pane="topRight"/>
      <selection pane="bottomLeft"/>
      <selection pane="bottomRight" activeCell="H66" sqref="H66"/>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6" t="str">
        <f>muni&amp; " - "&amp;S71A&amp; " - "&amp;date</f>
        <v>KZN225 Msunduzi - Table C2 Consolidated Monthly Budget Statement - Financial Performance (functional classification)  - M08 February</v>
      </c>
      <c r="B1" s="1046"/>
      <c r="C1" s="1046"/>
      <c r="D1" s="1046"/>
      <c r="E1" s="1046"/>
      <c r="F1" s="1046"/>
      <c r="G1" s="1046"/>
      <c r="H1" s="1046"/>
      <c r="I1" s="1046"/>
      <c r="J1" s="1046"/>
      <c r="K1" s="1046"/>
    </row>
    <row r="2" spans="1:18" x14ac:dyDescent="0.25">
      <c r="A2" s="1044" t="str">
        <f>desc</f>
        <v>Description</v>
      </c>
      <c r="B2" s="1042" t="str">
        <f>head27</f>
        <v>Ref</v>
      </c>
      <c r="C2" s="24" t="str">
        <f>Head1</f>
        <v>2019/20</v>
      </c>
      <c r="D2" s="231" t="str">
        <f>Head2</f>
        <v>Budget Year 2020/21</v>
      </c>
      <c r="E2" s="229"/>
      <c r="F2" s="229"/>
      <c r="G2" s="229"/>
      <c r="H2" s="229"/>
      <c r="I2" s="229"/>
      <c r="J2" s="229"/>
      <c r="K2" s="230"/>
    </row>
    <row r="3" spans="1:18"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111797338.61</v>
      </c>
      <c r="G6" s="637">
        <f t="shared" si="0"/>
        <v>1178752958.5400002</v>
      </c>
      <c r="H6" s="637">
        <f t="shared" si="0"/>
        <v>1107557668.2116773</v>
      </c>
      <c r="I6" s="47">
        <f t="shared" ref="I6:I13" si="1">G6-H6</f>
        <v>71195290.328322887</v>
      </c>
      <c r="J6" s="200">
        <f>IF(I6=0,"",I6/H6)</f>
        <v>6.4281339357506018E-2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441774</v>
      </c>
      <c r="G7" s="408">
        <f>'C2C'!G7</f>
        <v>2043006</v>
      </c>
      <c r="H7" s="408">
        <f>'C2C'!H7</f>
        <v>2965020.0089333332</v>
      </c>
      <c r="I7" s="47">
        <f t="shared" si="1"/>
        <v>-922014.00893333321</v>
      </c>
      <c r="J7" s="200">
        <f t="shared" ref="J7:J26" si="2">IF(I7=0,"",I7/H7)</f>
        <v>-0.3109638404312246</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111355564.61</v>
      </c>
      <c r="G8" s="672">
        <f>'C2C'!G10</f>
        <v>1176709952.5400002</v>
      </c>
      <c r="H8" s="672">
        <f>'C2C'!H10</f>
        <v>1104592648.202744</v>
      </c>
      <c r="I8" s="47">
        <f t="shared" si="1"/>
        <v>72117304.337256193</v>
      </c>
      <c r="J8" s="200">
        <f t="shared" si="2"/>
        <v>6.5288597072048704E-2</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421154744.47721577</v>
      </c>
      <c r="F10" s="637">
        <f t="shared" si="3"/>
        <v>7555586.3399999999</v>
      </c>
      <c r="G10" s="637">
        <f t="shared" si="3"/>
        <v>87790740.719999999</v>
      </c>
      <c r="H10" s="637">
        <f t="shared" si="3"/>
        <v>280769829.65147722</v>
      </c>
      <c r="I10" s="47">
        <f t="shared" si="1"/>
        <v>-192979088.93147722</v>
      </c>
      <c r="J10" s="200">
        <f t="shared" si="2"/>
        <v>-0.68732131643568806</v>
      </c>
      <c r="K10" s="641">
        <f>SUM(K11:K15)</f>
        <v>421154744.47721577</v>
      </c>
      <c r="L10" s="100"/>
      <c r="Q10" s="69"/>
      <c r="R10" s="70"/>
    </row>
    <row r="11" spans="1:18" ht="12.75" customHeight="1" x14ac:dyDescent="0.25">
      <c r="A11" s="416" t="s">
        <v>110</v>
      </c>
      <c r="B11" s="415"/>
      <c r="C11" s="642">
        <f>'C2C'!C27</f>
        <v>0</v>
      </c>
      <c r="D11" s="670">
        <f>'C2C'!D27</f>
        <v>26242986.682700001</v>
      </c>
      <c r="E11" s="408">
        <f>'C2C'!E27</f>
        <v>26648021.682700001</v>
      </c>
      <c r="F11" s="408">
        <f>'C2C'!F27</f>
        <v>764037.67999999993</v>
      </c>
      <c r="G11" s="408">
        <f>'C2C'!G27</f>
        <v>16898750.98</v>
      </c>
      <c r="H11" s="408">
        <f>'C2C'!H27</f>
        <v>17765347.788466666</v>
      </c>
      <c r="I11" s="47">
        <f t="shared" si="1"/>
        <v>-866596.80846666545</v>
      </c>
      <c r="J11" s="200">
        <f t="shared" si="2"/>
        <v>-4.8780176936882906E-2</v>
      </c>
      <c r="K11" s="642">
        <f>'C2C'!K27</f>
        <v>26648021.682700001</v>
      </c>
      <c r="L11" s="100"/>
      <c r="Q11" s="69"/>
      <c r="R11" s="70"/>
    </row>
    <row r="12" spans="1:18" ht="12.75" customHeight="1" x14ac:dyDescent="0.25">
      <c r="A12" s="416" t="s">
        <v>111</v>
      </c>
      <c r="B12" s="415"/>
      <c r="C12" s="642">
        <f>'C2C'!C49</f>
        <v>0</v>
      </c>
      <c r="D12" s="670">
        <f>'C2C'!D49</f>
        <v>11002054.78726843</v>
      </c>
      <c r="E12" s="408">
        <f>'C2C'!E49</f>
        <v>11002054.78726843</v>
      </c>
      <c r="F12" s="408">
        <f>'C2C'!F49</f>
        <v>4570</v>
      </c>
      <c r="G12" s="408">
        <f>'C2C'!G49</f>
        <v>56682.779999999897</v>
      </c>
      <c r="H12" s="408">
        <f>'C2C'!H49</f>
        <v>7334703.1915122867</v>
      </c>
      <c r="I12" s="47">
        <f t="shared" si="1"/>
        <v>-7278020.4115122864</v>
      </c>
      <c r="J12" s="200">
        <f t="shared" si="2"/>
        <v>-0.99227197358638952</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24378.63</v>
      </c>
      <c r="G13" s="408">
        <f>'C2C'!G55</f>
        <v>6265047.1600000001</v>
      </c>
      <c r="H13" s="408">
        <f>'C2C'!H55</f>
        <v>2512490.3092666669</v>
      </c>
      <c r="I13" s="47">
        <f t="shared" si="1"/>
        <v>3752556.8507333333</v>
      </c>
      <c r="J13" s="200">
        <f t="shared" si="2"/>
        <v>1.4935607261421082</v>
      </c>
      <c r="K13" s="642">
        <f>'C2C'!K55</f>
        <v>3768735.4638999999</v>
      </c>
      <c r="L13" s="100"/>
      <c r="Q13" s="69"/>
      <c r="R13" s="70"/>
    </row>
    <row r="14" spans="1:18" ht="12.75" customHeight="1" x14ac:dyDescent="0.25">
      <c r="A14" s="416" t="s">
        <v>711</v>
      </c>
      <c r="B14" s="415"/>
      <c r="C14" s="642">
        <f>'C2C'!C64</f>
        <v>0</v>
      </c>
      <c r="D14" s="670">
        <f>'C2C'!D64</f>
        <v>328237277.54334736</v>
      </c>
      <c r="E14" s="408">
        <f>'C2C'!E64</f>
        <v>379735932.54334736</v>
      </c>
      <c r="F14" s="408">
        <f>'C2C'!F64</f>
        <v>6762600.0300000003</v>
      </c>
      <c r="G14" s="408">
        <f>'C2C'!G64</f>
        <v>64570259.799999997</v>
      </c>
      <c r="H14" s="408">
        <f>'C2C'!H64</f>
        <v>253157288.36223158</v>
      </c>
      <c r="I14" s="47">
        <f t="shared" ref="I14:I19" si="4">G14-H14</f>
        <v>-188587028.5622316</v>
      </c>
      <c r="J14" s="200">
        <f t="shared" ref="J14:J19" si="5">IF(I14=0,"",I14/H14)</f>
        <v>-0.74494015077452858</v>
      </c>
      <c r="K14" s="642">
        <f>'C2C'!K64</f>
        <v>379735932.54334736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109927537.37381519</v>
      </c>
      <c r="F16" s="637">
        <f t="shared" si="6"/>
        <v>11157820.700000001</v>
      </c>
      <c r="G16" s="637">
        <f t="shared" si="6"/>
        <v>136038988.43000001</v>
      </c>
      <c r="H16" s="637">
        <f t="shared" si="6"/>
        <v>73285024.915876806</v>
      </c>
      <c r="I16" s="47">
        <f t="shared" si="4"/>
        <v>62753963.514123201</v>
      </c>
      <c r="J16" s="200">
        <f t="shared" si="5"/>
        <v>0.85629995467911613</v>
      </c>
      <c r="K16" s="641">
        <f>SUM(K17:K19)</f>
        <v>109927537.37381519</v>
      </c>
      <c r="L16" s="100"/>
      <c r="Q16" s="69"/>
      <c r="R16" s="70"/>
    </row>
    <row r="17" spans="1:18" ht="12.75" customHeight="1" x14ac:dyDescent="0.25">
      <c r="A17" s="416" t="s">
        <v>114</v>
      </c>
      <c r="B17" s="415"/>
      <c r="C17" s="642">
        <f>'C2C'!C76</f>
        <v>0</v>
      </c>
      <c r="D17" s="670">
        <f>'C2C'!D76</f>
        <v>41022287.158399999</v>
      </c>
      <c r="E17" s="408">
        <f>'C2C'!E76</f>
        <v>44026390.158399999</v>
      </c>
      <c r="F17" s="408">
        <f>'C2C'!F76</f>
        <v>788207.68</v>
      </c>
      <c r="G17" s="408">
        <f>'C2C'!G76</f>
        <v>2463836.7999999998</v>
      </c>
      <c r="H17" s="408">
        <f>'C2C'!H76</f>
        <v>29350926.772266667</v>
      </c>
      <c r="I17" s="47">
        <f t="shared" si="4"/>
        <v>-26887089.972266667</v>
      </c>
      <c r="J17" s="200">
        <f t="shared" si="5"/>
        <v>-0.91605591131357222</v>
      </c>
      <c r="K17" s="642">
        <f>'C2C'!K76</f>
        <v>44026390.158399999</v>
      </c>
      <c r="L17" s="100"/>
      <c r="Q17" s="69"/>
      <c r="R17" s="70"/>
    </row>
    <row r="18" spans="1:18" ht="12.75" customHeight="1" x14ac:dyDescent="0.25">
      <c r="A18" s="416" t="s">
        <v>115</v>
      </c>
      <c r="B18" s="415"/>
      <c r="C18" s="642">
        <f>'C2C'!C87</f>
        <v>0</v>
      </c>
      <c r="D18" s="670">
        <f>'C2C'!D87</f>
        <v>65792799.755315199</v>
      </c>
      <c r="E18" s="408">
        <f>'C2C'!E87</f>
        <v>65792799.755315199</v>
      </c>
      <c r="F18" s="408">
        <f>'C2C'!F87</f>
        <v>10354363.020000001</v>
      </c>
      <c r="G18" s="408">
        <f>'C2C'!G87</f>
        <v>133531151.63</v>
      </c>
      <c r="H18" s="408">
        <f>'C2C'!H87</f>
        <v>43861866.503543466</v>
      </c>
      <c r="I18" s="47">
        <f t="shared" si="4"/>
        <v>89669285.126456529</v>
      </c>
      <c r="J18" s="200">
        <f t="shared" si="5"/>
        <v>2.044356345829752</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15250</v>
      </c>
      <c r="G19" s="408">
        <f>'C2C'!G92</f>
        <v>44000</v>
      </c>
      <c r="H19" s="408">
        <f>'C2C'!H92</f>
        <v>72231.64006666666</v>
      </c>
      <c r="I19" s="47">
        <f t="shared" si="4"/>
        <v>-28231.64006666666</v>
      </c>
      <c r="J19" s="200">
        <f t="shared" si="5"/>
        <v>-0.39084866466565182</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284348095.40000004</v>
      </c>
      <c r="G20" s="637">
        <f t="shared" si="7"/>
        <v>2689161827.2199998</v>
      </c>
      <c r="H20" s="637">
        <f t="shared" si="7"/>
        <v>2887718631.3450122</v>
      </c>
      <c r="I20" s="47">
        <f t="shared" si="7"/>
        <v>-198556804.12501222</v>
      </c>
      <c r="J20" s="200">
        <f t="shared" si="2"/>
        <v>-6.8759054975009962E-2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180394115.34999999</v>
      </c>
      <c r="G21" s="408">
        <f>'C2C'!G100</f>
        <v>1578945734.02</v>
      </c>
      <c r="H21" s="408">
        <f>'C2C'!H100</f>
        <v>1770001872.6137905</v>
      </c>
      <c r="I21" s="47">
        <f>G21-H21</f>
        <v>-191056138.59379053</v>
      </c>
      <c r="J21" s="200">
        <f t="shared" si="2"/>
        <v>-0.10794120704045065</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72683885.469999999</v>
      </c>
      <c r="G22" s="408">
        <f>'C2C'!G104</f>
        <v>811266621.88999999</v>
      </c>
      <c r="H22" s="408">
        <f>'C2C'!H104</f>
        <v>835449433.33411455</v>
      </c>
      <c r="I22" s="47">
        <f>G22-H22</f>
        <v>-24182811.444114566</v>
      </c>
      <c r="J22" s="200">
        <f t="shared" si="2"/>
        <v>-2.8945870904006382E-2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19741285.16</v>
      </c>
      <c r="G23" s="672">
        <f>'C2C'!G108</f>
        <v>191355224.21000001</v>
      </c>
      <c r="H23" s="672">
        <f>'C2C'!H108</f>
        <v>115694813.26788218</v>
      </c>
      <c r="I23" s="47">
        <f>G23-H23</f>
        <v>75660410.942117825</v>
      </c>
      <c r="J23" s="200">
        <f t="shared" si="2"/>
        <v>0.65396545277213192</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11528809.42</v>
      </c>
      <c r="G24" s="408">
        <f>'C2C'!G113</f>
        <v>107594247.09999999</v>
      </c>
      <c r="H24" s="408">
        <f>'C2C'!H113</f>
        <v>166572512.12922493</v>
      </c>
      <c r="I24" s="47">
        <f>G24-H24</f>
        <v>-58978265.029224932</v>
      </c>
      <c r="J24" s="200">
        <f t="shared" si="2"/>
        <v>-0.35406961373957252</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2649383.09</v>
      </c>
      <c r="G25" s="637">
        <f>'C2C'!G118</f>
        <v>18580186.879999999</v>
      </c>
      <c r="H25" s="637">
        <f>'C2C'!H118</f>
        <v>42407267.124000005</v>
      </c>
      <c r="I25" s="102">
        <f>G25-H25</f>
        <v>-23827080.244000006</v>
      </c>
      <c r="J25" s="713">
        <f t="shared" si="2"/>
        <v>-0.561863139502222</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6587607631.8720646</v>
      </c>
      <c r="F26" s="545">
        <f t="shared" si="8"/>
        <v>417508224.14000005</v>
      </c>
      <c r="G26" s="545">
        <f t="shared" si="8"/>
        <v>4110324701.79</v>
      </c>
      <c r="H26" s="545">
        <f t="shared" si="8"/>
        <v>4391738421.2480431</v>
      </c>
      <c r="I26" s="545">
        <f t="shared" si="8"/>
        <v>-281413719.45804334</v>
      </c>
      <c r="J26" s="599">
        <f t="shared" si="2"/>
        <v>-6.4077978346003414E-2</v>
      </c>
      <c r="K26" s="597">
        <f>K6+K10+K16+K20+K25</f>
        <v>6587607631.8720646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1405319174.0330372</v>
      </c>
      <c r="F29" s="637">
        <f t="shared" si="9"/>
        <v>61886912.089999981</v>
      </c>
      <c r="G29" s="637">
        <f t="shared" si="9"/>
        <v>638449202.9799999</v>
      </c>
      <c r="H29" s="637">
        <f t="shared" si="9"/>
        <v>936879449.35535812</v>
      </c>
      <c r="I29" s="47">
        <f t="shared" ref="I29:I48" si="10">G29-H29</f>
        <v>-298430246.37535822</v>
      </c>
      <c r="J29" s="200">
        <f>IF(I29=0,"",I29/H29)</f>
        <v>-0.31853644199443176</v>
      </c>
      <c r="K29" s="641">
        <f>SUM(K30:K32)</f>
        <v>1405319174.0330372</v>
      </c>
      <c r="L29" s="100"/>
      <c r="Q29" s="69"/>
    </row>
    <row r="30" spans="1:18" ht="12.75" customHeight="1" x14ac:dyDescent="0.25">
      <c r="A30" s="416" t="s">
        <v>108</v>
      </c>
      <c r="B30" s="428"/>
      <c r="C30" s="642">
        <f>'C2C'!C129</f>
        <v>0</v>
      </c>
      <c r="D30" s="670">
        <f>'C2C'!D129</f>
        <v>137732466.40184778</v>
      </c>
      <c r="E30" s="408">
        <f>'C2C'!E129</f>
        <v>138609982.7278536</v>
      </c>
      <c r="F30" s="408">
        <f>'C2C'!F129</f>
        <v>8318334.4799999986</v>
      </c>
      <c r="G30" s="408">
        <f>'C2C'!G129</f>
        <v>68488497.030000001</v>
      </c>
      <c r="H30" s="408">
        <f>'C2C'!H129</f>
        <v>92406655.151902393</v>
      </c>
      <c r="I30" s="47">
        <f t="shared" si="10"/>
        <v>-23918158.121902391</v>
      </c>
      <c r="J30" s="200">
        <f t="shared" ref="J30:J49" si="11">IF(I30=0,"",I30/H30)</f>
        <v>-0.25883588235700772</v>
      </c>
      <c r="K30" s="642">
        <f>'C2C'!K129</f>
        <v>138609982.7278536</v>
      </c>
      <c r="L30" s="100"/>
      <c r="Q30" s="69"/>
    </row>
    <row r="31" spans="1:18" ht="12.75" customHeight="1" x14ac:dyDescent="0.25">
      <c r="A31" s="416" t="s">
        <v>1123</v>
      </c>
      <c r="B31" s="428"/>
      <c r="C31" s="643">
        <f>'C2C'!C132</f>
        <v>0</v>
      </c>
      <c r="D31" s="671">
        <f>'C2C'!D132</f>
        <v>1194545745.0547059</v>
      </c>
      <c r="E31" s="672">
        <f>'C2C'!E132</f>
        <v>1244452658.5200856</v>
      </c>
      <c r="F31" s="672">
        <f>'C2C'!F132</f>
        <v>51562032.709999986</v>
      </c>
      <c r="G31" s="672">
        <f>'C2C'!G132</f>
        <v>559178285.71999991</v>
      </c>
      <c r="H31" s="672">
        <f>'C2C'!H132</f>
        <v>829635105.68005705</v>
      </c>
      <c r="I31" s="47">
        <f t="shared" si="10"/>
        <v>-270456819.96005714</v>
      </c>
      <c r="J31" s="200">
        <f t="shared" si="11"/>
        <v>-0.32599490801243519</v>
      </c>
      <c r="K31" s="673">
        <f>'C2C'!K132</f>
        <v>1244452658.5200856</v>
      </c>
      <c r="L31" s="100"/>
      <c r="Q31" s="69"/>
    </row>
    <row r="32" spans="1:18" ht="12.75" customHeight="1" x14ac:dyDescent="0.25">
      <c r="A32" s="416" t="s">
        <v>1134</v>
      </c>
      <c r="B32" s="428"/>
      <c r="C32" s="642">
        <f>'C2C'!C146</f>
        <v>0</v>
      </c>
      <c r="D32" s="670">
        <f>'C2C'!D146</f>
        <v>21986532.785097998</v>
      </c>
      <c r="E32" s="408">
        <f>'C2C'!E146</f>
        <v>22256532.785097998</v>
      </c>
      <c r="F32" s="408">
        <f>'C2C'!F146</f>
        <v>2006544.9</v>
      </c>
      <c r="G32" s="408">
        <f>'C2C'!G146</f>
        <v>10782420.229999999</v>
      </c>
      <c r="H32" s="408">
        <f>'C2C'!H146</f>
        <v>14837688.523398666</v>
      </c>
      <c r="I32" s="47">
        <f t="shared" si="10"/>
        <v>-4055268.2933986671</v>
      </c>
      <c r="J32" s="200">
        <f t="shared" si="11"/>
        <v>-0.27330862802542388</v>
      </c>
      <c r="K32" s="642">
        <f>'C2C'!K146</f>
        <v>22256532.785097998</v>
      </c>
      <c r="L32" s="100"/>
      <c r="Q32" s="69"/>
    </row>
    <row r="33" spans="1:17" ht="12.75" customHeight="1" x14ac:dyDescent="0.25">
      <c r="A33" s="414" t="s">
        <v>109</v>
      </c>
      <c r="B33" s="428"/>
      <c r="C33" s="641">
        <f t="shared" ref="C33:H33" si="12">SUM(C34:C38)</f>
        <v>0</v>
      </c>
      <c r="D33" s="669">
        <f t="shared" si="12"/>
        <v>440067727.15977156</v>
      </c>
      <c r="E33" s="637">
        <f t="shared" si="12"/>
        <v>533334006.71673155</v>
      </c>
      <c r="F33" s="637">
        <f t="shared" si="12"/>
        <v>39872036.289999992</v>
      </c>
      <c r="G33" s="637">
        <f t="shared" si="12"/>
        <v>317536695.48000002</v>
      </c>
      <c r="H33" s="637">
        <f t="shared" si="12"/>
        <v>355556004.47782105</v>
      </c>
      <c r="I33" s="47">
        <f t="shared" si="10"/>
        <v>-38019308.997821033</v>
      </c>
      <c r="J33" s="200">
        <f t="shared" si="11"/>
        <v>-0.10692917154825494</v>
      </c>
      <c r="K33" s="641">
        <f>SUM(K34:K38)</f>
        <v>533334006.71673155</v>
      </c>
      <c r="L33" s="100"/>
      <c r="Q33" s="69"/>
    </row>
    <row r="34" spans="1:17" ht="12.75" customHeight="1" x14ac:dyDescent="0.25">
      <c r="A34" s="416" t="s">
        <v>110</v>
      </c>
      <c r="B34" s="428"/>
      <c r="C34" s="642">
        <f>'C2C'!C149</f>
        <v>0</v>
      </c>
      <c r="D34" s="670">
        <f>'C2C'!D149</f>
        <v>128373725.79885694</v>
      </c>
      <c r="E34" s="408">
        <f>'C2C'!E149</f>
        <v>130889937.79885694</v>
      </c>
      <c r="F34" s="408">
        <f>'C2C'!F149</f>
        <v>11429155.739999998</v>
      </c>
      <c r="G34" s="408">
        <f>'C2C'!G149</f>
        <v>103822338.43999998</v>
      </c>
      <c r="H34" s="408">
        <f>'C2C'!H149</f>
        <v>87259958.532571286</v>
      </c>
      <c r="I34" s="47">
        <f t="shared" si="10"/>
        <v>16562379.907428697</v>
      </c>
      <c r="J34" s="200">
        <f t="shared" si="11"/>
        <v>0.18980503985967978</v>
      </c>
      <c r="K34" s="642">
        <f>'C2C'!K149</f>
        <v>130889937.79885694</v>
      </c>
      <c r="L34" s="100"/>
      <c r="Q34" s="69"/>
    </row>
    <row r="35" spans="1:17" ht="12.75" customHeight="1" x14ac:dyDescent="0.25">
      <c r="A35" s="416" t="s">
        <v>111</v>
      </c>
      <c r="B35" s="428"/>
      <c r="C35" s="642">
        <f>'C2C'!C171</f>
        <v>0</v>
      </c>
      <c r="D35" s="670">
        <f>'C2C'!D171</f>
        <v>114418472.68896006</v>
      </c>
      <c r="E35" s="408">
        <f>'C2C'!E171</f>
        <v>114548472.68896006</v>
      </c>
      <c r="F35" s="408">
        <f>'C2C'!F171</f>
        <v>11345380.330000002</v>
      </c>
      <c r="G35" s="408">
        <f>'C2C'!G171</f>
        <v>80949589.399999976</v>
      </c>
      <c r="H35" s="408">
        <f>'C2C'!H171</f>
        <v>76365648.459306717</v>
      </c>
      <c r="I35" s="47">
        <f t="shared" si="10"/>
        <v>4583940.9406932592</v>
      </c>
      <c r="J35" s="200">
        <f t="shared" si="11"/>
        <v>6.0026216409802678E-2</v>
      </c>
      <c r="K35" s="642">
        <f>'C2C'!K171</f>
        <v>114548472.68896006</v>
      </c>
      <c r="L35" s="100"/>
      <c r="Q35" s="69"/>
    </row>
    <row r="36" spans="1:17" ht="12.75" customHeight="1" x14ac:dyDescent="0.25">
      <c r="A36" s="416" t="s">
        <v>112</v>
      </c>
      <c r="B36" s="426"/>
      <c r="C36" s="642">
        <f>'C2C'!C177</f>
        <v>0</v>
      </c>
      <c r="D36" s="670">
        <f>'C2C'!D177</f>
        <v>106871795.2822189</v>
      </c>
      <c r="E36" s="408">
        <f>'C2C'!E177</f>
        <v>140511795.83917889</v>
      </c>
      <c r="F36" s="408">
        <f>'C2C'!F177</f>
        <v>12002316.309999999</v>
      </c>
      <c r="G36" s="408">
        <f>'C2C'!G177</f>
        <v>83627100.680000007</v>
      </c>
      <c r="H36" s="408">
        <f>'C2C'!H177</f>
        <v>93674530.559452593</v>
      </c>
      <c r="I36" s="47">
        <f t="shared" si="10"/>
        <v>-10047429.879452586</v>
      </c>
      <c r="J36" s="200">
        <f t="shared" si="11"/>
        <v>-0.10725892960921501</v>
      </c>
      <c r="K36" s="642">
        <f>'C2C'!K177</f>
        <v>140511795.83917889</v>
      </c>
      <c r="L36" s="100"/>
      <c r="Q36" s="70"/>
    </row>
    <row r="37" spans="1:17" ht="12.75" customHeight="1" x14ac:dyDescent="0.25">
      <c r="A37" s="416" t="s">
        <v>711</v>
      </c>
      <c r="B37" s="426"/>
      <c r="C37" s="642">
        <f>'C2C'!C186</f>
        <v>0</v>
      </c>
      <c r="D37" s="670">
        <f>'C2C'!D186</f>
        <v>90129848.361797929</v>
      </c>
      <c r="E37" s="408">
        <f>'C2C'!E186</f>
        <v>147109915.36179793</v>
      </c>
      <c r="F37" s="408">
        <f>'C2C'!F186</f>
        <v>4348104.3300000019</v>
      </c>
      <c r="G37" s="408">
        <f>'C2C'!G186</f>
        <v>42690577.299999997</v>
      </c>
      <c r="H37" s="408">
        <f>'C2C'!H186</f>
        <v>98073276.907865286</v>
      </c>
      <c r="I37" s="47">
        <f t="shared" si="10"/>
        <v>-55382699.607865289</v>
      </c>
      <c r="J37" s="200">
        <f t="shared" si="11"/>
        <v>-0.56470734285644841</v>
      </c>
      <c r="K37" s="642">
        <f>'C2C'!K186</f>
        <v>147109915.36179793</v>
      </c>
      <c r="L37" s="100"/>
      <c r="Q37" s="70"/>
    </row>
    <row r="38" spans="1:17" ht="12.75" customHeight="1" x14ac:dyDescent="0.25">
      <c r="A38" s="416" t="s">
        <v>610</v>
      </c>
      <c r="B38" s="426"/>
      <c r="C38" s="643">
        <f>'C2C'!C189</f>
        <v>0</v>
      </c>
      <c r="D38" s="671">
        <f>'C2C'!D189</f>
        <v>273885.02793777513</v>
      </c>
      <c r="E38" s="672">
        <f>'C2C'!E189</f>
        <v>273885.02793777513</v>
      </c>
      <c r="F38" s="672">
        <f>'C2C'!F189</f>
        <v>747079.58000000007</v>
      </c>
      <c r="G38" s="672">
        <f>'C2C'!G189</f>
        <v>6447089.6600000011</v>
      </c>
      <c r="H38" s="672">
        <f>'C2C'!H189</f>
        <v>182590.01862518341</v>
      </c>
      <c r="I38" s="47">
        <f t="shared" si="10"/>
        <v>6264499.641374818</v>
      </c>
      <c r="J38" s="200">
        <f t="shared" si="11"/>
        <v>34.309102373413076</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294605680.61754364</v>
      </c>
      <c r="F39" s="637">
        <f t="shared" si="13"/>
        <v>33458092.649999991</v>
      </c>
      <c r="G39" s="637">
        <f t="shared" si="13"/>
        <v>261809480.21999997</v>
      </c>
      <c r="H39" s="637">
        <f t="shared" si="13"/>
        <v>196403787.07836244</v>
      </c>
      <c r="I39" s="47">
        <f t="shared" si="10"/>
        <v>65405693.141637534</v>
      </c>
      <c r="J39" s="200">
        <f t="shared" si="11"/>
        <v>0.33301645612129444</v>
      </c>
      <c r="K39" s="641">
        <f>SUM(K40:K42)</f>
        <v>294605680.61754364</v>
      </c>
      <c r="L39" s="100"/>
      <c r="Q39" s="70"/>
    </row>
    <row r="40" spans="1:17" ht="12.75" customHeight="1" x14ac:dyDescent="0.25">
      <c r="A40" s="416" t="s">
        <v>114</v>
      </c>
      <c r="B40" s="426"/>
      <c r="C40" s="642">
        <f>'C2C'!C198</f>
        <v>0</v>
      </c>
      <c r="D40" s="670">
        <f>'C2C'!D198</f>
        <v>92239503.875528902</v>
      </c>
      <c r="E40" s="408">
        <f>'C2C'!E198</f>
        <v>94069123.875528887</v>
      </c>
      <c r="F40" s="408">
        <f>'C2C'!F198</f>
        <v>5515965.1400000015</v>
      </c>
      <c r="G40" s="408">
        <f>'C2C'!G198</f>
        <v>43266849.140000015</v>
      </c>
      <c r="H40" s="408">
        <f>'C2C'!H198</f>
        <v>62712749.250352591</v>
      </c>
      <c r="I40" s="47">
        <f t="shared" si="10"/>
        <v>-19445900.110352576</v>
      </c>
      <c r="J40" s="200">
        <f t="shared" si="11"/>
        <v>-0.31007889691972396</v>
      </c>
      <c r="K40" s="642">
        <f>'C2C'!K198</f>
        <v>94069123.875528887</v>
      </c>
      <c r="L40" s="100"/>
      <c r="Q40" s="70"/>
    </row>
    <row r="41" spans="1:17" ht="12.75" customHeight="1" x14ac:dyDescent="0.25">
      <c r="A41" s="416" t="s">
        <v>115</v>
      </c>
      <c r="B41" s="426"/>
      <c r="C41" s="642">
        <f>'C2C'!C209</f>
        <v>0</v>
      </c>
      <c r="D41" s="670">
        <f>'C2C'!D209</f>
        <v>171068986.74871668</v>
      </c>
      <c r="E41" s="408">
        <f>'C2C'!E209</f>
        <v>175671731.78281486</v>
      </c>
      <c r="F41" s="408">
        <f>'C2C'!F209</f>
        <v>26215457.079999991</v>
      </c>
      <c r="G41" s="408">
        <f>'C2C'!G209</f>
        <v>204823179.96999997</v>
      </c>
      <c r="H41" s="408">
        <f>'C2C'!H209</f>
        <v>117114487.8552099</v>
      </c>
      <c r="I41" s="47">
        <f t="shared" si="10"/>
        <v>87708692.114790067</v>
      </c>
      <c r="J41" s="200">
        <f t="shared" si="11"/>
        <v>0.74891410722151996</v>
      </c>
      <c r="K41" s="642">
        <f>'C2C'!K209</f>
        <v>175671731.78281486</v>
      </c>
      <c r="L41" s="100"/>
      <c r="Q41" s="70"/>
    </row>
    <row r="42" spans="1:17" ht="12.75" customHeight="1" x14ac:dyDescent="0.25">
      <c r="A42" s="416" t="s">
        <v>116</v>
      </c>
      <c r="B42" s="426"/>
      <c r="C42" s="642">
        <f>'C2C'!C214</f>
        <v>0</v>
      </c>
      <c r="D42" s="670">
        <f>'C2C'!D214</f>
        <v>24864824.959199883</v>
      </c>
      <c r="E42" s="408">
        <f>'C2C'!E214</f>
        <v>24864824.959199883</v>
      </c>
      <c r="F42" s="408">
        <f>'C2C'!F214</f>
        <v>1726670.43</v>
      </c>
      <c r="G42" s="408">
        <f>'C2C'!G214</f>
        <v>13719451.109999999</v>
      </c>
      <c r="H42" s="408">
        <f>'C2C'!H214</f>
        <v>16576549.972799923</v>
      </c>
      <c r="I42" s="47">
        <f t="shared" si="10"/>
        <v>-2857098.8627999239</v>
      </c>
      <c r="J42" s="200">
        <f t="shared" si="11"/>
        <v>-0.17235787105809539</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3358591185.4474902</v>
      </c>
      <c r="F43" s="637">
        <f t="shared" si="14"/>
        <v>237377219.08000013</v>
      </c>
      <c r="G43" s="637">
        <f t="shared" si="14"/>
        <v>2305181820.9000001</v>
      </c>
      <c r="H43" s="637">
        <f t="shared" si="14"/>
        <v>2239060790.298327</v>
      </c>
      <c r="I43" s="47">
        <f t="shared" si="14"/>
        <v>66121030.601673141</v>
      </c>
      <c r="J43" s="200">
        <f t="shared" si="11"/>
        <v>2.9530699161081437E-2</v>
      </c>
      <c r="K43" s="641">
        <f>SUM(K44:K47)</f>
        <v>3358591185.4474902</v>
      </c>
      <c r="L43" s="100"/>
      <c r="Q43" s="70"/>
    </row>
    <row r="44" spans="1:17" ht="12.75" customHeight="1" x14ac:dyDescent="0.25">
      <c r="A44" s="416" t="s">
        <v>1191</v>
      </c>
      <c r="B44" s="426"/>
      <c r="C44" s="642">
        <f>'C2C'!C222</f>
        <v>0</v>
      </c>
      <c r="D44" s="670">
        <f>'C2C'!D222</f>
        <v>2291332272.7237678</v>
      </c>
      <c r="E44" s="408">
        <f>'C2C'!E222</f>
        <v>2205525042.7237678</v>
      </c>
      <c r="F44" s="408">
        <f>'C2C'!F222</f>
        <v>142345921.69000012</v>
      </c>
      <c r="G44" s="408">
        <f>'C2C'!G222</f>
        <v>1474095054.7400002</v>
      </c>
      <c r="H44" s="408">
        <f>'C2C'!H222</f>
        <v>1470350028.4825118</v>
      </c>
      <c r="I44" s="47">
        <f t="shared" si="10"/>
        <v>3745026.2574884892</v>
      </c>
      <c r="J44" s="200">
        <f t="shared" si="11"/>
        <v>2.547030424689812E-3</v>
      </c>
      <c r="K44" s="642">
        <f>'C2C'!K222</f>
        <v>2205525042.7237678</v>
      </c>
      <c r="L44" s="100"/>
      <c r="Q44" s="70"/>
    </row>
    <row r="45" spans="1:17" ht="12.75" customHeight="1" x14ac:dyDescent="0.25">
      <c r="A45" s="416" t="s">
        <v>1195</v>
      </c>
      <c r="B45" s="426"/>
      <c r="C45" s="642">
        <f>'C2C'!C226</f>
        <v>0</v>
      </c>
      <c r="D45" s="670">
        <f>'C2C'!D226</f>
        <v>0</v>
      </c>
      <c r="E45" s="408">
        <f>'C2C'!E226</f>
        <v>31023406.77</v>
      </c>
      <c r="F45" s="408">
        <f>'C2C'!F226</f>
        <v>63434528.260000013</v>
      </c>
      <c r="G45" s="408">
        <f>'C2C'!G226</f>
        <v>590253103.04999983</v>
      </c>
      <c r="H45" s="408">
        <f>'C2C'!H226</f>
        <v>20682271.18</v>
      </c>
      <c r="I45" s="47">
        <f t="shared" si="10"/>
        <v>569570831.86999989</v>
      </c>
      <c r="J45" s="200">
        <f t="shared" si="11"/>
        <v>27.539085379597072</v>
      </c>
      <c r="K45" s="642">
        <f>'C2C'!K226</f>
        <v>31023406.77</v>
      </c>
      <c r="L45" s="100"/>
      <c r="Q45" s="70"/>
    </row>
    <row r="46" spans="1:17" ht="12.75" customHeight="1" x14ac:dyDescent="0.25">
      <c r="A46" s="416" t="s">
        <v>118</v>
      </c>
      <c r="B46" s="426"/>
      <c r="C46" s="643">
        <f>'C2C'!C230</f>
        <v>0</v>
      </c>
      <c r="D46" s="671">
        <f>'C2C'!D230</f>
        <v>931929869.0260967</v>
      </c>
      <c r="E46" s="672">
        <f>'C2C'!E230</f>
        <v>995608331.02609658</v>
      </c>
      <c r="F46" s="672">
        <f>'C2C'!F230</f>
        <v>23131633.190000005</v>
      </c>
      <c r="G46" s="672">
        <f>'C2C'!G230</f>
        <v>163308776.53999993</v>
      </c>
      <c r="H46" s="672">
        <f>'C2C'!H230</f>
        <v>663738887.35073113</v>
      </c>
      <c r="I46" s="47">
        <f t="shared" si="10"/>
        <v>-500430110.81073117</v>
      </c>
      <c r="J46" s="200">
        <f t="shared" si="11"/>
        <v>-0.75395629267431374</v>
      </c>
      <c r="K46" s="673">
        <f>'C2C'!K230</f>
        <v>995608331.02609658</v>
      </c>
      <c r="L46" s="100"/>
      <c r="Q46" s="70"/>
    </row>
    <row r="47" spans="1:17" ht="12.75" customHeight="1" x14ac:dyDescent="0.25">
      <c r="A47" s="416" t="s">
        <v>119</v>
      </c>
      <c r="B47" s="426"/>
      <c r="C47" s="642">
        <f>'C2C'!C235</f>
        <v>0</v>
      </c>
      <c r="D47" s="670">
        <f>'C2C'!D235</f>
        <v>129784404.92762612</v>
      </c>
      <c r="E47" s="408">
        <f>'C2C'!E235</f>
        <v>126434404.92762612</v>
      </c>
      <c r="F47" s="408">
        <f>'C2C'!F235</f>
        <v>8465135.9399999995</v>
      </c>
      <c r="G47" s="408">
        <f>'C2C'!G235</f>
        <v>77524886.570000008</v>
      </c>
      <c r="H47" s="408">
        <f>'C2C'!H235</f>
        <v>84289603.285084069</v>
      </c>
      <c r="I47" s="47">
        <f t="shared" si="10"/>
        <v>-6764716.715084061</v>
      </c>
      <c r="J47" s="200">
        <f t="shared" si="11"/>
        <v>-8.0255647807529168E-2</v>
      </c>
      <c r="K47" s="642">
        <f>'C2C'!K235</f>
        <v>126434404.92762612</v>
      </c>
      <c r="L47" s="100"/>
      <c r="Q47" s="70"/>
    </row>
    <row r="48" spans="1:17" ht="12.75" customHeight="1" x14ac:dyDescent="0.25">
      <c r="A48" s="414" t="s">
        <v>718</v>
      </c>
      <c r="B48" s="426"/>
      <c r="C48" s="641">
        <f>'C2C'!C240</f>
        <v>0</v>
      </c>
      <c r="D48" s="669">
        <f>'C2C'!D240</f>
        <v>81300979.882271051</v>
      </c>
      <c r="E48" s="637">
        <f>'C2C'!E240</f>
        <v>81300979.882271051</v>
      </c>
      <c r="F48" s="637">
        <f>'C2C'!F240</f>
        <v>5621254.4200000009</v>
      </c>
      <c r="G48" s="637">
        <f>'C2C'!G240</f>
        <v>39595234.979999997</v>
      </c>
      <c r="H48" s="637">
        <f>'C2C'!H240</f>
        <v>54200653.254847378</v>
      </c>
      <c r="I48" s="102">
        <f t="shared" si="10"/>
        <v>-14605418.274847381</v>
      </c>
      <c r="J48" s="713">
        <f t="shared" si="11"/>
        <v>-0.26946941407096714</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5673151026.697073</v>
      </c>
      <c r="F49" s="545">
        <f t="shared" si="15"/>
        <v>378215514.53000015</v>
      </c>
      <c r="G49" s="545">
        <f t="shared" si="15"/>
        <v>3562572434.5599999</v>
      </c>
      <c r="H49" s="545">
        <f t="shared" si="15"/>
        <v>3782100684.464716</v>
      </c>
      <c r="I49" s="545">
        <f t="shared" si="15"/>
        <v>-219528249.90471601</v>
      </c>
      <c r="J49" s="599">
        <f t="shared" si="11"/>
        <v>-5.8043999411873416E-2</v>
      </c>
      <c r="K49" s="720">
        <f>K29+K33+K39+K43+K48</f>
        <v>5673151026.697073</v>
      </c>
      <c r="L49" s="100"/>
      <c r="Q49" s="75"/>
    </row>
    <row r="50" spans="1:17" ht="12.75" customHeight="1" x14ac:dyDescent="0.25">
      <c r="A50" s="94" t="s">
        <v>893</v>
      </c>
      <c r="B50" s="429"/>
      <c r="C50" s="540">
        <f t="shared" ref="C50:H50" si="16">C26-C49</f>
        <v>0</v>
      </c>
      <c r="D50" s="640">
        <f t="shared" si="16"/>
        <v>927224369.32743168</v>
      </c>
      <c r="E50" s="634">
        <f t="shared" si="16"/>
        <v>914456605.17499161</v>
      </c>
      <c r="F50" s="634">
        <f t="shared" si="16"/>
        <v>39292709.609999895</v>
      </c>
      <c r="G50" s="634">
        <f t="shared" si="16"/>
        <v>547752267.23000002</v>
      </c>
      <c r="H50" s="634">
        <f t="shared" si="16"/>
        <v>609637736.7833271</v>
      </c>
      <c r="I50" s="634">
        <f>I26-I49</f>
        <v>-61885469.553327322</v>
      </c>
      <c r="J50" s="638">
        <f>IF(I50=0,"",I50/H50)</f>
        <v>-0.10151187470752356</v>
      </c>
      <c r="K50" s="639">
        <f>K26-K49</f>
        <v>914456605.17499161</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7" t="s">
        <v>1212</v>
      </c>
      <c r="B55" s="1047"/>
      <c r="C55" s="1047"/>
      <c r="D55" s="1047"/>
      <c r="E55" s="1047"/>
      <c r="F55" s="1047"/>
      <c r="G55" s="1047"/>
      <c r="H55" s="1047"/>
      <c r="I55" s="1047"/>
      <c r="J55" s="1047"/>
      <c r="K55" s="1047"/>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94" activePane="bottomRight" state="frozen"/>
      <selection pane="topRight"/>
      <selection pane="bottomLeft"/>
      <selection pane="bottomRight" activeCell="E254" sqref="E254"/>
    </sheetView>
  </sheetViews>
  <sheetFormatPr defaultColWidth="9.140625" defaultRowHeight="13.5" x14ac:dyDescent="0.25"/>
  <cols>
    <col min="1" max="1" width="38.85546875" style="25" customWidth="1"/>
    <col min="2" max="2" width="3" style="68" customWidth="1"/>
    <col min="3" max="5" width="9.28515625" style="25" customWidth="1"/>
    <col min="6" max="6" width="10.28515625" style="25" customWidth="1"/>
    <col min="7" max="7" width="11.5703125" style="25" customWidth="1"/>
    <col min="8"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6" t="str">
        <f>muni&amp; " - "&amp;S71A&amp; " - "&amp;date</f>
        <v>KZN225 Msunduzi - Table C2 Consolidated Monthly Budget Statement - Financial Performance (functional classification)  - M08 February</v>
      </c>
      <c r="B1" s="1046"/>
      <c r="C1" s="1046"/>
      <c r="D1" s="1046"/>
      <c r="E1" s="1046"/>
      <c r="F1" s="1046"/>
      <c r="G1" s="1046"/>
      <c r="H1" s="1046"/>
      <c r="I1" s="1046"/>
      <c r="J1" s="1046"/>
      <c r="K1" s="1046"/>
    </row>
    <row r="2" spans="1:12" ht="13.5" customHeight="1" x14ac:dyDescent="0.25">
      <c r="A2" s="1044" t="str">
        <f>desc</f>
        <v>Description</v>
      </c>
      <c r="B2" s="1042" t="str">
        <f>head27</f>
        <v>Ref</v>
      </c>
      <c r="C2" s="24" t="str">
        <f>Head1</f>
        <v>2019/20</v>
      </c>
      <c r="D2" s="231" t="str">
        <f>Head2</f>
        <v>Budget Year 2020/21</v>
      </c>
      <c r="E2" s="229"/>
      <c r="F2" s="229"/>
      <c r="G2" s="229"/>
      <c r="H2" s="229"/>
      <c r="I2" s="229"/>
      <c r="J2" s="229"/>
      <c r="K2" s="230"/>
    </row>
    <row r="3" spans="1:12" ht="25.5" x14ac:dyDescent="0.25">
      <c r="A3" s="1045"/>
      <c r="B3" s="1043"/>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111797338.61</v>
      </c>
      <c r="G6" s="605">
        <f t="shared" si="0"/>
        <v>1178752958.5400002</v>
      </c>
      <c r="H6" s="605">
        <f t="shared" si="0"/>
        <v>1107557668.2116773</v>
      </c>
      <c r="I6" s="632">
        <f>G6-H6</f>
        <v>71195290.328322887</v>
      </c>
      <c r="J6" s="633">
        <f>IF(I6=0,"",I6/H6)</f>
        <v>6.4281339357506018E-2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441774</v>
      </c>
      <c r="G7" s="608">
        <f t="shared" si="1"/>
        <v>2043006</v>
      </c>
      <c r="H7" s="608">
        <f t="shared" si="1"/>
        <v>2965020.0089333332</v>
      </c>
      <c r="I7" s="608">
        <f t="shared" ref="I7:I123" si="2">G7-H7</f>
        <v>-922014.00893333321</v>
      </c>
      <c r="J7" s="608">
        <f t="shared" ref="J7:J123" si="3">IF(I7=0,"",I7/H7)</f>
        <v>-0.3109638404312246</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v>441774</v>
      </c>
      <c r="G9" s="733">
        <v>2043006</v>
      </c>
      <c r="H9" s="733">
        <f>E9/12*8</f>
        <v>2965020.0089333332</v>
      </c>
      <c r="I9" s="408">
        <f t="shared" si="2"/>
        <v>-922014.00893333321</v>
      </c>
      <c r="J9" s="408">
        <f t="shared" si="3"/>
        <v>-0.3109638404312246</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111355564.61</v>
      </c>
      <c r="G10" s="608">
        <f t="shared" si="4"/>
        <v>1176709952.5400002</v>
      </c>
      <c r="H10" s="608">
        <f t="shared" si="4"/>
        <v>1104592648.202744</v>
      </c>
      <c r="I10" s="608">
        <f t="shared" ref="I10:I15" si="5">G10-H10</f>
        <v>72117304.337256193</v>
      </c>
      <c r="J10" s="608">
        <f t="shared" ref="J10:J15" si="6">IF(I10=0,"",I10/H10)</f>
        <v>6.5288597072048704E-2</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109074260.03</v>
      </c>
      <c r="G13" s="733">
        <v>1169641280.6300001</v>
      </c>
      <c r="H13" s="733">
        <f>E13/12*8</f>
        <v>1091766527.7450774</v>
      </c>
      <c r="I13" s="408">
        <f t="shared" si="5"/>
        <v>77874752.884922743</v>
      </c>
      <c r="J13" s="408">
        <f t="shared" si="6"/>
        <v>7.132912660893205E-2</v>
      </c>
      <c r="K13" s="735">
        <f>E13</f>
        <v>1637649791.6176159</v>
      </c>
      <c r="L13" s="100"/>
    </row>
    <row r="14" spans="1:12" x14ac:dyDescent="0.25">
      <c r="A14" s="695" t="s">
        <v>1127</v>
      </c>
      <c r="B14" s="415"/>
      <c r="C14" s="733"/>
      <c r="D14" s="733"/>
      <c r="E14" s="733">
        <v>0</v>
      </c>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1117433.42</v>
      </c>
      <c r="G15" s="733">
        <v>5660731.4800000004</v>
      </c>
      <c r="H15" s="733">
        <f>E15/12*8</f>
        <v>12653372.427266667</v>
      </c>
      <c r="I15" s="408">
        <f t="shared" si="5"/>
        <v>-6992640.9472666662</v>
      </c>
      <c r="J15" s="408">
        <f t="shared" si="6"/>
        <v>-0.55263061191483398</v>
      </c>
      <c r="K15" s="735">
        <f>E15</f>
        <v>18980058.640900001</v>
      </c>
      <c r="L15" s="100"/>
    </row>
    <row r="16" spans="1:12" x14ac:dyDescent="0.25">
      <c r="A16" s="695" t="s">
        <v>162</v>
      </c>
      <c r="B16" s="415"/>
      <c r="C16" s="733"/>
      <c r="D16" s="733">
        <v>2016.0139999999999</v>
      </c>
      <c r="E16" s="733">
        <v>2016.0139999999999</v>
      </c>
      <c r="F16" s="733"/>
      <c r="G16" s="733">
        <v>116.52</v>
      </c>
      <c r="H16" s="733">
        <f>E16/12*8</f>
        <v>1344.0093333333332</v>
      </c>
      <c r="I16" s="408">
        <f t="shared" ref="I16:I23" si="7">G16-H16</f>
        <v>-1227.4893333333332</v>
      </c>
      <c r="J16" s="408">
        <f t="shared" ref="J16:J23" si="8">IF(I16=0,"",I16/H16)</f>
        <v>-0.91330417348292225</v>
      </c>
      <c r="K16" s="735">
        <f>E16</f>
        <v>2016.0139999999999</v>
      </c>
      <c r="L16" s="100"/>
    </row>
    <row r="17" spans="1:12" x14ac:dyDescent="0.25">
      <c r="A17" s="695" t="s">
        <v>1128</v>
      </c>
      <c r="B17" s="415"/>
      <c r="C17" s="733"/>
      <c r="D17" s="733">
        <v>257106.03159999999</v>
      </c>
      <c r="E17" s="733">
        <v>257106.03159999999</v>
      </c>
      <c r="F17" s="733"/>
      <c r="G17" s="733"/>
      <c r="H17" s="733">
        <f>E17/12*8</f>
        <v>171404.02106666667</v>
      </c>
      <c r="I17" s="408">
        <f t="shared" si="7"/>
        <v>-171404.02106666667</v>
      </c>
      <c r="J17" s="408">
        <f t="shared" si="8"/>
        <v>-1</v>
      </c>
      <c r="K17" s="735">
        <f>E17</f>
        <v>257106.03159999999</v>
      </c>
      <c r="L17" s="100"/>
    </row>
    <row r="18" spans="1:12" ht="22.5" x14ac:dyDescent="0.25">
      <c r="A18" s="695" t="s">
        <v>1129</v>
      </c>
      <c r="B18" s="415"/>
      <c r="C18" s="733"/>
      <c r="D18" s="733"/>
      <c r="E18" s="733"/>
      <c r="F18" s="733"/>
      <c r="G18" s="733"/>
      <c r="H18" s="733"/>
      <c r="I18" s="408">
        <f t="shared" si="7"/>
        <v>0</v>
      </c>
      <c r="J18" s="408" t="str">
        <f t="shared" si="8"/>
        <v/>
      </c>
      <c r="K18" s="735"/>
      <c r="L18" s="100"/>
    </row>
    <row r="19" spans="1:12" x14ac:dyDescent="0.25">
      <c r="A19" s="695" t="s">
        <v>163</v>
      </c>
      <c r="B19" s="415"/>
      <c r="C19" s="733"/>
      <c r="D19" s="733"/>
      <c r="E19" s="733"/>
      <c r="F19" s="733">
        <v>1145623.6000000001</v>
      </c>
      <c r="G19" s="733">
        <v>1329747.25</v>
      </c>
      <c r="H19" s="733"/>
      <c r="I19" s="408">
        <f t="shared" si="7"/>
        <v>1329747.25</v>
      </c>
      <c r="J19" s="408" t="e">
        <f t="shared" si="8"/>
        <v>#DIV/0!</v>
      </c>
      <c r="K19" s="735"/>
      <c r="L19" s="100"/>
    </row>
    <row r="20" spans="1:12" x14ac:dyDescent="0.25">
      <c r="A20" s="695" t="s">
        <v>1130</v>
      </c>
      <c r="B20" s="415"/>
      <c r="C20" s="733"/>
      <c r="D20" s="733"/>
      <c r="E20" s="733"/>
      <c r="F20" s="733"/>
      <c r="G20" s="733"/>
      <c r="H20" s="733"/>
      <c r="I20" s="408">
        <f t="shared" si="7"/>
        <v>0</v>
      </c>
      <c r="J20" s="408" t="str">
        <f t="shared" si="8"/>
        <v/>
      </c>
      <c r="K20" s="735"/>
      <c r="L20" s="100"/>
    </row>
    <row r="21" spans="1:12" x14ac:dyDescent="0.25">
      <c r="A21" s="695" t="s">
        <v>1131</v>
      </c>
      <c r="B21" s="415"/>
      <c r="C21" s="733"/>
      <c r="D21" s="733"/>
      <c r="E21" s="733"/>
      <c r="F21" s="733"/>
      <c r="G21" s="733"/>
      <c r="H21" s="733"/>
      <c r="I21" s="408">
        <f t="shared" si="7"/>
        <v>0</v>
      </c>
      <c r="J21" s="408" t="str">
        <f t="shared" si="8"/>
        <v/>
      </c>
      <c r="K21" s="735"/>
      <c r="L21" s="100"/>
    </row>
    <row r="22" spans="1:12" x14ac:dyDescent="0.25">
      <c r="A22" s="695" t="s">
        <v>1132</v>
      </c>
      <c r="B22" s="415"/>
      <c r="C22" s="733"/>
      <c r="D22" s="733"/>
      <c r="E22" s="733"/>
      <c r="F22" s="733">
        <v>18247.560000000001</v>
      </c>
      <c r="G22" s="733">
        <v>78076.66</v>
      </c>
      <c r="H22" s="733"/>
      <c r="I22" s="408">
        <f t="shared" si="7"/>
        <v>78076.66</v>
      </c>
      <c r="J22" s="408" t="e">
        <f t="shared" si="8"/>
        <v>#DIV/0!</v>
      </c>
      <c r="K22" s="735"/>
      <c r="L22" s="100"/>
    </row>
    <row r="23" spans="1:12" x14ac:dyDescent="0.25">
      <c r="A23" s="695" t="s">
        <v>1133</v>
      </c>
      <c r="B23" s="415"/>
      <c r="C23" s="733"/>
      <c r="D23" s="733"/>
      <c r="E23" s="733"/>
      <c r="F23" s="733"/>
      <c r="G23" s="733"/>
      <c r="H23" s="733"/>
      <c r="I23" s="408">
        <f t="shared" si="7"/>
        <v>0</v>
      </c>
      <c r="J23" s="408" t="str">
        <f t="shared" si="8"/>
        <v/>
      </c>
      <c r="K23" s="735"/>
      <c r="L23" s="100"/>
    </row>
    <row r="24" spans="1:12" x14ac:dyDescent="0.25">
      <c r="A24" s="607" t="s">
        <v>1134</v>
      </c>
      <c r="B24" s="415"/>
      <c r="C24" s="608">
        <f t="shared" ref="C24:H24" si="9">SUM(C25:C25)</f>
        <v>0</v>
      </c>
      <c r="D24" s="608">
        <f t="shared" si="9"/>
        <v>0</v>
      </c>
      <c r="E24" s="608">
        <f t="shared" si="9"/>
        <v>0</v>
      </c>
      <c r="F24" s="608">
        <f t="shared" si="9"/>
        <v>0</v>
      </c>
      <c r="G24" s="608">
        <f t="shared" si="9"/>
        <v>0</v>
      </c>
      <c r="H24" s="608">
        <f t="shared" si="9"/>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0">D27+D49+D55+D64+D67</f>
        <v>369251054.47721577</v>
      </c>
      <c r="E26" s="605">
        <f t="shared" si="10"/>
        <v>421154744.47721577</v>
      </c>
      <c r="F26" s="605">
        <f t="shared" si="10"/>
        <v>7555586.3399999999</v>
      </c>
      <c r="G26" s="605">
        <f t="shared" si="10"/>
        <v>87790740.719999999</v>
      </c>
      <c r="H26" s="605">
        <f t="shared" si="10"/>
        <v>280769829.65147722</v>
      </c>
      <c r="I26" s="605">
        <f t="shared" si="2"/>
        <v>-192979088.93147722</v>
      </c>
      <c r="J26" s="605">
        <f t="shared" si="3"/>
        <v>-0.68732131643568806</v>
      </c>
      <c r="K26" s="606">
        <f t="shared" si="10"/>
        <v>421154744.47721577</v>
      </c>
      <c r="L26" s="100"/>
    </row>
    <row r="27" spans="1:12" x14ac:dyDescent="0.25">
      <c r="A27" s="607" t="s">
        <v>110</v>
      </c>
      <c r="B27" s="415"/>
      <c r="C27" s="611">
        <f t="shared" ref="C27:H27" si="11">SUM(C28:C48)</f>
        <v>0</v>
      </c>
      <c r="D27" s="611">
        <f t="shared" si="11"/>
        <v>26242986.682700001</v>
      </c>
      <c r="E27" s="611">
        <f t="shared" si="11"/>
        <v>26648021.682700001</v>
      </c>
      <c r="F27" s="611">
        <f t="shared" si="11"/>
        <v>764037.67999999993</v>
      </c>
      <c r="G27" s="611">
        <f t="shared" si="11"/>
        <v>16898750.98</v>
      </c>
      <c r="H27" s="611">
        <f t="shared" si="11"/>
        <v>17765347.788466666</v>
      </c>
      <c r="I27" s="611">
        <f t="shared" si="2"/>
        <v>-866596.80846666545</v>
      </c>
      <c r="J27" s="611">
        <f t="shared" si="3"/>
        <v>-4.8780176936882906E-2</v>
      </c>
      <c r="K27" s="611">
        <f>SUM(K28:K48)</f>
        <v>26648021.682700001</v>
      </c>
      <c r="L27" s="100"/>
    </row>
    <row r="28" spans="1:12" x14ac:dyDescent="0.25">
      <c r="A28" s="695" t="s">
        <v>165</v>
      </c>
      <c r="B28" s="415"/>
      <c r="C28" s="733"/>
      <c r="D28" s="733"/>
      <c r="E28" s="733"/>
      <c r="F28" s="733"/>
      <c r="G28" s="733"/>
      <c r="H28" s="733"/>
      <c r="I28" s="408">
        <f t="shared" ref="I28:I34" si="12">G28-H28</f>
        <v>0</v>
      </c>
      <c r="J28" s="408" t="str">
        <f t="shared" ref="J28:J34" si="13">IF(I28=0,"",I28/H28)</f>
        <v/>
      </c>
      <c r="K28" s="735"/>
      <c r="L28" s="100"/>
    </row>
    <row r="29" spans="1:12" x14ac:dyDescent="0.25">
      <c r="A29" s="695" t="s">
        <v>712</v>
      </c>
      <c r="B29" s="415"/>
      <c r="C29" s="733"/>
      <c r="D29" s="733"/>
      <c r="E29" s="733"/>
      <c r="F29" s="733"/>
      <c r="G29" s="733"/>
      <c r="H29" s="733"/>
      <c r="I29" s="408">
        <f t="shared" si="12"/>
        <v>0</v>
      </c>
      <c r="J29" s="408" t="str">
        <f t="shared" si="13"/>
        <v/>
      </c>
      <c r="K29" s="735"/>
      <c r="L29" s="100"/>
    </row>
    <row r="30" spans="1:12" x14ac:dyDescent="0.25">
      <c r="A30" s="695" t="s">
        <v>1137</v>
      </c>
      <c r="B30" s="415"/>
      <c r="C30" s="733"/>
      <c r="D30" s="733"/>
      <c r="E30" s="733"/>
      <c r="F30" s="733"/>
      <c r="G30" s="733"/>
      <c r="H30" s="733"/>
      <c r="I30" s="408">
        <f t="shared" si="12"/>
        <v>0</v>
      </c>
      <c r="J30" s="408" t="str">
        <f t="shared" si="13"/>
        <v/>
      </c>
      <c r="K30" s="735"/>
      <c r="L30" s="100"/>
    </row>
    <row r="31" spans="1:12" ht="22.5" x14ac:dyDescent="0.25">
      <c r="A31" s="695" t="s">
        <v>1138</v>
      </c>
      <c r="B31" s="415"/>
      <c r="C31" s="733"/>
      <c r="D31" s="733">
        <v>3523188.2817999995</v>
      </c>
      <c r="E31" s="733">
        <v>3523188.2817999995</v>
      </c>
      <c r="F31" s="733">
        <v>429075.26</v>
      </c>
      <c r="G31" s="733">
        <v>3517075.19</v>
      </c>
      <c r="H31" s="733">
        <f>E31/12*8</f>
        <v>2348792.1878666664</v>
      </c>
      <c r="I31" s="408">
        <f t="shared" si="12"/>
        <v>1168283.0021333336</v>
      </c>
      <c r="J31" s="408">
        <f t="shared" si="13"/>
        <v>0.49739734667392949</v>
      </c>
      <c r="K31" s="735">
        <f>E31</f>
        <v>3523188.2817999995</v>
      </c>
      <c r="L31" s="100"/>
    </row>
    <row r="32" spans="1:12" x14ac:dyDescent="0.25">
      <c r="A32" s="695" t="s">
        <v>1139</v>
      </c>
      <c r="B32" s="415"/>
      <c r="C32" s="733"/>
      <c r="D32" s="733"/>
      <c r="E32" s="733">
        <v>0</v>
      </c>
      <c r="F32" s="733"/>
      <c r="G32" s="733"/>
      <c r="H32" s="733"/>
      <c r="I32" s="408">
        <f t="shared" si="12"/>
        <v>0</v>
      </c>
      <c r="J32" s="408" t="str">
        <f t="shared" si="13"/>
        <v/>
      </c>
      <c r="K32" s="735"/>
      <c r="L32" s="100"/>
    </row>
    <row r="33" spans="1:12" x14ac:dyDescent="0.25">
      <c r="A33" s="695" t="s">
        <v>1140</v>
      </c>
      <c r="B33" s="415"/>
      <c r="C33" s="733"/>
      <c r="D33" s="733">
        <v>1045798.4008999999</v>
      </c>
      <c r="E33" s="733">
        <v>1045798.4008999999</v>
      </c>
      <c r="F33" s="733">
        <v>390015.43</v>
      </c>
      <c r="G33" s="733">
        <v>1839262.47</v>
      </c>
      <c r="H33" s="733">
        <f>E33/12*8</f>
        <v>697198.93393333326</v>
      </c>
      <c r="I33" s="408">
        <f t="shared" si="12"/>
        <v>1142063.5360666667</v>
      </c>
      <c r="J33" s="408">
        <f t="shared" si="13"/>
        <v>1.6380741284608329</v>
      </c>
      <c r="K33" s="735">
        <f>E33</f>
        <v>1045798.4008999999</v>
      </c>
      <c r="L33" s="100"/>
    </row>
    <row r="34" spans="1:12" x14ac:dyDescent="0.25">
      <c r="A34" s="695" t="s">
        <v>1141</v>
      </c>
      <c r="B34" s="415"/>
      <c r="C34" s="733"/>
      <c r="D34" s="733"/>
      <c r="E34" s="733">
        <v>0</v>
      </c>
      <c r="F34" s="733"/>
      <c r="G34" s="733"/>
      <c r="H34" s="733"/>
      <c r="I34" s="408">
        <f t="shared" si="12"/>
        <v>0</v>
      </c>
      <c r="J34" s="408" t="str">
        <f t="shared" si="13"/>
        <v/>
      </c>
      <c r="K34" s="735"/>
      <c r="L34" s="100"/>
    </row>
    <row r="35" spans="1:12" x14ac:dyDescent="0.25">
      <c r="A35" s="695" t="s">
        <v>1142</v>
      </c>
      <c r="B35" s="415"/>
      <c r="C35" s="733"/>
      <c r="D35" s="733"/>
      <c r="E35" s="733">
        <v>0</v>
      </c>
      <c r="F35" s="733"/>
      <c r="G35" s="733"/>
      <c r="H35" s="733"/>
      <c r="I35" s="408">
        <f t="shared" ref="I35:I40" si="14">G35-H35</f>
        <v>0</v>
      </c>
      <c r="J35" s="408" t="str">
        <f t="shared" ref="J35:J40" si="15">IF(I35=0,"",I35/H35)</f>
        <v/>
      </c>
      <c r="K35" s="735"/>
      <c r="L35" s="100"/>
    </row>
    <row r="36" spans="1:12" x14ac:dyDescent="0.25">
      <c r="A36" s="695" t="s">
        <v>1143</v>
      </c>
      <c r="B36" s="415"/>
      <c r="C36" s="733"/>
      <c r="D36" s="733"/>
      <c r="E36" s="733">
        <v>0</v>
      </c>
      <c r="F36" s="733"/>
      <c r="G36" s="733"/>
      <c r="H36" s="733"/>
      <c r="I36" s="408">
        <f t="shared" si="14"/>
        <v>0</v>
      </c>
      <c r="J36" s="408" t="str">
        <f t="shared" si="15"/>
        <v/>
      </c>
      <c r="K36" s="735"/>
      <c r="L36" s="100"/>
    </row>
    <row r="37" spans="1:12" x14ac:dyDescent="0.25">
      <c r="A37" s="695" t="s">
        <v>1004</v>
      </c>
      <c r="B37" s="415"/>
      <c r="C37" s="733"/>
      <c r="D37" s="733"/>
      <c r="E37" s="733">
        <v>0</v>
      </c>
      <c r="F37" s="733"/>
      <c r="G37" s="733"/>
      <c r="H37" s="733"/>
      <c r="I37" s="408">
        <f t="shared" si="14"/>
        <v>0</v>
      </c>
      <c r="J37" s="408" t="str">
        <f t="shared" si="15"/>
        <v/>
      </c>
      <c r="K37" s="735"/>
      <c r="L37" s="100"/>
    </row>
    <row r="38" spans="1:12" x14ac:dyDescent="0.25">
      <c r="A38" s="695" t="s">
        <v>1144</v>
      </c>
      <c r="B38" s="415"/>
      <c r="C38" s="733"/>
      <c r="D38" s="733"/>
      <c r="E38" s="733">
        <v>0</v>
      </c>
      <c r="F38" s="733"/>
      <c r="G38" s="733"/>
      <c r="H38" s="733"/>
      <c r="I38" s="408">
        <f t="shared" si="14"/>
        <v>0</v>
      </c>
      <c r="J38" s="408" t="str">
        <f t="shared" si="15"/>
        <v/>
      </c>
      <c r="K38" s="735"/>
      <c r="L38" s="100"/>
    </row>
    <row r="39" spans="1:12" x14ac:dyDescent="0.25">
      <c r="A39" s="695" t="s">
        <v>1145</v>
      </c>
      <c r="B39" s="415"/>
      <c r="C39" s="733"/>
      <c r="D39" s="733"/>
      <c r="E39" s="733">
        <v>0</v>
      </c>
      <c r="F39" s="733"/>
      <c r="G39" s="733"/>
      <c r="H39" s="733"/>
      <c r="I39" s="408">
        <f t="shared" si="14"/>
        <v>0</v>
      </c>
      <c r="J39" s="408" t="str">
        <f t="shared" si="15"/>
        <v/>
      </c>
      <c r="K39" s="735"/>
      <c r="L39" s="100"/>
    </row>
    <row r="40" spans="1:12" x14ac:dyDescent="0.25">
      <c r="A40" s="695" t="s">
        <v>1146</v>
      </c>
      <c r="B40" s="415"/>
      <c r="C40" s="733"/>
      <c r="D40" s="733"/>
      <c r="E40" s="733">
        <v>0</v>
      </c>
      <c r="F40" s="733"/>
      <c r="G40" s="733"/>
      <c r="H40" s="733"/>
      <c r="I40" s="408">
        <f t="shared" si="14"/>
        <v>0</v>
      </c>
      <c r="J40" s="408" t="str">
        <f t="shared" si="15"/>
        <v/>
      </c>
      <c r="K40" s="735"/>
      <c r="L40" s="100"/>
    </row>
    <row r="41" spans="1:12" x14ac:dyDescent="0.25">
      <c r="A41" s="695" t="s">
        <v>164</v>
      </c>
      <c r="B41" s="415"/>
      <c r="C41" s="733"/>
      <c r="D41" s="733">
        <v>10974000</v>
      </c>
      <c r="E41" s="733">
        <v>10974000</v>
      </c>
      <c r="F41" s="733">
        <v>-55053.01</v>
      </c>
      <c r="G41" s="733">
        <v>11451386.949999999</v>
      </c>
      <c r="H41" s="733">
        <f>E41/12*8</f>
        <v>7316000</v>
      </c>
      <c r="I41" s="408">
        <f t="shared" si="2"/>
        <v>4135386.9499999993</v>
      </c>
      <c r="J41" s="408">
        <f t="shared" si="3"/>
        <v>0.5652524535265171</v>
      </c>
      <c r="K41" s="735">
        <f>E41</f>
        <v>10974000</v>
      </c>
      <c r="L41" s="100"/>
    </row>
    <row r="42" spans="1:12" x14ac:dyDescent="0.25">
      <c r="A42" s="695" t="s">
        <v>1147</v>
      </c>
      <c r="B42" s="415"/>
      <c r="C42" s="733"/>
      <c r="D42" s="733"/>
      <c r="E42" s="733">
        <v>0</v>
      </c>
      <c r="F42" s="733"/>
      <c r="G42" s="733"/>
      <c r="H42" s="733"/>
      <c r="I42" s="408">
        <f t="shared" si="2"/>
        <v>0</v>
      </c>
      <c r="J42" s="408" t="str">
        <f t="shared" si="3"/>
        <v/>
      </c>
      <c r="K42" s="735"/>
      <c r="L42" s="100"/>
    </row>
    <row r="43" spans="1:12" x14ac:dyDescent="0.25">
      <c r="A43" s="695" t="s">
        <v>1148</v>
      </c>
      <c r="B43" s="415"/>
      <c r="C43" s="733"/>
      <c r="D43" s="733"/>
      <c r="E43" s="733">
        <v>0</v>
      </c>
      <c r="F43" s="733"/>
      <c r="G43" s="733"/>
      <c r="H43" s="733"/>
      <c r="I43" s="408">
        <f t="shared" si="2"/>
        <v>0</v>
      </c>
      <c r="J43" s="408" t="str">
        <f t="shared" si="3"/>
        <v/>
      </c>
      <c r="K43" s="735"/>
      <c r="L43" s="100"/>
    </row>
    <row r="44" spans="1:12" x14ac:dyDescent="0.25">
      <c r="A44" s="695" t="s">
        <v>1149</v>
      </c>
      <c r="B44" s="415"/>
      <c r="C44" s="733"/>
      <c r="D44" s="733">
        <v>10700000</v>
      </c>
      <c r="E44" s="733">
        <v>11105035</v>
      </c>
      <c r="F44" s="733"/>
      <c r="G44" s="733">
        <v>91026.37</v>
      </c>
      <c r="H44" s="733">
        <f>E44/12*8</f>
        <v>7403356.666666667</v>
      </c>
      <c r="I44" s="408">
        <f t="shared" si="2"/>
        <v>-7312330.2966666669</v>
      </c>
      <c r="J44" s="408">
        <f t="shared" si="3"/>
        <v>-0.98770471637414914</v>
      </c>
      <c r="K44" s="735">
        <f>E44</f>
        <v>11105035</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6">SUM(D50:D54)</f>
        <v>11002054.78726843</v>
      </c>
      <c r="E49" s="611">
        <f t="shared" si="16"/>
        <v>11002054.78726843</v>
      </c>
      <c r="F49" s="611">
        <f t="shared" si="16"/>
        <v>4570</v>
      </c>
      <c r="G49" s="611">
        <f t="shared" si="16"/>
        <v>56682.779999999897</v>
      </c>
      <c r="H49" s="611">
        <f t="shared" si="16"/>
        <v>7334703.1915122867</v>
      </c>
      <c r="I49" s="611">
        <f t="shared" ref="I49:I54" si="17">G49-H49</f>
        <v>-7278020.4115122864</v>
      </c>
      <c r="J49" s="611">
        <f t="shared" ref="J49:J54" si="18">IF(I49=0,"",I49/H49)</f>
        <v>-0.99227197358638952</v>
      </c>
      <c r="K49" s="614">
        <f t="shared" si="16"/>
        <v>11002054.78726843</v>
      </c>
      <c r="L49" s="100"/>
    </row>
    <row r="50" spans="1:12" x14ac:dyDescent="0.25">
      <c r="A50" s="695" t="s">
        <v>1154</v>
      </c>
      <c r="B50" s="415"/>
      <c r="C50" s="733"/>
      <c r="D50" s="733"/>
      <c r="E50" s="733"/>
      <c r="F50" s="733"/>
      <c r="G50" s="733"/>
      <c r="H50" s="733"/>
      <c r="I50" s="408">
        <f t="shared" si="17"/>
        <v>0</v>
      </c>
      <c r="J50" s="408" t="str">
        <f t="shared" si="18"/>
        <v/>
      </c>
      <c r="K50" s="735"/>
      <c r="L50" s="100"/>
    </row>
    <row r="51" spans="1:12" x14ac:dyDescent="0.25">
      <c r="A51" s="695" t="s">
        <v>1155</v>
      </c>
      <c r="B51" s="415"/>
      <c r="C51" s="733"/>
      <c r="D51" s="733"/>
      <c r="E51" s="733"/>
      <c r="F51" s="733"/>
      <c r="G51" s="733"/>
      <c r="H51" s="733"/>
      <c r="I51" s="408">
        <f t="shared" si="17"/>
        <v>0</v>
      </c>
      <c r="J51" s="408" t="str">
        <f t="shared" si="18"/>
        <v/>
      </c>
      <c r="K51" s="735"/>
      <c r="L51" s="100"/>
    </row>
    <row r="52" spans="1:12" x14ac:dyDescent="0.25">
      <c r="A52" s="695" t="s">
        <v>1156</v>
      </c>
      <c r="B52" s="415"/>
      <c r="C52" s="733"/>
      <c r="D52" s="733"/>
      <c r="E52" s="733"/>
      <c r="F52" s="733"/>
      <c r="G52" s="733"/>
      <c r="H52" s="733"/>
      <c r="I52" s="408">
        <f t="shared" si="17"/>
        <v>0</v>
      </c>
      <c r="J52" s="408" t="str">
        <f t="shared" si="18"/>
        <v/>
      </c>
      <c r="K52" s="735"/>
      <c r="L52" s="100"/>
    </row>
    <row r="53" spans="1:12" x14ac:dyDescent="0.25">
      <c r="A53" s="695" t="s">
        <v>1157</v>
      </c>
      <c r="B53" s="415"/>
      <c r="C53" s="733"/>
      <c r="D53" s="733">
        <v>11002054.78726843</v>
      </c>
      <c r="E53" s="733">
        <v>11002054.78726843</v>
      </c>
      <c r="F53" s="733">
        <v>4570</v>
      </c>
      <c r="G53" s="733">
        <v>56682.779999999897</v>
      </c>
      <c r="H53" s="733">
        <f>E53/12*8</f>
        <v>7334703.1915122867</v>
      </c>
      <c r="I53" s="408">
        <f t="shared" si="17"/>
        <v>-7278020.4115122864</v>
      </c>
      <c r="J53" s="408">
        <f t="shared" si="18"/>
        <v>-0.99227197358638952</v>
      </c>
      <c r="K53" s="735">
        <f>E53</f>
        <v>11002054.78726843</v>
      </c>
      <c r="L53" s="100"/>
    </row>
    <row r="54" spans="1:12" x14ac:dyDescent="0.25">
      <c r="A54" s="695" t="s">
        <v>1158</v>
      </c>
      <c r="B54" s="415"/>
      <c r="C54" s="733"/>
      <c r="D54" s="733"/>
      <c r="E54" s="733"/>
      <c r="F54" s="733"/>
      <c r="G54" s="733"/>
      <c r="H54" s="733"/>
      <c r="I54" s="408">
        <f t="shared" si="17"/>
        <v>0</v>
      </c>
      <c r="J54" s="408" t="str">
        <f t="shared" si="18"/>
        <v/>
      </c>
      <c r="K54" s="735"/>
      <c r="L54" s="100"/>
    </row>
    <row r="55" spans="1:12" x14ac:dyDescent="0.25">
      <c r="A55" s="607" t="s">
        <v>112</v>
      </c>
      <c r="B55" s="415"/>
      <c r="C55" s="611">
        <f>SUM(C56:C63)</f>
        <v>0</v>
      </c>
      <c r="D55" s="611">
        <f t="shared" ref="D55:K55" si="19">SUM(D56:D63)</f>
        <v>3768735.4638999999</v>
      </c>
      <c r="E55" s="611">
        <f t="shared" si="19"/>
        <v>3768735.4638999999</v>
      </c>
      <c r="F55" s="611">
        <f t="shared" si="19"/>
        <v>24378.63</v>
      </c>
      <c r="G55" s="611">
        <f t="shared" si="19"/>
        <v>6265047.1600000001</v>
      </c>
      <c r="H55" s="611">
        <f t="shared" si="19"/>
        <v>2512490.3092666669</v>
      </c>
      <c r="I55" s="611">
        <f t="shared" si="2"/>
        <v>3752556.8507333333</v>
      </c>
      <c r="J55" s="611">
        <f t="shared" si="3"/>
        <v>1.4935607261421082</v>
      </c>
      <c r="K55" s="614">
        <f t="shared" si="19"/>
        <v>3768735.4638999999</v>
      </c>
      <c r="L55" s="100"/>
    </row>
    <row r="56" spans="1:12" x14ac:dyDescent="0.25">
      <c r="A56" s="695" t="s">
        <v>167</v>
      </c>
      <c r="B56" s="415"/>
      <c r="C56" s="733"/>
      <c r="D56" s="733"/>
      <c r="E56" s="733"/>
      <c r="F56" s="733"/>
      <c r="G56" s="733">
        <v>130250</v>
      </c>
      <c r="H56" s="733"/>
      <c r="I56" s="408">
        <f t="shared" si="2"/>
        <v>130250</v>
      </c>
      <c r="J56" s="408" t="e">
        <f t="shared" si="3"/>
        <v>#DIV/0!</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24378.63</v>
      </c>
      <c r="G60" s="733">
        <v>6134797.1600000001</v>
      </c>
      <c r="H60" s="733">
        <f>E60/12*8</f>
        <v>222846.34753333335</v>
      </c>
      <c r="I60" s="408">
        <f t="shared" si="2"/>
        <v>5911950.812466667</v>
      </c>
      <c r="J60" s="408">
        <f t="shared" si="3"/>
        <v>26.529269507467955</v>
      </c>
      <c r="K60" s="735">
        <f>E60</f>
        <v>334269.52130000002</v>
      </c>
      <c r="L60" s="100"/>
    </row>
    <row r="61" spans="1:12" x14ac:dyDescent="0.25">
      <c r="A61" s="695" t="s">
        <v>1163</v>
      </c>
      <c r="B61" s="415"/>
      <c r="C61" s="733"/>
      <c r="D61" s="733">
        <v>0</v>
      </c>
      <c r="E61" s="733">
        <v>0</v>
      </c>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c r="G62" s="733"/>
      <c r="H62" s="733">
        <f>E62/12*8</f>
        <v>2289643.9617333333</v>
      </c>
      <c r="I62" s="408">
        <f>G62-H62</f>
        <v>-2289643.9617333333</v>
      </c>
      <c r="J62" s="408">
        <f>IF(I62=0,"",I62/H62)</f>
        <v>-1</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0">SUM(C65:C66)</f>
        <v>0</v>
      </c>
      <c r="D64" s="611">
        <f t="shared" si="20"/>
        <v>328237277.54334736</v>
      </c>
      <c r="E64" s="611">
        <f t="shared" si="20"/>
        <v>379735932.54334736</v>
      </c>
      <c r="F64" s="611">
        <f t="shared" si="20"/>
        <v>6762600.0300000003</v>
      </c>
      <c r="G64" s="611">
        <f t="shared" si="20"/>
        <v>64570259.799999997</v>
      </c>
      <c r="H64" s="611">
        <f t="shared" si="20"/>
        <v>253157288.36223158</v>
      </c>
      <c r="I64" s="611">
        <f>G64-H64</f>
        <v>-188587028.5622316</v>
      </c>
      <c r="J64" s="611">
        <f>IF(I64=0,"",I64/H64)</f>
        <v>-0.74494015077452858</v>
      </c>
      <c r="K64" s="614">
        <f>SUM(K65:K66)</f>
        <v>379735932.54334736</v>
      </c>
      <c r="L64" s="100"/>
    </row>
    <row r="65" spans="1:12" x14ac:dyDescent="0.25">
      <c r="A65" s="695" t="s">
        <v>711</v>
      </c>
      <c r="B65" s="415"/>
      <c r="C65" s="733"/>
      <c r="D65" s="733">
        <v>328237277.54334736</v>
      </c>
      <c r="E65" s="733">
        <v>379735932.54334736</v>
      </c>
      <c r="F65" s="733">
        <v>6762600.0300000003</v>
      </c>
      <c r="G65" s="733">
        <v>64570259.799999997</v>
      </c>
      <c r="H65" s="733">
        <f>E65/12*8</f>
        <v>253157288.36223158</v>
      </c>
      <c r="I65" s="408">
        <f>G65-H65</f>
        <v>-188587028.5622316</v>
      </c>
      <c r="J65" s="408">
        <f>IF(I65=0,"",I65/H65)</f>
        <v>-0.74494015077452858</v>
      </c>
      <c r="K65" s="735">
        <f>E65</f>
        <v>379735932.54334736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1">SUM(C68:C74)</f>
        <v>0</v>
      </c>
      <c r="D67" s="611">
        <f t="shared" si="21"/>
        <v>0</v>
      </c>
      <c r="E67" s="611">
        <f t="shared" si="21"/>
        <v>0</v>
      </c>
      <c r="F67" s="611">
        <f t="shared" si="21"/>
        <v>0</v>
      </c>
      <c r="G67" s="611">
        <f t="shared" si="21"/>
        <v>0</v>
      </c>
      <c r="H67" s="611">
        <f t="shared" si="21"/>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2">C76+C87+C92</f>
        <v>0</v>
      </c>
      <c r="D75" s="605">
        <f t="shared" si="22"/>
        <v>106923434.37381519</v>
      </c>
      <c r="E75" s="605">
        <f t="shared" si="22"/>
        <v>109927537.37381519</v>
      </c>
      <c r="F75" s="605">
        <f t="shared" si="22"/>
        <v>11157820.700000001</v>
      </c>
      <c r="G75" s="605">
        <f t="shared" si="22"/>
        <v>136038988.43000001</v>
      </c>
      <c r="H75" s="605">
        <f t="shared" si="22"/>
        <v>73285024.915876806</v>
      </c>
      <c r="I75" s="605">
        <f t="shared" si="2"/>
        <v>62753963.514123201</v>
      </c>
      <c r="J75" s="605">
        <f t="shared" si="3"/>
        <v>0.85629995467911613</v>
      </c>
      <c r="K75" s="606">
        <f>K76+K87+K92</f>
        <v>109927537.37381519</v>
      </c>
      <c r="L75" s="100"/>
    </row>
    <row r="76" spans="1:12" x14ac:dyDescent="0.25">
      <c r="A76" s="607" t="s">
        <v>114</v>
      </c>
      <c r="B76" s="417"/>
      <c r="C76" s="611">
        <f t="shared" ref="C76:H76" si="23">SUM(C77:C86)</f>
        <v>0</v>
      </c>
      <c r="D76" s="611">
        <f t="shared" si="23"/>
        <v>41022287.158399999</v>
      </c>
      <c r="E76" s="611">
        <f t="shared" si="23"/>
        <v>44026390.158399999</v>
      </c>
      <c r="F76" s="611">
        <f t="shared" si="23"/>
        <v>788207.68</v>
      </c>
      <c r="G76" s="611">
        <f t="shared" si="23"/>
        <v>2463836.7999999998</v>
      </c>
      <c r="H76" s="611">
        <f t="shared" si="23"/>
        <v>29350926.772266667</v>
      </c>
      <c r="I76" s="611">
        <f t="shared" si="2"/>
        <v>-26887089.972266667</v>
      </c>
      <c r="J76" s="611">
        <f t="shared" si="3"/>
        <v>-0.91605591131357222</v>
      </c>
      <c r="K76" s="611">
        <f>SUM(K77:K86)</f>
        <v>44026390.158399999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v>4000000</v>
      </c>
      <c r="F81" s="733"/>
      <c r="G81" s="733"/>
      <c r="H81" s="733">
        <f>E81/12*8</f>
        <v>2666666.6666666665</v>
      </c>
      <c r="I81" s="408">
        <f>G81-H81</f>
        <v>-2666666.6666666665</v>
      </c>
      <c r="J81" s="408">
        <f>IF(I81=0,"",I81/H81)</f>
        <v>-1</v>
      </c>
      <c r="K81" s="735">
        <f>E81</f>
        <v>4000000</v>
      </c>
      <c r="L81" s="100"/>
    </row>
    <row r="82" spans="1:12" x14ac:dyDescent="0.25">
      <c r="A82" s="695" t="s">
        <v>1176</v>
      </c>
      <c r="B82" s="417"/>
      <c r="C82" s="733"/>
      <c r="D82" s="733"/>
      <c r="E82" s="733">
        <v>0</v>
      </c>
      <c r="F82" s="733"/>
      <c r="G82" s="733"/>
      <c r="H82" s="733"/>
      <c r="I82" s="408">
        <f>G82-H82</f>
        <v>0</v>
      </c>
      <c r="J82" s="408" t="str">
        <f>IF(I82=0,"",I82/H82)</f>
        <v/>
      </c>
      <c r="K82" s="735"/>
      <c r="L82" s="100"/>
    </row>
    <row r="83" spans="1:12" ht="22.5" x14ac:dyDescent="0.25">
      <c r="A83" s="695" t="s">
        <v>1177</v>
      </c>
      <c r="B83" s="417"/>
      <c r="C83" s="733"/>
      <c r="D83" s="733">
        <v>41022287.158399999</v>
      </c>
      <c r="E83" s="733">
        <v>40026390.158399999</v>
      </c>
      <c r="F83" s="733">
        <v>788207.68</v>
      </c>
      <c r="G83" s="733">
        <v>2463836.7999999998</v>
      </c>
      <c r="H83" s="733">
        <f>E83/12*8</f>
        <v>26684260.105599999</v>
      </c>
      <c r="I83" s="408">
        <f>G83-H83</f>
        <v>-24220423.305599999</v>
      </c>
      <c r="J83" s="408">
        <f>IF(I83=0,"",I83/H83)</f>
        <v>-0.90766703703795271</v>
      </c>
      <c r="K83" s="735">
        <f>E83</f>
        <v>40026390.158399999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4">SUM(C88:C91)</f>
        <v>0</v>
      </c>
      <c r="D87" s="611">
        <f t="shared" si="24"/>
        <v>65792799.755315199</v>
      </c>
      <c r="E87" s="611">
        <f t="shared" si="24"/>
        <v>65792799.755315199</v>
      </c>
      <c r="F87" s="611">
        <f t="shared" si="24"/>
        <v>10354363.020000001</v>
      </c>
      <c r="G87" s="611">
        <f t="shared" si="24"/>
        <v>133531151.63</v>
      </c>
      <c r="H87" s="611">
        <f t="shared" si="24"/>
        <v>43861866.503543466</v>
      </c>
      <c r="I87" s="611">
        <f t="shared" si="2"/>
        <v>89669285.126456529</v>
      </c>
      <c r="J87" s="611">
        <f t="shared" si="3"/>
        <v>2.044356345829752</v>
      </c>
      <c r="K87" s="614">
        <f>SUM(K88:K91)</f>
        <v>65792799.755315199</v>
      </c>
      <c r="L87" s="100"/>
    </row>
    <row r="88" spans="1:12" x14ac:dyDescent="0.25">
      <c r="A88" s="695" t="s">
        <v>1183</v>
      </c>
      <c r="B88" s="417"/>
      <c r="C88" s="733"/>
      <c r="D88" s="733">
        <v>65792799.755315199</v>
      </c>
      <c r="E88" s="733">
        <v>65792799.755315199</v>
      </c>
      <c r="F88" s="733"/>
      <c r="G88" s="733">
        <v>92428650.799999997</v>
      </c>
      <c r="H88" s="733">
        <f>E88/12*8</f>
        <v>43861866.503543466</v>
      </c>
      <c r="I88" s="408">
        <f t="shared" si="2"/>
        <v>48566784.296456531</v>
      </c>
      <c r="J88" s="408">
        <f t="shared" si="3"/>
        <v>1.107266702672878</v>
      </c>
      <c r="K88" s="735">
        <f>E88</f>
        <v>65792799.755315199</v>
      </c>
      <c r="L88" s="100"/>
    </row>
    <row r="89" spans="1:12" x14ac:dyDescent="0.25">
      <c r="A89" s="695" t="s">
        <v>1184</v>
      </c>
      <c r="B89" s="417"/>
      <c r="C89" s="733"/>
      <c r="D89" s="733"/>
      <c r="E89" s="733"/>
      <c r="F89" s="733">
        <v>144108.39000000001</v>
      </c>
      <c r="G89" s="733">
        <v>1570823.01</v>
      </c>
      <c r="H89" s="733"/>
      <c r="I89" s="408">
        <f t="shared" si="2"/>
        <v>1570823.01</v>
      </c>
      <c r="J89" s="408" t="e">
        <f t="shared" si="3"/>
        <v>#DIV/0!</v>
      </c>
      <c r="K89" s="735"/>
      <c r="L89" s="100"/>
    </row>
    <row r="90" spans="1:12" x14ac:dyDescent="0.25">
      <c r="A90" s="695" t="s">
        <v>168</v>
      </c>
      <c r="B90" s="417"/>
      <c r="C90" s="733"/>
      <c r="D90" s="733"/>
      <c r="E90" s="733"/>
      <c r="F90" s="733">
        <v>10210254.630000001</v>
      </c>
      <c r="G90" s="733">
        <v>39531677.82</v>
      </c>
      <c r="H90" s="733"/>
      <c r="I90" s="408">
        <f t="shared" si="2"/>
        <v>39531677.82</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5">SUM(D93:D98)</f>
        <v>108347.4601</v>
      </c>
      <c r="E92" s="611">
        <f t="shared" si="25"/>
        <v>108347.4601</v>
      </c>
      <c r="F92" s="611">
        <f t="shared" si="25"/>
        <v>15250</v>
      </c>
      <c r="G92" s="611">
        <f t="shared" si="25"/>
        <v>44000</v>
      </c>
      <c r="H92" s="611">
        <f t="shared" si="25"/>
        <v>72231.64006666666</v>
      </c>
      <c r="I92" s="611">
        <f t="shared" si="2"/>
        <v>-28231.64006666666</v>
      </c>
      <c r="J92" s="611">
        <f t="shared" si="3"/>
        <v>-0.39084866466565182</v>
      </c>
      <c r="K92" s="614">
        <f t="shared" si="25"/>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15250</v>
      </c>
      <c r="G97" s="733">
        <v>44000</v>
      </c>
      <c r="H97" s="733">
        <f>E97/12*8</f>
        <v>72231.64006666666</v>
      </c>
      <c r="I97" s="408">
        <f t="shared" si="2"/>
        <v>-28231.64006666666</v>
      </c>
      <c r="J97" s="408">
        <f t="shared" si="3"/>
        <v>-0.39084866466565182</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6">D100+D104+D108+D113</f>
        <v>4331953791.0175152</v>
      </c>
      <c r="E99" s="605">
        <f t="shared" si="26"/>
        <v>4331577947.017518</v>
      </c>
      <c r="F99" s="605">
        <f t="shared" si="26"/>
        <v>284348095.40000004</v>
      </c>
      <c r="G99" s="605">
        <f t="shared" si="26"/>
        <v>2689161827.2199998</v>
      </c>
      <c r="H99" s="605">
        <f t="shared" si="26"/>
        <v>2887718631.3450122</v>
      </c>
      <c r="I99" s="605">
        <f t="shared" si="26"/>
        <v>-198556804.12501222</v>
      </c>
      <c r="J99" s="605">
        <f t="shared" si="3"/>
        <v>-6.8759054975009962E-2</v>
      </c>
      <c r="K99" s="606">
        <f>K100+K104+K108+K113</f>
        <v>4331577947.017518</v>
      </c>
      <c r="L99" s="100"/>
    </row>
    <row r="100" spans="1:12" x14ac:dyDescent="0.25">
      <c r="A100" s="607" t="s">
        <v>1191</v>
      </c>
      <c r="B100" s="417"/>
      <c r="C100" s="611">
        <f>SUM(C101:C103)</f>
        <v>0</v>
      </c>
      <c r="D100" s="611">
        <f t="shared" ref="D100:K100" si="27">SUM(D101:D103)</f>
        <v>2655002808.9206858</v>
      </c>
      <c r="E100" s="611">
        <f t="shared" si="27"/>
        <v>2655002808.9206858</v>
      </c>
      <c r="F100" s="611">
        <f t="shared" si="27"/>
        <v>180394115.34999999</v>
      </c>
      <c r="G100" s="611">
        <f t="shared" si="27"/>
        <v>1578945734.02</v>
      </c>
      <c r="H100" s="611">
        <f t="shared" si="27"/>
        <v>1770001872.6137905</v>
      </c>
      <c r="I100" s="611">
        <f t="shared" si="2"/>
        <v>-191056138.59379053</v>
      </c>
      <c r="J100" s="611">
        <f t="shared" si="3"/>
        <v>-0.10794120704045065</v>
      </c>
      <c r="K100" s="614">
        <f t="shared" si="27"/>
        <v>2655002808.9206858</v>
      </c>
      <c r="L100" s="100"/>
    </row>
    <row r="101" spans="1:12" x14ac:dyDescent="0.25">
      <c r="A101" s="695" t="s">
        <v>1192</v>
      </c>
      <c r="B101" s="417"/>
      <c r="C101" s="733"/>
      <c r="D101" s="733">
        <v>2635365105.6563859</v>
      </c>
      <c r="E101" s="733">
        <v>2635365105.6563859</v>
      </c>
      <c r="F101" s="733">
        <v>180394115.34999999</v>
      </c>
      <c r="G101" s="733">
        <v>1578945734.02</v>
      </c>
      <c r="H101" s="733">
        <f t="shared" ref="H101:H102" si="28">E101/12*8</f>
        <v>1756910070.4375906</v>
      </c>
      <c r="I101" s="408">
        <f t="shared" si="2"/>
        <v>-177964336.41759062</v>
      </c>
      <c r="J101" s="408">
        <f t="shared" si="3"/>
        <v>-0.10129393610525857</v>
      </c>
      <c r="K101" s="735">
        <f>E101</f>
        <v>2635365105.6563859</v>
      </c>
      <c r="L101" s="100"/>
    </row>
    <row r="102" spans="1:12" x14ac:dyDescent="0.25">
      <c r="A102" s="695" t="s">
        <v>1193</v>
      </c>
      <c r="B102" s="417"/>
      <c r="C102" s="733"/>
      <c r="D102" s="733">
        <v>19637703.2643</v>
      </c>
      <c r="E102" s="733">
        <v>19637703.2643</v>
      </c>
      <c r="F102" s="733"/>
      <c r="G102" s="733"/>
      <c r="H102" s="733">
        <f t="shared" si="28"/>
        <v>13091802.176200001</v>
      </c>
      <c r="I102" s="408">
        <f>G102-H102</f>
        <v>-13091802.176200001</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29">SUM(D105:D107)</f>
        <v>1253549994.0011687</v>
      </c>
      <c r="E104" s="611">
        <f t="shared" si="29"/>
        <v>1253174150.0011718</v>
      </c>
      <c r="F104" s="611">
        <f t="shared" si="29"/>
        <v>72683885.469999999</v>
      </c>
      <c r="G104" s="611">
        <f t="shared" si="29"/>
        <v>811266621.88999999</v>
      </c>
      <c r="H104" s="611">
        <f t="shared" si="29"/>
        <v>835449433.33411455</v>
      </c>
      <c r="I104" s="611">
        <f t="shared" si="2"/>
        <v>-24182811.444114566</v>
      </c>
      <c r="J104" s="611">
        <f t="shared" si="3"/>
        <v>-2.8945870904006382E-2</v>
      </c>
      <c r="K104" s="614">
        <f t="shared" si="29"/>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72683885.469999999</v>
      </c>
      <c r="G106" s="733">
        <v>811266621.88999999</v>
      </c>
      <c r="H106" s="733">
        <f>E106/12*8</f>
        <v>835449433.33411455</v>
      </c>
      <c r="I106" s="408">
        <f>G106-H106</f>
        <v>-24182811.444114566</v>
      </c>
      <c r="J106" s="408">
        <f>IF(I106=0,"",I106/H106)</f>
        <v>-2.8945870904006382E-2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0">SUM(D109:D112)</f>
        <v>173542219.90182328</v>
      </c>
      <c r="E108" s="611">
        <f t="shared" si="30"/>
        <v>173542219.90182328</v>
      </c>
      <c r="F108" s="611">
        <f t="shared" si="30"/>
        <v>19741285.16</v>
      </c>
      <c r="G108" s="611">
        <f t="shared" si="30"/>
        <v>191355224.21000001</v>
      </c>
      <c r="H108" s="611">
        <f t="shared" si="30"/>
        <v>115694813.26788218</v>
      </c>
      <c r="I108" s="611">
        <f t="shared" si="2"/>
        <v>75660410.942117825</v>
      </c>
      <c r="J108" s="611">
        <f t="shared" si="3"/>
        <v>0.65396545277213192</v>
      </c>
      <c r="K108" s="614">
        <f t="shared" si="30"/>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19741285.16</v>
      </c>
      <c r="G110" s="733">
        <v>191355224.21000001</v>
      </c>
      <c r="H110" s="733">
        <f>E110/12*8</f>
        <v>115694813.26788218</v>
      </c>
      <c r="I110" s="408">
        <f t="shared" si="2"/>
        <v>75660410.942117825</v>
      </c>
      <c r="J110" s="408">
        <f t="shared" si="3"/>
        <v>0.65396545277213192</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1">SUM(C114:C117)</f>
        <v>0</v>
      </c>
      <c r="D113" s="611">
        <f t="shared" si="31"/>
        <v>249858768.1938374</v>
      </c>
      <c r="E113" s="611">
        <f t="shared" si="31"/>
        <v>249858768.1938374</v>
      </c>
      <c r="F113" s="611">
        <f t="shared" si="31"/>
        <v>11528809.42</v>
      </c>
      <c r="G113" s="611">
        <f t="shared" si="31"/>
        <v>107594247.09999999</v>
      </c>
      <c r="H113" s="611">
        <f t="shared" si="31"/>
        <v>166572512.12922493</v>
      </c>
      <c r="I113" s="611">
        <f t="shared" si="2"/>
        <v>-58978265.029224932</v>
      </c>
      <c r="J113" s="611">
        <f t="shared" si="3"/>
        <v>-0.35406961373957252</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1905354.23</v>
      </c>
      <c r="G115" s="733">
        <v>30262614.379999999</v>
      </c>
      <c r="H115" s="733">
        <f>E115/12*8</f>
        <v>166572512.12922493</v>
      </c>
      <c r="I115" s="408">
        <f>G115-H115</f>
        <v>-136309897.74922493</v>
      </c>
      <c r="J115" s="408">
        <f>IF(I115=0,"",I115/H115)</f>
        <v>-0.81832167869016326</v>
      </c>
      <c r="K115" s="735">
        <f>E115</f>
        <v>249858768.1938374</v>
      </c>
      <c r="L115" s="100"/>
    </row>
    <row r="116" spans="1:12" x14ac:dyDescent="0.25">
      <c r="A116" s="695" t="s">
        <v>1200</v>
      </c>
      <c r="B116" s="417"/>
      <c r="C116" s="733"/>
      <c r="D116" s="733"/>
      <c r="E116" s="733"/>
      <c r="F116" s="733">
        <v>9623455.1899999995</v>
      </c>
      <c r="G116" s="733">
        <v>77331632.719999999</v>
      </c>
      <c r="H116" s="733"/>
      <c r="I116" s="408">
        <f t="shared" si="2"/>
        <v>77331632.719999999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2">SUM(D119:D124)</f>
        <v>63610900.686000004</v>
      </c>
      <c r="E118" s="611">
        <f t="shared" si="32"/>
        <v>63610900.686000004</v>
      </c>
      <c r="F118" s="611">
        <f t="shared" si="32"/>
        <v>2649383.09</v>
      </c>
      <c r="G118" s="611">
        <f t="shared" si="32"/>
        <v>18580186.879999999</v>
      </c>
      <c r="H118" s="611">
        <f t="shared" si="32"/>
        <v>42407267.124000005</v>
      </c>
      <c r="I118" s="611">
        <f t="shared" si="2"/>
        <v>-23827080.244000006</v>
      </c>
      <c r="J118" s="611">
        <f t="shared" si="3"/>
        <v>-0.561863139502222</v>
      </c>
      <c r="K118" s="614">
        <f t="shared" si="32"/>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968551</v>
      </c>
      <c r="G120" s="733">
        <v>3784500.15</v>
      </c>
      <c r="H120" s="733">
        <f t="shared" ref="H120:H121" si="33">E120/12*8</f>
        <v>8327146.3966000006</v>
      </c>
      <c r="I120" s="408">
        <f t="shared" si="2"/>
        <v>-4542646.2466000002</v>
      </c>
      <c r="J120" s="408">
        <f t="shared" si="3"/>
        <v>-0.54552256322223136</v>
      </c>
      <c r="K120" s="735">
        <f t="shared" ref="K120:K121" si="34">E120</f>
        <v>12490719.594900001</v>
      </c>
      <c r="L120" s="100"/>
    </row>
    <row r="121" spans="1:12" x14ac:dyDescent="0.25">
      <c r="A121" s="607" t="s">
        <v>1202</v>
      </c>
      <c r="B121" s="417"/>
      <c r="C121" s="733"/>
      <c r="D121" s="733">
        <v>7663197.0931999991</v>
      </c>
      <c r="E121" s="733">
        <v>7663197.0931999991</v>
      </c>
      <c r="F121" s="733"/>
      <c r="G121" s="733">
        <v>850000</v>
      </c>
      <c r="H121" s="733">
        <f t="shared" si="33"/>
        <v>5108798.0621333327</v>
      </c>
      <c r="I121" s="408">
        <f>G121-H121</f>
        <v>-4258798.0621333327</v>
      </c>
      <c r="J121" s="408">
        <f>IF(I121=0,"",I121/H121)</f>
        <v>-0.8336203565570065</v>
      </c>
      <c r="K121" s="735">
        <f t="shared" si="34"/>
        <v>7663197.0931999991</v>
      </c>
      <c r="L121" s="100"/>
    </row>
    <row r="122" spans="1:12" x14ac:dyDescent="0.25">
      <c r="A122" s="607" t="s">
        <v>1203</v>
      </c>
      <c r="B122" s="417"/>
      <c r="C122" s="733"/>
      <c r="D122" s="733"/>
      <c r="E122" s="733"/>
      <c r="F122" s="733">
        <v>30859.16</v>
      </c>
      <c r="G122" s="733">
        <v>141683.97</v>
      </c>
      <c r="H122" s="733"/>
      <c r="I122" s="408">
        <f t="shared" si="2"/>
        <v>141683.97</v>
      </c>
      <c r="J122" s="408" t="e">
        <f t="shared" si="3"/>
        <v>#DIV/0!</v>
      </c>
      <c r="K122" s="735"/>
      <c r="L122" s="100"/>
    </row>
    <row r="123" spans="1:12" x14ac:dyDescent="0.25">
      <c r="A123" s="607" t="s">
        <v>441</v>
      </c>
      <c r="B123" s="415"/>
      <c r="C123" s="733"/>
      <c r="D123" s="733">
        <v>43456983.997900009</v>
      </c>
      <c r="E123" s="733">
        <v>43456983.997900009</v>
      </c>
      <c r="F123" s="733">
        <v>1649972.93</v>
      </c>
      <c r="G123" s="733">
        <v>13804002.76</v>
      </c>
      <c r="H123" s="733">
        <f>E123/12*8</f>
        <v>28971322.665266674</v>
      </c>
      <c r="I123" s="408">
        <f t="shared" si="2"/>
        <v>-15167319.905266674</v>
      </c>
      <c r="J123" s="408">
        <f t="shared" si="3"/>
        <v>-0.52352873496695984</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5">C6+C26+C75+C99+C118</f>
        <v>0</v>
      </c>
      <c r="D125" s="616">
        <f t="shared" si="35"/>
        <v>6444077682.8720617</v>
      </c>
      <c r="E125" s="616">
        <f t="shared" si="35"/>
        <v>6587607631.8720646</v>
      </c>
      <c r="F125" s="616">
        <f t="shared" si="35"/>
        <v>417508224.14000005</v>
      </c>
      <c r="G125" s="616">
        <f t="shared" si="35"/>
        <v>4110324701.79</v>
      </c>
      <c r="H125" s="616">
        <f t="shared" si="35"/>
        <v>4391738421.2480431</v>
      </c>
      <c r="I125" s="616">
        <f>G125-H125</f>
        <v>-281413719.4580431</v>
      </c>
      <c r="J125" s="616">
        <f>IF(I125=0,"",I125/H125)</f>
        <v>-6.4077978346003359E-2</v>
      </c>
      <c r="K125" s="617">
        <f>K6+K26+K75+K99+K118</f>
        <v>6587607631.8720646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6">A6</f>
        <v>Municipal governance and administration</v>
      </c>
      <c r="B128" s="620"/>
      <c r="C128" s="605">
        <f t="shared" ref="C128:H128" si="37">C129+C132+C146</f>
        <v>0</v>
      </c>
      <c r="D128" s="605">
        <f t="shared" si="37"/>
        <v>1354264744.2416518</v>
      </c>
      <c r="E128" s="605">
        <f t="shared" si="37"/>
        <v>1405319174.0330372</v>
      </c>
      <c r="F128" s="605">
        <f t="shared" si="37"/>
        <v>61886912.089999981</v>
      </c>
      <c r="G128" s="605">
        <f t="shared" si="37"/>
        <v>638449202.9799999</v>
      </c>
      <c r="H128" s="605">
        <f t="shared" si="37"/>
        <v>936879449.35535812</v>
      </c>
      <c r="I128" s="605">
        <f t="shared" ref="I128:I244" si="38">G128-H128</f>
        <v>-298430246.37535822</v>
      </c>
      <c r="J128" s="605">
        <f t="shared" ref="J128:J244" si="39">IF(I128=0,"",I128/H128)</f>
        <v>-0.31853644199443176</v>
      </c>
      <c r="K128" s="606">
        <f>K129+K132+K146</f>
        <v>1405319174.0330372</v>
      </c>
      <c r="L128" s="100"/>
    </row>
    <row r="129" spans="1:12" x14ac:dyDescent="0.25">
      <c r="A129" s="607" t="str">
        <f t="shared" si="36"/>
        <v>Executive and council</v>
      </c>
      <c r="B129" s="620"/>
      <c r="C129" s="608">
        <f t="shared" ref="C129:K129" si="40">SUM(C130:C131)</f>
        <v>0</v>
      </c>
      <c r="D129" s="608">
        <f t="shared" si="40"/>
        <v>137732466.40184778</v>
      </c>
      <c r="E129" s="608">
        <f t="shared" si="40"/>
        <v>138609982.7278536</v>
      </c>
      <c r="F129" s="608">
        <f t="shared" si="40"/>
        <v>8318334.4799999986</v>
      </c>
      <c r="G129" s="608">
        <f t="shared" si="40"/>
        <v>68488497.030000001</v>
      </c>
      <c r="H129" s="608">
        <f t="shared" si="40"/>
        <v>92406655.151902393</v>
      </c>
      <c r="I129" s="608">
        <f t="shared" si="38"/>
        <v>-23918158.121902391</v>
      </c>
      <c r="J129" s="608">
        <f t="shared" si="39"/>
        <v>-0.25883588235700772</v>
      </c>
      <c r="K129" s="610">
        <f t="shared" si="40"/>
        <v>138609982.7278536</v>
      </c>
      <c r="L129" s="100"/>
    </row>
    <row r="130" spans="1:12" x14ac:dyDescent="0.25">
      <c r="A130" s="695" t="str">
        <f t="shared" si="36"/>
        <v>Mayor and Council</v>
      </c>
      <c r="B130" s="620"/>
      <c r="C130" s="733"/>
      <c r="D130" s="733">
        <v>86039675.165266603</v>
      </c>
      <c r="E130" s="733">
        <v>88752895.165266603</v>
      </c>
      <c r="F130" s="733">
        <v>6078195.8599999994</v>
      </c>
      <c r="G130" s="733">
        <v>50398190.540000007</v>
      </c>
      <c r="H130" s="733">
        <f t="shared" ref="H130:H131" si="41">E130/12*8</f>
        <v>59168596.776844405</v>
      </c>
      <c r="I130" s="408">
        <f t="shared" si="38"/>
        <v>-8770406.2368443981</v>
      </c>
      <c r="J130" s="408">
        <f t="shared" si="39"/>
        <v>-0.14822738267601931</v>
      </c>
      <c r="K130" s="735">
        <f t="shared" ref="K130:K143" si="42">E130</f>
        <v>88752895.165266603</v>
      </c>
      <c r="L130" s="100"/>
    </row>
    <row r="131" spans="1:12" ht="18.600000000000001" customHeight="1" x14ac:dyDescent="0.25">
      <c r="A131" s="695" t="str">
        <f t="shared" si="36"/>
        <v>Municipal Manager, Town Secretary and Chief Executive</v>
      </c>
      <c r="B131" s="620"/>
      <c r="C131" s="733"/>
      <c r="D131" s="733">
        <v>51692791.236581177</v>
      </c>
      <c r="E131" s="733">
        <v>49857087.562586986</v>
      </c>
      <c r="F131" s="733">
        <v>2240138.6199999996</v>
      </c>
      <c r="G131" s="733">
        <v>18090306.489999998</v>
      </c>
      <c r="H131" s="733">
        <f t="shared" si="41"/>
        <v>33238058.375057992</v>
      </c>
      <c r="I131" s="408">
        <f t="shared" si="38"/>
        <v>-15147751.885057993</v>
      </c>
      <c r="J131" s="408">
        <f t="shared" si="39"/>
        <v>-0.45573516100522116</v>
      </c>
      <c r="K131" s="735">
        <f t="shared" si="42"/>
        <v>49857087.562586986</v>
      </c>
      <c r="L131" s="100"/>
    </row>
    <row r="132" spans="1:12" x14ac:dyDescent="0.25">
      <c r="A132" s="607" t="str">
        <f t="shared" si="36"/>
        <v>Finance and administration</v>
      </c>
      <c r="B132" s="620"/>
      <c r="C132" s="608">
        <f t="shared" ref="C132:H132" si="43">SUM(C133:C145)</f>
        <v>0</v>
      </c>
      <c r="D132" s="608">
        <f t="shared" si="43"/>
        <v>1194545745.0547059</v>
      </c>
      <c r="E132" s="608">
        <f t="shared" si="43"/>
        <v>1244452658.5200856</v>
      </c>
      <c r="F132" s="608">
        <f t="shared" si="43"/>
        <v>51562032.709999986</v>
      </c>
      <c r="G132" s="608">
        <f t="shared" si="43"/>
        <v>559178285.71999991</v>
      </c>
      <c r="H132" s="608">
        <f t="shared" si="43"/>
        <v>829635105.68005705</v>
      </c>
      <c r="I132" s="608">
        <f t="shared" si="38"/>
        <v>-270456819.96005714</v>
      </c>
      <c r="J132" s="608">
        <f t="shared" si="39"/>
        <v>-0.32599490801243519</v>
      </c>
      <c r="K132" s="608">
        <f>SUM(K133:K145)</f>
        <v>1244452658.5200856</v>
      </c>
      <c r="L132" s="100"/>
    </row>
    <row r="133" spans="1:12" x14ac:dyDescent="0.25">
      <c r="A133" s="695" t="str">
        <f t="shared" si="36"/>
        <v>Administrative and Corporate Support</v>
      </c>
      <c r="B133" s="415"/>
      <c r="C133" s="733"/>
      <c r="D133" s="733">
        <v>63311187.597137183</v>
      </c>
      <c r="E133" s="733">
        <v>62649554.597137183</v>
      </c>
      <c r="F133" s="733">
        <v>3454926.0700000003</v>
      </c>
      <c r="G133" s="733">
        <v>33309416.199999999</v>
      </c>
      <c r="H133" s="733">
        <f t="shared" ref="H133:H135" si="44">E133/12*8</f>
        <v>41766369.731424786</v>
      </c>
      <c r="I133" s="408">
        <f t="shared" si="38"/>
        <v>-8456953.5314247869</v>
      </c>
      <c r="J133" s="408">
        <f t="shared" si="39"/>
        <v>-0.20248237004572178</v>
      </c>
      <c r="K133" s="735">
        <f t="shared" si="42"/>
        <v>62649554.597137183</v>
      </c>
      <c r="L133" s="100"/>
    </row>
    <row r="134" spans="1:12" x14ac:dyDescent="0.25">
      <c r="A134" s="695" t="str">
        <f t="shared" si="36"/>
        <v>Asset Management</v>
      </c>
      <c r="B134" s="415"/>
      <c r="C134" s="733"/>
      <c r="D134" s="733">
        <v>114851325.40861207</v>
      </c>
      <c r="E134" s="733">
        <v>116354060.40861207</v>
      </c>
      <c r="F134" s="733">
        <v>5679285.4899999984</v>
      </c>
      <c r="G134" s="733">
        <v>39301540.529999964</v>
      </c>
      <c r="H134" s="733">
        <f t="shared" si="44"/>
        <v>77569373.605741382</v>
      </c>
      <c r="I134" s="408">
        <f t="shared" si="38"/>
        <v>-38267833.075741418</v>
      </c>
      <c r="J134" s="408">
        <f t="shared" si="39"/>
        <v>-0.49333688409350496</v>
      </c>
      <c r="K134" s="735">
        <f t="shared" si="42"/>
        <v>116354060.40861207</v>
      </c>
      <c r="L134" s="100"/>
    </row>
    <row r="135" spans="1:12" x14ac:dyDescent="0.25">
      <c r="A135" s="695" t="str">
        <f t="shared" si="36"/>
        <v>Finance</v>
      </c>
      <c r="B135" s="415"/>
      <c r="C135" s="733"/>
      <c r="D135" s="733">
        <v>527291938.10809231</v>
      </c>
      <c r="E135" s="733">
        <v>536010051.81119955</v>
      </c>
      <c r="F135" s="733">
        <v>10896514.319999989</v>
      </c>
      <c r="G135" s="733">
        <v>211577649.91999993</v>
      </c>
      <c r="H135" s="733">
        <f t="shared" si="44"/>
        <v>357340034.54079968</v>
      </c>
      <c r="I135" s="408">
        <f t="shared" si="38"/>
        <v>-145762384.62079975</v>
      </c>
      <c r="J135" s="408">
        <f t="shared" si="39"/>
        <v>-0.40790947145933959</v>
      </c>
      <c r="K135" s="735">
        <f t="shared" si="42"/>
        <v>536010051.81119955</v>
      </c>
      <c r="L135" s="100"/>
    </row>
    <row r="136" spans="1:12" x14ac:dyDescent="0.25">
      <c r="A136" s="695" t="str">
        <f t="shared" si="36"/>
        <v>Fleet Management</v>
      </c>
      <c r="B136" s="415"/>
      <c r="C136" s="733"/>
      <c r="D136" s="733"/>
      <c r="E136" s="733">
        <v>0</v>
      </c>
      <c r="F136" s="733"/>
      <c r="G136" s="733"/>
      <c r="H136" s="733"/>
      <c r="I136" s="408">
        <f t="shared" si="38"/>
        <v>0</v>
      </c>
      <c r="J136" s="408" t="str">
        <f t="shared" si="39"/>
        <v/>
      </c>
      <c r="K136" s="735"/>
      <c r="L136" s="100"/>
    </row>
    <row r="137" spans="1:12" x14ac:dyDescent="0.25">
      <c r="A137" s="695" t="str">
        <f t="shared" si="36"/>
        <v>Human Resources</v>
      </c>
      <c r="B137" s="415"/>
      <c r="C137" s="733"/>
      <c r="D137" s="733">
        <v>167919296.40275738</v>
      </c>
      <c r="E137" s="733">
        <v>177750164.40260589</v>
      </c>
      <c r="F137" s="733">
        <v>5135792.0200000005</v>
      </c>
      <c r="G137" s="733">
        <v>42038787.859999992</v>
      </c>
      <c r="H137" s="733">
        <f t="shared" ref="H137:H141" si="45">E137/12*8</f>
        <v>118500109.60173726</v>
      </c>
      <c r="I137" s="408">
        <f t="shared" si="38"/>
        <v>-76461321.741737276</v>
      </c>
      <c r="J137" s="408">
        <f t="shared" si="39"/>
        <v>-0.64524262465843596</v>
      </c>
      <c r="K137" s="735">
        <f t="shared" si="42"/>
        <v>177750164.40260589</v>
      </c>
      <c r="L137" s="100"/>
    </row>
    <row r="138" spans="1:12" x14ac:dyDescent="0.25">
      <c r="A138" s="695" t="str">
        <f t="shared" si="36"/>
        <v>Information Technology</v>
      </c>
      <c r="B138" s="415"/>
      <c r="C138" s="733"/>
      <c r="D138" s="733">
        <v>36645394.820353068</v>
      </c>
      <c r="E138" s="733">
        <v>47436872.820353068</v>
      </c>
      <c r="F138" s="733">
        <v>2485706.7799999998</v>
      </c>
      <c r="G138" s="733">
        <v>24249214.439999998</v>
      </c>
      <c r="H138" s="733">
        <f t="shared" si="45"/>
        <v>31624581.880235378</v>
      </c>
      <c r="I138" s="408">
        <f t="shared" si="38"/>
        <v>-7375367.4402353801</v>
      </c>
      <c r="J138" s="408">
        <f t="shared" si="39"/>
        <v>-0.23321628308530498</v>
      </c>
      <c r="K138" s="735">
        <f t="shared" si="42"/>
        <v>47436872.820353068</v>
      </c>
      <c r="L138" s="100"/>
    </row>
    <row r="139" spans="1:12" x14ac:dyDescent="0.25">
      <c r="A139" s="695" t="str">
        <f t="shared" si="36"/>
        <v>Legal Services</v>
      </c>
      <c r="B139" s="415"/>
      <c r="C139" s="733"/>
      <c r="D139" s="733">
        <v>11011185.169427564</v>
      </c>
      <c r="E139" s="733">
        <v>10482390.169427564</v>
      </c>
      <c r="F139" s="733">
        <v>701593.79</v>
      </c>
      <c r="G139" s="733">
        <v>7723439.1500000004</v>
      </c>
      <c r="H139" s="733">
        <f t="shared" si="45"/>
        <v>6988260.1129517099</v>
      </c>
      <c r="I139" s="408">
        <f t="shared" si="38"/>
        <v>735179.03704829048</v>
      </c>
      <c r="J139" s="408">
        <f t="shared" si="39"/>
        <v>0.10520201382970054</v>
      </c>
      <c r="K139" s="735">
        <f t="shared" si="42"/>
        <v>10482390.169427564</v>
      </c>
      <c r="L139" s="100"/>
    </row>
    <row r="140" spans="1:12" ht="22.5" x14ac:dyDescent="0.25">
      <c r="A140" s="695" t="str">
        <f t="shared" si="36"/>
        <v>Marketing, Customer Relations, Publicity and Media Co-ordination</v>
      </c>
      <c r="B140" s="415"/>
      <c r="C140" s="733"/>
      <c r="D140" s="733">
        <v>20838266.324347999</v>
      </c>
      <c r="E140" s="733">
        <v>20838266.324347999</v>
      </c>
      <c r="F140" s="733">
        <v>1350481.0400000003</v>
      </c>
      <c r="G140" s="733">
        <v>11136217.75</v>
      </c>
      <c r="H140" s="733">
        <f t="shared" si="45"/>
        <v>13892177.549565332</v>
      </c>
      <c r="I140" s="408">
        <f t="shared" si="38"/>
        <v>-2755959.799565332</v>
      </c>
      <c r="J140" s="408">
        <f t="shared" si="39"/>
        <v>-0.19838213193953616</v>
      </c>
      <c r="K140" s="735">
        <f t="shared" si="42"/>
        <v>20838266.324347999</v>
      </c>
      <c r="L140" s="100"/>
    </row>
    <row r="141" spans="1:12" x14ac:dyDescent="0.25">
      <c r="A141" s="695" t="str">
        <f t="shared" si="36"/>
        <v>Property Services</v>
      </c>
      <c r="B141" s="415"/>
      <c r="C141" s="733"/>
      <c r="D141" s="733">
        <v>57794332.631016083</v>
      </c>
      <c r="E141" s="733">
        <v>59124332.631016083</v>
      </c>
      <c r="F141" s="733">
        <v>5251537.88</v>
      </c>
      <c r="G141" s="733">
        <v>45196522.999999985</v>
      </c>
      <c r="H141" s="733">
        <f t="shared" si="45"/>
        <v>39416221.754010722</v>
      </c>
      <c r="I141" s="408">
        <f t="shared" si="38"/>
        <v>5780301.2459892631</v>
      </c>
      <c r="J141" s="408">
        <f t="shared" si="39"/>
        <v>0.14664777568136905</v>
      </c>
      <c r="K141" s="735">
        <f t="shared" si="42"/>
        <v>59124332.631016083</v>
      </c>
      <c r="L141" s="100"/>
    </row>
    <row r="142" spans="1:12" x14ac:dyDescent="0.25">
      <c r="A142" s="695" t="str">
        <f t="shared" si="36"/>
        <v>Risk Management</v>
      </c>
      <c r="B142" s="415"/>
      <c r="C142" s="733"/>
      <c r="D142" s="733"/>
      <c r="E142" s="733">
        <v>0</v>
      </c>
      <c r="F142" s="733"/>
      <c r="G142" s="733"/>
      <c r="H142" s="733"/>
      <c r="I142" s="408">
        <f t="shared" si="38"/>
        <v>0</v>
      </c>
      <c r="J142" s="408" t="str">
        <f t="shared" si="39"/>
        <v/>
      </c>
      <c r="K142" s="735"/>
      <c r="L142" s="100"/>
    </row>
    <row r="143" spans="1:12" x14ac:dyDescent="0.25">
      <c r="A143" s="695" t="str">
        <f t="shared" si="36"/>
        <v>Security Services</v>
      </c>
      <c r="B143" s="415"/>
      <c r="C143" s="733"/>
      <c r="D143" s="733">
        <v>131236960.70425577</v>
      </c>
      <c r="E143" s="733">
        <v>128844216.00984205</v>
      </c>
      <c r="F143" s="733">
        <v>13847278.140000002</v>
      </c>
      <c r="G143" s="733">
        <v>116839624.84000002</v>
      </c>
      <c r="H143" s="733">
        <f t="shared" ref="H143:H144" si="46">E143/12*8</f>
        <v>85896144.006561369</v>
      </c>
      <c r="I143" s="408">
        <f t="shared" si="38"/>
        <v>30943480.83343865</v>
      </c>
      <c r="J143" s="408">
        <f t="shared" si="39"/>
        <v>0.36024295608746959</v>
      </c>
      <c r="K143" s="735">
        <f t="shared" si="42"/>
        <v>128844216.00984205</v>
      </c>
      <c r="L143" s="100"/>
    </row>
    <row r="144" spans="1:12" x14ac:dyDescent="0.25">
      <c r="A144" s="695" t="str">
        <f t="shared" si="36"/>
        <v xml:space="preserve">Supply Chain Management </v>
      </c>
      <c r="B144" s="415"/>
      <c r="C144" s="733"/>
      <c r="D144" s="733">
        <v>63645857.888706505</v>
      </c>
      <c r="E144" s="733">
        <v>84962749.34554404</v>
      </c>
      <c r="F144" s="733">
        <v>2758917.18</v>
      </c>
      <c r="G144" s="733">
        <v>27805872.029999997</v>
      </c>
      <c r="H144" s="733">
        <f t="shared" si="46"/>
        <v>56641832.897029363</v>
      </c>
      <c r="I144" s="408">
        <f t="shared" si="38"/>
        <v>-28835960.867029365</v>
      </c>
      <c r="J144" s="408">
        <f t="shared" si="39"/>
        <v>-0.50909300409559477</v>
      </c>
      <c r="K144" s="735">
        <f t="shared" ref="K144" si="47">E144</f>
        <v>84962749.34554404</v>
      </c>
      <c r="L144" s="100"/>
    </row>
    <row r="145" spans="1:12" x14ac:dyDescent="0.25">
      <c r="A145" s="695" t="str">
        <f t="shared" si="36"/>
        <v>Valuation Service</v>
      </c>
      <c r="B145" s="415"/>
      <c r="C145" s="733"/>
      <c r="D145" s="733"/>
      <c r="E145" s="733">
        <v>0</v>
      </c>
      <c r="F145" s="733"/>
      <c r="G145" s="733"/>
      <c r="H145" s="733"/>
      <c r="I145" s="408">
        <f t="shared" si="38"/>
        <v>0</v>
      </c>
      <c r="J145" s="408" t="str">
        <f t="shared" si="39"/>
        <v/>
      </c>
      <c r="K145" s="735"/>
      <c r="L145" s="100"/>
    </row>
    <row r="146" spans="1:12" x14ac:dyDescent="0.25">
      <c r="A146" s="607" t="str">
        <f t="shared" si="36"/>
        <v>Internal audit</v>
      </c>
      <c r="B146" s="620"/>
      <c r="C146" s="608">
        <f t="shared" ref="C146:H146" si="48">SUM(C147:C147)</f>
        <v>0</v>
      </c>
      <c r="D146" s="608">
        <f t="shared" si="48"/>
        <v>21986532.785097998</v>
      </c>
      <c r="E146" s="608">
        <f t="shared" si="48"/>
        <v>22256532.785097998</v>
      </c>
      <c r="F146" s="608">
        <f t="shared" si="48"/>
        <v>2006544.9</v>
      </c>
      <c r="G146" s="608">
        <f t="shared" si="48"/>
        <v>10782420.229999999</v>
      </c>
      <c r="H146" s="608">
        <f t="shared" si="48"/>
        <v>14837688.523398666</v>
      </c>
      <c r="I146" s="608">
        <f t="shared" si="38"/>
        <v>-4055268.2933986671</v>
      </c>
      <c r="J146" s="608">
        <f t="shared" si="39"/>
        <v>-0.27330862802542388</v>
      </c>
      <c r="K146" s="610">
        <f>SUM(K147:K147)</f>
        <v>22256532.785097998</v>
      </c>
      <c r="L146" s="100"/>
    </row>
    <row r="147" spans="1:12" x14ac:dyDescent="0.25">
      <c r="A147" s="695" t="str">
        <f t="shared" si="36"/>
        <v>Governance Function</v>
      </c>
      <c r="B147" s="620"/>
      <c r="C147" s="733"/>
      <c r="D147" s="733">
        <v>21986532.785097998</v>
      </c>
      <c r="E147" s="733">
        <v>22256532.785097998</v>
      </c>
      <c r="F147" s="733">
        <v>2006544.9</v>
      </c>
      <c r="G147" s="733">
        <v>10782420.229999999</v>
      </c>
      <c r="H147" s="733">
        <f>E147/12*8</f>
        <v>14837688.523398666</v>
      </c>
      <c r="I147" s="408">
        <f t="shared" si="38"/>
        <v>-4055268.2933986671</v>
      </c>
      <c r="J147" s="408">
        <f t="shared" si="39"/>
        <v>-0.27330862802542388</v>
      </c>
      <c r="K147" s="735">
        <f t="shared" ref="K147" si="49">E147</f>
        <v>22256532.785097998</v>
      </c>
      <c r="L147" s="100"/>
    </row>
    <row r="148" spans="1:12" x14ac:dyDescent="0.25">
      <c r="A148" s="414" t="str">
        <f t="shared" si="36"/>
        <v>Community and public safety</v>
      </c>
      <c r="B148" s="620"/>
      <c r="C148" s="605">
        <f t="shared" ref="C148:H148" si="50">C149+C171+C177+C186+C189</f>
        <v>0</v>
      </c>
      <c r="D148" s="605">
        <f t="shared" si="50"/>
        <v>440067727.15977156</v>
      </c>
      <c r="E148" s="605">
        <f t="shared" si="50"/>
        <v>533334006.71673155</v>
      </c>
      <c r="F148" s="605">
        <f t="shared" si="50"/>
        <v>39872036.289999992</v>
      </c>
      <c r="G148" s="605">
        <f t="shared" si="50"/>
        <v>317536695.48000002</v>
      </c>
      <c r="H148" s="605">
        <f t="shared" si="50"/>
        <v>355556004.47782105</v>
      </c>
      <c r="I148" s="605">
        <f t="shared" si="38"/>
        <v>-38019308.997821033</v>
      </c>
      <c r="J148" s="605">
        <f t="shared" si="39"/>
        <v>-0.10692917154825494</v>
      </c>
      <c r="K148" s="606">
        <f>K149+K171+K177+K186+K189</f>
        <v>533334006.71673155</v>
      </c>
      <c r="L148" s="100"/>
    </row>
    <row r="149" spans="1:12" x14ac:dyDescent="0.25">
      <c r="A149" s="607" t="str">
        <f t="shared" si="36"/>
        <v>Community and social services</v>
      </c>
      <c r="B149" s="620"/>
      <c r="C149" s="611">
        <f t="shared" ref="C149:H149" si="51">SUM(C150:C170)</f>
        <v>0</v>
      </c>
      <c r="D149" s="611">
        <f t="shared" si="51"/>
        <v>128373725.79885694</v>
      </c>
      <c r="E149" s="611">
        <f t="shared" si="51"/>
        <v>130889937.79885694</v>
      </c>
      <c r="F149" s="611">
        <f t="shared" si="51"/>
        <v>11429155.739999998</v>
      </c>
      <c r="G149" s="611">
        <f t="shared" si="51"/>
        <v>103822338.43999998</v>
      </c>
      <c r="H149" s="611">
        <f t="shared" si="51"/>
        <v>87259958.532571286</v>
      </c>
      <c r="I149" s="611">
        <f t="shared" si="38"/>
        <v>16562379.907428697</v>
      </c>
      <c r="J149" s="611">
        <f t="shared" si="39"/>
        <v>0.18980503985967978</v>
      </c>
      <c r="K149" s="614">
        <f>SUM(K150:K170)</f>
        <v>130889937.79885694</v>
      </c>
      <c r="L149" s="100"/>
    </row>
    <row r="150" spans="1:12" x14ac:dyDescent="0.25">
      <c r="A150" s="695" t="str">
        <f t="shared" si="36"/>
        <v>Aged Care</v>
      </c>
      <c r="B150" s="620"/>
      <c r="C150" s="733"/>
      <c r="D150" s="733">
        <v>4431.0612499999997</v>
      </c>
      <c r="E150" s="733">
        <v>4431.0612499999997</v>
      </c>
      <c r="F150" s="733">
        <v>44.35</v>
      </c>
      <c r="G150" s="733">
        <v>385.55</v>
      </c>
      <c r="H150" s="733">
        <f>E150/12*8</f>
        <v>2954.040833333333</v>
      </c>
      <c r="I150" s="408">
        <f t="shared" si="38"/>
        <v>-2568.4908333333328</v>
      </c>
      <c r="J150" s="408">
        <f t="shared" si="39"/>
        <v>-0.8694838623591582</v>
      </c>
      <c r="K150" s="735">
        <f t="shared" ref="K150" si="52">E150</f>
        <v>4431.0612499999997</v>
      </c>
      <c r="L150" s="100"/>
    </row>
    <row r="151" spans="1:12" x14ac:dyDescent="0.25">
      <c r="A151" s="695" t="str">
        <f t="shared" si="36"/>
        <v>Agricultural</v>
      </c>
      <c r="B151" s="620"/>
      <c r="C151" s="733"/>
      <c r="D151" s="733"/>
      <c r="E151" s="733">
        <v>0</v>
      </c>
      <c r="F151" s="733"/>
      <c r="G151" s="733"/>
      <c r="H151" s="733"/>
      <c r="I151" s="408">
        <f t="shared" si="38"/>
        <v>0</v>
      </c>
      <c r="J151" s="408" t="str">
        <f t="shared" si="39"/>
        <v/>
      </c>
      <c r="K151" s="735"/>
      <c r="L151" s="100"/>
    </row>
    <row r="152" spans="1:12" x14ac:dyDescent="0.25">
      <c r="A152" s="695" t="str">
        <f t="shared" si="36"/>
        <v>Animal Care and Diseases</v>
      </c>
      <c r="B152" s="620"/>
      <c r="C152" s="733"/>
      <c r="D152" s="733">
        <v>982940.46</v>
      </c>
      <c r="E152" s="733">
        <v>982940.46</v>
      </c>
      <c r="F152" s="733"/>
      <c r="G152" s="733">
        <v>690137.28</v>
      </c>
      <c r="H152" s="733">
        <f>E152/12*8</f>
        <v>655293.64</v>
      </c>
      <c r="I152" s="408">
        <f t="shared" si="38"/>
        <v>34843.640000000014</v>
      </c>
      <c r="J152" s="408">
        <f t="shared" si="39"/>
        <v>5.3172559404055887E-2</v>
      </c>
      <c r="K152" s="735">
        <f t="shared" ref="K152:K153" si="53">E152</f>
        <v>982940.46</v>
      </c>
      <c r="L152" s="100"/>
    </row>
    <row r="153" spans="1:12" ht="22.5" x14ac:dyDescent="0.25">
      <c r="A153" s="695" t="str">
        <f t="shared" si="36"/>
        <v>Cemeteries, Funeral Parlours and Crematoriums</v>
      </c>
      <c r="B153" s="620"/>
      <c r="C153" s="733"/>
      <c r="D153" s="733">
        <v>26579168.830668706</v>
      </c>
      <c r="E153" s="733">
        <v>26593168.830668706</v>
      </c>
      <c r="F153" s="733">
        <v>2195082.1</v>
      </c>
      <c r="G153" s="733">
        <v>17816308.150000002</v>
      </c>
      <c r="H153" s="733">
        <f>E153/12*8</f>
        <v>17728779.220445804</v>
      </c>
      <c r="I153" s="408">
        <f t="shared" si="38"/>
        <v>87528.929554197937</v>
      </c>
      <c r="J153" s="408">
        <f t="shared" si="39"/>
        <v>4.9371097956510592E-3</v>
      </c>
      <c r="K153" s="735">
        <f t="shared" si="53"/>
        <v>26593168.830668706</v>
      </c>
      <c r="L153" s="100"/>
    </row>
    <row r="154" spans="1:12" x14ac:dyDescent="0.25">
      <c r="A154" s="695" t="str">
        <f t="shared" si="36"/>
        <v>Child Care Facilities</v>
      </c>
      <c r="B154" s="620"/>
      <c r="C154" s="733"/>
      <c r="D154" s="733"/>
      <c r="E154" s="733">
        <v>0</v>
      </c>
      <c r="F154" s="733"/>
      <c r="G154" s="733"/>
      <c r="H154" s="733"/>
      <c r="I154" s="408">
        <f t="shared" si="38"/>
        <v>0</v>
      </c>
      <c r="J154" s="408" t="str">
        <f t="shared" si="39"/>
        <v/>
      </c>
      <c r="K154" s="735"/>
      <c r="L154" s="100"/>
    </row>
    <row r="155" spans="1:12" x14ac:dyDescent="0.25">
      <c r="A155" s="695" t="str">
        <f t="shared" si="36"/>
        <v>Community Halls and Facilities</v>
      </c>
      <c r="B155" s="620"/>
      <c r="C155" s="733"/>
      <c r="D155" s="733">
        <v>15746961.964834005</v>
      </c>
      <c r="E155" s="733">
        <v>15746961.964834005</v>
      </c>
      <c r="F155" s="733">
        <v>2806639.3200000003</v>
      </c>
      <c r="G155" s="733">
        <v>34343224.93999999</v>
      </c>
      <c r="H155" s="733">
        <f>E155/12*8</f>
        <v>10497974.643222669</v>
      </c>
      <c r="I155" s="408">
        <f t="shared" si="38"/>
        <v>23845250.296777323</v>
      </c>
      <c r="J155" s="408">
        <f t="shared" si="39"/>
        <v>2.2714143544032512</v>
      </c>
      <c r="K155" s="735">
        <f t="shared" ref="K155" si="54">E155</f>
        <v>15746961.964834005</v>
      </c>
      <c r="L155" s="100"/>
    </row>
    <row r="156" spans="1:12" x14ac:dyDescent="0.25">
      <c r="A156" s="695" t="str">
        <f t="shared" si="36"/>
        <v>Consumer Protection</v>
      </c>
      <c r="B156" s="620"/>
      <c r="C156" s="733"/>
      <c r="D156" s="733"/>
      <c r="E156" s="733">
        <v>0</v>
      </c>
      <c r="F156" s="733"/>
      <c r="G156" s="733"/>
      <c r="H156" s="733"/>
      <c r="I156" s="408">
        <f t="shared" si="38"/>
        <v>0</v>
      </c>
      <c r="J156" s="408" t="str">
        <f t="shared" si="39"/>
        <v/>
      </c>
      <c r="K156" s="735"/>
      <c r="L156" s="100"/>
    </row>
    <row r="157" spans="1:12" x14ac:dyDescent="0.25">
      <c r="A157" s="695" t="str">
        <f t="shared" si="36"/>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6"/>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6"/>
        <v>Education</v>
      </c>
      <c r="B159" s="620"/>
      <c r="C159" s="733"/>
      <c r="D159" s="733"/>
      <c r="E159" s="733">
        <v>0</v>
      </c>
      <c r="F159" s="733"/>
      <c r="G159" s="733"/>
      <c r="H159" s="733"/>
      <c r="I159" s="408">
        <f t="shared" ref="I159:I164" si="55">G159-H159</f>
        <v>0</v>
      </c>
      <c r="J159" s="408" t="str">
        <f t="shared" ref="J159:J164" si="56">IF(I159=0,"",I159/H159)</f>
        <v/>
      </c>
      <c r="K159" s="735"/>
      <c r="L159" s="100"/>
    </row>
    <row r="160" spans="1:12" x14ac:dyDescent="0.25">
      <c r="A160" s="695" t="str">
        <f t="shared" ref="A160:A191" si="57">A38</f>
        <v>Indigenous and Customary Law</v>
      </c>
      <c r="B160" s="620"/>
      <c r="C160" s="733"/>
      <c r="D160" s="733"/>
      <c r="E160" s="733">
        <v>0</v>
      </c>
      <c r="F160" s="733"/>
      <c r="G160" s="733"/>
      <c r="H160" s="733"/>
      <c r="I160" s="408">
        <f t="shared" si="55"/>
        <v>0</v>
      </c>
      <c r="J160" s="408" t="str">
        <f t="shared" si="56"/>
        <v/>
      </c>
      <c r="K160" s="735"/>
      <c r="L160" s="100"/>
    </row>
    <row r="161" spans="1:12" x14ac:dyDescent="0.25">
      <c r="A161" s="695" t="str">
        <f t="shared" si="57"/>
        <v>Industrial Promotion</v>
      </c>
      <c r="B161" s="620"/>
      <c r="C161" s="733"/>
      <c r="D161" s="733"/>
      <c r="E161" s="733">
        <v>0</v>
      </c>
      <c r="F161" s="733"/>
      <c r="G161" s="733"/>
      <c r="H161" s="733"/>
      <c r="I161" s="408">
        <f t="shared" si="55"/>
        <v>0</v>
      </c>
      <c r="J161" s="408" t="str">
        <f t="shared" si="56"/>
        <v/>
      </c>
      <c r="K161" s="735"/>
      <c r="L161" s="100"/>
    </row>
    <row r="162" spans="1:12" x14ac:dyDescent="0.25">
      <c r="A162" s="695" t="str">
        <f t="shared" si="57"/>
        <v>Language Policy</v>
      </c>
      <c r="B162" s="620"/>
      <c r="C162" s="733"/>
      <c r="D162" s="733"/>
      <c r="E162" s="733">
        <v>0</v>
      </c>
      <c r="F162" s="733"/>
      <c r="G162" s="733"/>
      <c r="H162" s="733"/>
      <c r="I162" s="408">
        <f t="shared" si="55"/>
        <v>0</v>
      </c>
      <c r="J162" s="408" t="str">
        <f t="shared" si="56"/>
        <v/>
      </c>
      <c r="K162" s="735"/>
      <c r="L162" s="100"/>
    </row>
    <row r="163" spans="1:12" x14ac:dyDescent="0.25">
      <c r="A163" s="695" t="str">
        <f t="shared" si="57"/>
        <v>Libraries and Archives</v>
      </c>
      <c r="B163" s="620"/>
      <c r="C163" s="733"/>
      <c r="D163" s="733">
        <v>68987451.478751421</v>
      </c>
      <c r="E163" s="733">
        <v>71261116.478751421</v>
      </c>
      <c r="F163" s="733">
        <v>5041622.4399999976</v>
      </c>
      <c r="G163" s="733">
        <v>43131680.11999999</v>
      </c>
      <c r="H163" s="733">
        <f>E163/12*8</f>
        <v>47507410.985834278</v>
      </c>
      <c r="I163" s="408">
        <f t="shared" si="55"/>
        <v>-4375730.8658342883</v>
      </c>
      <c r="J163" s="408">
        <f t="shared" si="56"/>
        <v>-9.2106279315853273E-2</v>
      </c>
      <c r="K163" s="735">
        <f t="shared" ref="K163" si="58">E163</f>
        <v>71261116.478751421</v>
      </c>
      <c r="L163" s="100"/>
    </row>
    <row r="164" spans="1:12" x14ac:dyDescent="0.25">
      <c r="A164" s="695" t="str">
        <f t="shared" si="57"/>
        <v>Literacy Programmes</v>
      </c>
      <c r="B164" s="620"/>
      <c r="C164" s="733"/>
      <c r="D164" s="733"/>
      <c r="E164" s="733">
        <v>0</v>
      </c>
      <c r="F164" s="733"/>
      <c r="G164" s="733"/>
      <c r="H164" s="733"/>
      <c r="I164" s="408">
        <f t="shared" si="55"/>
        <v>0</v>
      </c>
      <c r="J164" s="408" t="str">
        <f t="shared" si="56"/>
        <v/>
      </c>
      <c r="K164" s="735"/>
      <c r="L164" s="100"/>
    </row>
    <row r="165" spans="1:12" x14ac:dyDescent="0.25">
      <c r="A165" s="695" t="str">
        <f t="shared" si="57"/>
        <v>Media Services</v>
      </c>
      <c r="B165" s="620"/>
      <c r="C165" s="733"/>
      <c r="D165" s="733"/>
      <c r="E165" s="733">
        <v>0</v>
      </c>
      <c r="F165" s="733"/>
      <c r="G165" s="733"/>
      <c r="H165" s="733"/>
      <c r="I165" s="408">
        <f t="shared" si="38"/>
        <v>0</v>
      </c>
      <c r="J165" s="408" t="str">
        <f t="shared" si="39"/>
        <v/>
      </c>
      <c r="K165" s="735"/>
      <c r="L165" s="100"/>
    </row>
    <row r="166" spans="1:12" x14ac:dyDescent="0.25">
      <c r="A166" s="695" t="str">
        <f t="shared" si="57"/>
        <v>Museums and Art Galleries</v>
      </c>
      <c r="B166" s="620"/>
      <c r="C166" s="733"/>
      <c r="D166" s="733">
        <v>7907722.2016169671</v>
      </c>
      <c r="E166" s="733">
        <v>8165123.2016169671</v>
      </c>
      <c r="F166" s="733">
        <v>771466.79999999993</v>
      </c>
      <c r="G166" s="733">
        <v>4439073.4899999993</v>
      </c>
      <c r="H166" s="733">
        <f t="shared" ref="H166:H167" si="59">E166/12*8</f>
        <v>5443415.4677446447</v>
      </c>
      <c r="I166" s="408">
        <f t="shared" si="38"/>
        <v>-1004341.9777446454</v>
      </c>
      <c r="J166" s="408">
        <f t="shared" si="39"/>
        <v>-0.18450584631945643</v>
      </c>
      <c r="K166" s="735">
        <f t="shared" ref="K166:K167" si="60">E166</f>
        <v>8165123.2016169671</v>
      </c>
      <c r="L166" s="100"/>
    </row>
    <row r="167" spans="1:12" x14ac:dyDescent="0.25">
      <c r="A167" s="695" t="str">
        <f t="shared" si="57"/>
        <v>Population Development</v>
      </c>
      <c r="B167" s="620"/>
      <c r="C167" s="733"/>
      <c r="D167" s="733">
        <v>8165049.8017358435</v>
      </c>
      <c r="E167" s="733">
        <v>8136195.8017358435</v>
      </c>
      <c r="F167" s="733">
        <v>613763.41</v>
      </c>
      <c r="G167" s="733">
        <v>3396693.0299999993</v>
      </c>
      <c r="H167" s="733">
        <f t="shared" si="59"/>
        <v>5424130.534490562</v>
      </c>
      <c r="I167" s="408">
        <f t="shared" si="38"/>
        <v>-2027437.5044905627</v>
      </c>
      <c r="J167" s="408">
        <f t="shared" si="39"/>
        <v>-0.37378110493444844</v>
      </c>
      <c r="K167" s="735">
        <f t="shared" si="60"/>
        <v>8136195.8017358435</v>
      </c>
      <c r="L167" s="100"/>
    </row>
    <row r="168" spans="1:12" x14ac:dyDescent="0.25">
      <c r="A168" s="695" t="str">
        <f t="shared" si="57"/>
        <v>Provincial Cultural Matters</v>
      </c>
      <c r="B168" s="620"/>
      <c r="C168" s="733"/>
      <c r="D168" s="733"/>
      <c r="E168" s="733">
        <v>0</v>
      </c>
      <c r="F168" s="733"/>
      <c r="G168" s="733"/>
      <c r="H168" s="733"/>
      <c r="I168" s="408">
        <f t="shared" si="38"/>
        <v>0</v>
      </c>
      <c r="J168" s="408" t="str">
        <f t="shared" si="39"/>
        <v/>
      </c>
      <c r="K168" s="735"/>
      <c r="L168" s="100"/>
    </row>
    <row r="169" spans="1:12" x14ac:dyDescent="0.25">
      <c r="A169" s="695" t="str">
        <f t="shared" si="57"/>
        <v>Theatres</v>
      </c>
      <c r="B169" s="620"/>
      <c r="C169" s="733"/>
      <c r="D169" s="733"/>
      <c r="E169" s="733">
        <v>0</v>
      </c>
      <c r="F169" s="733">
        <v>537.32000000000005</v>
      </c>
      <c r="G169" s="733">
        <v>4835.88</v>
      </c>
      <c r="H169" s="733"/>
      <c r="I169" s="408">
        <f t="shared" si="38"/>
        <v>4835.88</v>
      </c>
      <c r="J169" s="408" t="e">
        <f t="shared" si="39"/>
        <v>#DIV/0!</v>
      </c>
      <c r="K169" s="735"/>
      <c r="L169" s="100"/>
    </row>
    <row r="170" spans="1:12" x14ac:dyDescent="0.25">
      <c r="A170" s="695" t="str">
        <f t="shared" si="57"/>
        <v>Zoo's</v>
      </c>
      <c r="B170" s="620"/>
      <c r="C170" s="733"/>
      <c r="D170" s="733"/>
      <c r="E170" s="733">
        <v>0</v>
      </c>
      <c r="F170" s="733"/>
      <c r="G170" s="733"/>
      <c r="H170" s="733"/>
      <c r="I170" s="408">
        <f t="shared" si="38"/>
        <v>0</v>
      </c>
      <c r="J170" s="408" t="str">
        <f t="shared" si="39"/>
        <v/>
      </c>
      <c r="K170" s="735"/>
      <c r="L170" s="100"/>
    </row>
    <row r="171" spans="1:12" x14ac:dyDescent="0.25">
      <c r="A171" s="607" t="str">
        <f t="shared" si="57"/>
        <v>Sport and recreation</v>
      </c>
      <c r="B171" s="620"/>
      <c r="C171" s="611">
        <f t="shared" ref="C171:K171" si="61">SUM(C172:C176)</f>
        <v>0</v>
      </c>
      <c r="D171" s="611">
        <f t="shared" si="61"/>
        <v>114418472.68896006</v>
      </c>
      <c r="E171" s="611">
        <f t="shared" si="61"/>
        <v>114548472.68896006</v>
      </c>
      <c r="F171" s="611">
        <f t="shared" si="61"/>
        <v>11345380.330000002</v>
      </c>
      <c r="G171" s="611">
        <f t="shared" si="61"/>
        <v>80949589.399999976</v>
      </c>
      <c r="H171" s="611">
        <f t="shared" si="61"/>
        <v>76365648.459306717</v>
      </c>
      <c r="I171" s="611">
        <f t="shared" ref="I171:I176" si="62">G171-H171</f>
        <v>4583940.9406932592</v>
      </c>
      <c r="J171" s="611">
        <f t="shared" ref="J171:J176" si="63">IF(I171=0,"",I171/H171)</f>
        <v>6.0026216409802678E-2</v>
      </c>
      <c r="K171" s="614">
        <f t="shared" si="61"/>
        <v>114548472.68896006</v>
      </c>
      <c r="L171" s="100"/>
    </row>
    <row r="172" spans="1:12" x14ac:dyDescent="0.25">
      <c r="A172" s="695" t="str">
        <f t="shared" si="57"/>
        <v xml:space="preserve">Beaches and Jetties </v>
      </c>
      <c r="B172" s="620"/>
      <c r="C172" s="733"/>
      <c r="D172" s="733"/>
      <c r="E172" s="733"/>
      <c r="F172" s="733"/>
      <c r="G172" s="733"/>
      <c r="H172" s="733"/>
      <c r="I172" s="408">
        <f t="shared" si="62"/>
        <v>0</v>
      </c>
      <c r="J172" s="408" t="str">
        <f t="shared" si="63"/>
        <v/>
      </c>
      <c r="K172" s="735"/>
      <c r="L172" s="100"/>
    </row>
    <row r="173" spans="1:12" x14ac:dyDescent="0.25">
      <c r="A173" s="695" t="str">
        <f t="shared" si="57"/>
        <v>Casinos, Racing, Gambling, Wagering</v>
      </c>
      <c r="B173" s="620"/>
      <c r="C173" s="733"/>
      <c r="D173" s="733"/>
      <c r="E173" s="733"/>
      <c r="F173" s="733"/>
      <c r="G173" s="733"/>
      <c r="H173" s="733"/>
      <c r="I173" s="408">
        <f t="shared" si="62"/>
        <v>0</v>
      </c>
      <c r="J173" s="408" t="str">
        <f t="shared" si="63"/>
        <v/>
      </c>
      <c r="K173" s="735"/>
      <c r="L173" s="100"/>
    </row>
    <row r="174" spans="1:12" x14ac:dyDescent="0.25">
      <c r="A174" s="695" t="str">
        <f t="shared" si="57"/>
        <v>Community Parks (including Nurseries)</v>
      </c>
      <c r="B174" s="620"/>
      <c r="C174" s="733"/>
      <c r="D174" s="733">
        <v>48114791.713263765</v>
      </c>
      <c r="E174" s="733">
        <v>48294791.713263765</v>
      </c>
      <c r="F174" s="733">
        <v>5040591.3800000008</v>
      </c>
      <c r="G174" s="733">
        <v>32886908.289999992</v>
      </c>
      <c r="H174" s="733">
        <f t="shared" ref="H174:H175" si="64">E174/12*8</f>
        <v>32196527.80884251</v>
      </c>
      <c r="I174" s="408">
        <f t="shared" si="62"/>
        <v>690380.48115748167</v>
      </c>
      <c r="J174" s="408">
        <f t="shared" si="63"/>
        <v>2.1442699823298161E-2</v>
      </c>
      <c r="K174" s="735">
        <f t="shared" ref="K174:K175" si="65">E174</f>
        <v>48294791.713263765</v>
      </c>
      <c r="L174" s="100"/>
    </row>
    <row r="175" spans="1:12" x14ac:dyDescent="0.25">
      <c r="A175" s="695" t="str">
        <f t="shared" si="57"/>
        <v>Recreational Facilities</v>
      </c>
      <c r="B175" s="620"/>
      <c r="C175" s="733"/>
      <c r="D175" s="733">
        <v>66303680.975696295</v>
      </c>
      <c r="E175" s="733">
        <v>66253680.975696295</v>
      </c>
      <c r="F175" s="733">
        <v>6304788.9500000002</v>
      </c>
      <c r="G175" s="733">
        <v>48062681.109999992</v>
      </c>
      <c r="H175" s="733">
        <f t="shared" si="64"/>
        <v>44169120.650464199</v>
      </c>
      <c r="I175" s="408">
        <f t="shared" si="62"/>
        <v>3893560.4595357925</v>
      </c>
      <c r="J175" s="408">
        <f t="shared" si="63"/>
        <v>8.8151188029025718E-2</v>
      </c>
      <c r="K175" s="735">
        <f t="shared" si="65"/>
        <v>66253680.975696295</v>
      </c>
      <c r="L175" s="100"/>
    </row>
    <row r="176" spans="1:12" x14ac:dyDescent="0.25">
      <c r="A176" s="695" t="str">
        <f t="shared" si="57"/>
        <v>Sports Grounds and Stadiums</v>
      </c>
      <c r="B176" s="620"/>
      <c r="C176" s="733"/>
      <c r="D176" s="733"/>
      <c r="E176" s="733">
        <v>0</v>
      </c>
      <c r="F176" s="733"/>
      <c r="G176" s="733"/>
      <c r="H176" s="733"/>
      <c r="I176" s="408">
        <f t="shared" si="62"/>
        <v>0</v>
      </c>
      <c r="J176" s="408" t="str">
        <f t="shared" si="63"/>
        <v/>
      </c>
      <c r="K176" s="735"/>
      <c r="L176" s="100"/>
    </row>
    <row r="177" spans="1:12" x14ac:dyDescent="0.25">
      <c r="A177" s="607" t="str">
        <f t="shared" si="57"/>
        <v>Public safety</v>
      </c>
      <c r="B177" s="620"/>
      <c r="C177" s="611">
        <f t="shared" ref="C177:K177" si="66">SUM(C178:C185)</f>
        <v>0</v>
      </c>
      <c r="D177" s="611">
        <f t="shared" si="66"/>
        <v>106871795.2822189</v>
      </c>
      <c r="E177" s="611">
        <f t="shared" si="66"/>
        <v>140511795.83917889</v>
      </c>
      <c r="F177" s="611">
        <f t="shared" si="66"/>
        <v>12002316.309999999</v>
      </c>
      <c r="G177" s="611">
        <f t="shared" si="66"/>
        <v>83627100.680000007</v>
      </c>
      <c r="H177" s="611">
        <f t="shared" si="66"/>
        <v>93674530.559452593</v>
      </c>
      <c r="I177" s="611">
        <f t="shared" si="38"/>
        <v>-10047429.879452586</v>
      </c>
      <c r="J177" s="611">
        <f t="shared" si="39"/>
        <v>-0.10725892960921501</v>
      </c>
      <c r="K177" s="614">
        <f t="shared" si="66"/>
        <v>140511795.83917889</v>
      </c>
      <c r="L177" s="100"/>
    </row>
    <row r="178" spans="1:12" x14ac:dyDescent="0.25">
      <c r="A178" s="695" t="str">
        <f t="shared" si="57"/>
        <v>Civil Defence</v>
      </c>
      <c r="B178" s="620"/>
      <c r="C178" s="733"/>
      <c r="D178" s="733">
        <v>12197113.976451974</v>
      </c>
      <c r="E178" s="733">
        <v>12197113.976451974</v>
      </c>
      <c r="F178" s="733">
        <v>3031382.13</v>
      </c>
      <c r="G178" s="733">
        <v>10092145.629999999</v>
      </c>
      <c r="H178" s="733">
        <f>E178/12*8</f>
        <v>8131409.3176346496</v>
      </c>
      <c r="I178" s="408">
        <f t="shared" si="38"/>
        <v>1960736.3123653494</v>
      </c>
      <c r="J178" s="408">
        <f t="shared" si="39"/>
        <v>0.24113117859078689</v>
      </c>
      <c r="K178" s="735">
        <f t="shared" ref="K178" si="67">E178</f>
        <v>12197113.976451974</v>
      </c>
      <c r="L178" s="100"/>
    </row>
    <row r="179" spans="1:12" x14ac:dyDescent="0.25">
      <c r="A179" s="695" t="str">
        <f t="shared" si="57"/>
        <v>Cleansing</v>
      </c>
      <c r="B179" s="620"/>
      <c r="C179" s="733"/>
      <c r="D179" s="733"/>
      <c r="E179" s="733"/>
      <c r="F179" s="733"/>
      <c r="G179" s="733"/>
      <c r="H179" s="733"/>
      <c r="I179" s="408">
        <f t="shared" si="38"/>
        <v>0</v>
      </c>
      <c r="J179" s="408" t="str">
        <f t="shared" si="39"/>
        <v/>
      </c>
      <c r="K179" s="735"/>
      <c r="L179" s="100"/>
    </row>
    <row r="180" spans="1:12" x14ac:dyDescent="0.25">
      <c r="A180" s="695" t="str">
        <f t="shared" si="57"/>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57"/>
        <v xml:space="preserve">Fencing and Fences </v>
      </c>
      <c r="B181" s="620"/>
      <c r="C181" s="733"/>
      <c r="D181" s="733"/>
      <c r="E181" s="733"/>
      <c r="F181" s="733"/>
      <c r="G181" s="733"/>
      <c r="H181" s="733"/>
      <c r="I181" s="408">
        <f t="shared" si="38"/>
        <v>0</v>
      </c>
      <c r="J181" s="408" t="str">
        <f t="shared" si="39"/>
        <v/>
      </c>
      <c r="K181" s="735"/>
      <c r="L181" s="100"/>
    </row>
    <row r="182" spans="1:12" x14ac:dyDescent="0.25">
      <c r="A182" s="695" t="str">
        <f t="shared" si="57"/>
        <v>Fire Fighting and Protection</v>
      </c>
      <c r="B182" s="620"/>
      <c r="C182" s="733"/>
      <c r="D182" s="733">
        <v>94674681.305766925</v>
      </c>
      <c r="E182" s="733">
        <v>128314681.86272693</v>
      </c>
      <c r="F182" s="733">
        <v>8970934.1799999978</v>
      </c>
      <c r="G182" s="733">
        <v>73534955.050000012</v>
      </c>
      <c r="H182" s="733">
        <f>E182/12*8</f>
        <v>85543121.241817951</v>
      </c>
      <c r="I182" s="408">
        <f t="shared" si="38"/>
        <v>-12008166.191817939</v>
      </c>
      <c r="J182" s="408">
        <f t="shared" si="39"/>
        <v>-0.14037559090078794</v>
      </c>
      <c r="K182" s="735">
        <f t="shared" ref="K182" si="68">E182</f>
        <v>128314681.86272693</v>
      </c>
      <c r="L182" s="100"/>
    </row>
    <row r="183" spans="1:12" x14ac:dyDescent="0.25">
      <c r="A183" s="695" t="str">
        <f t="shared" si="57"/>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57"/>
        <v>Police Forces, Traffic and Street Parking Control</v>
      </c>
      <c r="B184" s="620"/>
      <c r="C184" s="733"/>
      <c r="D184" s="733"/>
      <c r="E184" s="733"/>
      <c r="F184" s="733"/>
      <c r="G184" s="733"/>
      <c r="H184" s="733"/>
      <c r="I184" s="408">
        <f>G184-H184</f>
        <v>0</v>
      </c>
      <c r="J184" s="408" t="str">
        <f>IF(I184=0,"",I184/H184)</f>
        <v/>
      </c>
      <c r="K184" s="735"/>
      <c r="L184" s="100"/>
    </row>
    <row r="185" spans="1:12" x14ac:dyDescent="0.25">
      <c r="A185" s="695" t="str">
        <f t="shared" si="57"/>
        <v>Pounds</v>
      </c>
      <c r="B185" s="620"/>
      <c r="C185" s="733"/>
      <c r="D185" s="733"/>
      <c r="E185" s="733"/>
      <c r="F185" s="733"/>
      <c r="G185" s="733"/>
      <c r="H185" s="733"/>
      <c r="I185" s="408">
        <f t="shared" si="38"/>
        <v>0</v>
      </c>
      <c r="J185" s="408" t="str">
        <f t="shared" si="39"/>
        <v/>
      </c>
      <c r="K185" s="735"/>
      <c r="L185" s="100"/>
    </row>
    <row r="186" spans="1:12" x14ac:dyDescent="0.25">
      <c r="A186" s="607" t="str">
        <f t="shared" si="57"/>
        <v>Housing</v>
      </c>
      <c r="B186" s="620"/>
      <c r="C186" s="611">
        <f t="shared" ref="C186:H186" si="69">SUM(C187:C188)</f>
        <v>0</v>
      </c>
      <c r="D186" s="611">
        <f t="shared" si="69"/>
        <v>90129848.361797929</v>
      </c>
      <c r="E186" s="611">
        <f t="shared" si="69"/>
        <v>147109915.36179793</v>
      </c>
      <c r="F186" s="611">
        <f t="shared" si="69"/>
        <v>4348104.3300000019</v>
      </c>
      <c r="G186" s="611">
        <f t="shared" si="69"/>
        <v>42690577.299999997</v>
      </c>
      <c r="H186" s="611">
        <f t="shared" si="69"/>
        <v>98073276.907865286</v>
      </c>
      <c r="I186" s="611">
        <f>G186-H186</f>
        <v>-55382699.607865289</v>
      </c>
      <c r="J186" s="611">
        <f>IF(I186=0,"",I186/H186)</f>
        <v>-0.56470734285644841</v>
      </c>
      <c r="K186" s="611">
        <f>SUM(K187:K188)</f>
        <v>147109915.36179793</v>
      </c>
      <c r="L186" s="100"/>
    </row>
    <row r="187" spans="1:12" x14ac:dyDescent="0.25">
      <c r="A187" s="695" t="str">
        <f t="shared" si="57"/>
        <v>Housing</v>
      </c>
      <c r="B187" s="620"/>
      <c r="C187" s="733"/>
      <c r="D187" s="733">
        <v>90129848.361797929</v>
      </c>
      <c r="E187" s="733">
        <v>147109915.36179793</v>
      </c>
      <c r="F187" s="733">
        <v>4348104.3300000019</v>
      </c>
      <c r="G187" s="733">
        <v>42690577.299999997</v>
      </c>
      <c r="H187" s="733">
        <f>E187/12*8</f>
        <v>98073276.907865286</v>
      </c>
      <c r="I187" s="408">
        <f>G187-H187</f>
        <v>-55382699.607865289</v>
      </c>
      <c r="J187" s="408">
        <f>IF(I187=0,"",I187/H187)</f>
        <v>-0.56470734285644841</v>
      </c>
      <c r="K187" s="735">
        <f t="shared" ref="K187" si="70">E187</f>
        <v>147109915.36179793</v>
      </c>
      <c r="L187" s="100"/>
    </row>
    <row r="188" spans="1:12" x14ac:dyDescent="0.25">
      <c r="A188" s="695" t="str">
        <f t="shared" si="57"/>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57"/>
        <v>Health</v>
      </c>
      <c r="B189" s="620"/>
      <c r="C189" s="611">
        <f t="shared" ref="C189:K189" si="71">SUM(C190:C196)</f>
        <v>0</v>
      </c>
      <c r="D189" s="611">
        <f t="shared" si="71"/>
        <v>273885.02793777513</v>
      </c>
      <c r="E189" s="611">
        <f t="shared" si="71"/>
        <v>273885.02793777513</v>
      </c>
      <c r="F189" s="611">
        <f t="shared" si="71"/>
        <v>747079.58000000007</v>
      </c>
      <c r="G189" s="611">
        <f t="shared" si="71"/>
        <v>6447089.6600000011</v>
      </c>
      <c r="H189" s="611">
        <f t="shared" si="71"/>
        <v>182590.01862518341</v>
      </c>
      <c r="I189" s="611">
        <f t="shared" si="38"/>
        <v>6264499.641374818</v>
      </c>
      <c r="J189" s="611">
        <f t="shared" si="39"/>
        <v>34.309102373413076</v>
      </c>
      <c r="K189" s="614">
        <f t="shared" si="71"/>
        <v>273885.02793777513</v>
      </c>
      <c r="L189" s="100"/>
    </row>
    <row r="190" spans="1:12" x14ac:dyDescent="0.25">
      <c r="A190" s="695" t="str">
        <f t="shared" si="57"/>
        <v>Ambulance</v>
      </c>
      <c r="B190" s="620"/>
      <c r="C190" s="733"/>
      <c r="D190" s="733"/>
      <c r="E190" s="733"/>
      <c r="F190" s="733"/>
      <c r="G190" s="733"/>
      <c r="H190" s="733"/>
      <c r="I190" s="408">
        <f t="shared" si="38"/>
        <v>0</v>
      </c>
      <c r="J190" s="408" t="str">
        <f t="shared" si="39"/>
        <v/>
      </c>
      <c r="K190" s="735"/>
      <c r="L190" s="100"/>
    </row>
    <row r="191" spans="1:12" x14ac:dyDescent="0.25">
      <c r="A191" s="695" t="str">
        <f t="shared" si="57"/>
        <v>Health Services</v>
      </c>
      <c r="B191" s="620"/>
      <c r="C191" s="733"/>
      <c r="D191" s="733">
        <v>273885.02793777513</v>
      </c>
      <c r="E191" s="733">
        <v>273885.02793777513</v>
      </c>
      <c r="F191" s="733">
        <v>747079.58000000007</v>
      </c>
      <c r="G191" s="733">
        <v>6447089.6600000011</v>
      </c>
      <c r="H191" s="733">
        <f>E191/12*8</f>
        <v>182590.01862518341</v>
      </c>
      <c r="I191" s="408">
        <f t="shared" si="38"/>
        <v>6264499.641374818</v>
      </c>
      <c r="J191" s="408">
        <f t="shared" si="39"/>
        <v>34.309102373413076</v>
      </c>
      <c r="K191" s="735">
        <f t="shared" ref="K191" si="72">E191</f>
        <v>273885.02793777513</v>
      </c>
      <c r="L191" s="100"/>
    </row>
    <row r="192" spans="1:12" x14ac:dyDescent="0.25">
      <c r="A192" s="695" t="str">
        <f t="shared" ref="A192:A223" si="73">A70</f>
        <v>Laboratory Services</v>
      </c>
      <c r="B192" s="620"/>
      <c r="C192" s="733"/>
      <c r="D192" s="733"/>
      <c r="E192" s="733"/>
      <c r="F192" s="733"/>
      <c r="G192" s="733"/>
      <c r="H192" s="733"/>
      <c r="I192" s="408">
        <f t="shared" si="38"/>
        <v>0</v>
      </c>
      <c r="J192" s="408" t="str">
        <f t="shared" si="39"/>
        <v/>
      </c>
      <c r="K192" s="735"/>
      <c r="L192" s="100"/>
    </row>
    <row r="193" spans="1:12" x14ac:dyDescent="0.25">
      <c r="A193" s="695" t="str">
        <f t="shared" si="73"/>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73"/>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73"/>
        <v>Vector Control</v>
      </c>
      <c r="B195" s="620"/>
      <c r="C195" s="733"/>
      <c r="D195" s="733"/>
      <c r="E195" s="733"/>
      <c r="F195" s="733"/>
      <c r="G195" s="733"/>
      <c r="H195" s="733"/>
      <c r="I195" s="408">
        <f t="shared" si="38"/>
        <v>0</v>
      </c>
      <c r="J195" s="408" t="str">
        <f t="shared" si="39"/>
        <v/>
      </c>
      <c r="K195" s="735"/>
      <c r="L195" s="100"/>
    </row>
    <row r="196" spans="1:12" x14ac:dyDescent="0.25">
      <c r="A196" s="695" t="str">
        <f t="shared" si="73"/>
        <v>Chemical Safety</v>
      </c>
      <c r="B196" s="620"/>
      <c r="C196" s="733"/>
      <c r="D196" s="733"/>
      <c r="E196" s="733"/>
      <c r="F196" s="733"/>
      <c r="G196" s="733"/>
      <c r="H196" s="733"/>
      <c r="I196" s="408">
        <f t="shared" si="38"/>
        <v>0</v>
      </c>
      <c r="J196" s="408" t="str">
        <f t="shared" si="39"/>
        <v/>
      </c>
      <c r="K196" s="735"/>
      <c r="L196" s="100"/>
    </row>
    <row r="197" spans="1:12" x14ac:dyDescent="0.25">
      <c r="A197" s="414" t="str">
        <f t="shared" si="73"/>
        <v>Economic and environmental services</v>
      </c>
      <c r="B197" s="620"/>
      <c r="C197" s="605">
        <f t="shared" ref="C197:H197" si="74">C198+C209+C214</f>
        <v>0</v>
      </c>
      <c r="D197" s="605">
        <f t="shared" si="74"/>
        <v>288173315.58344549</v>
      </c>
      <c r="E197" s="605">
        <f t="shared" si="74"/>
        <v>294605680.61754364</v>
      </c>
      <c r="F197" s="605">
        <f t="shared" si="74"/>
        <v>33458092.649999991</v>
      </c>
      <c r="G197" s="605">
        <f t="shared" si="74"/>
        <v>261809480.21999997</v>
      </c>
      <c r="H197" s="605">
        <f t="shared" si="74"/>
        <v>196403787.07836244</v>
      </c>
      <c r="I197" s="605">
        <f t="shared" si="38"/>
        <v>65405693.141637534</v>
      </c>
      <c r="J197" s="605">
        <f t="shared" si="39"/>
        <v>0.33301645612129444</v>
      </c>
      <c r="K197" s="606">
        <f>K198+K209+K214</f>
        <v>294605680.61754364</v>
      </c>
      <c r="L197" s="100"/>
    </row>
    <row r="198" spans="1:12" x14ac:dyDescent="0.25">
      <c r="A198" s="607" t="str">
        <f t="shared" si="73"/>
        <v>Planning and development</v>
      </c>
      <c r="B198" s="620"/>
      <c r="C198" s="611">
        <f t="shared" ref="C198:K198" si="75">SUM(C199:C208)</f>
        <v>0</v>
      </c>
      <c r="D198" s="611">
        <f t="shared" si="75"/>
        <v>92239503.875528902</v>
      </c>
      <c r="E198" s="611">
        <f t="shared" si="75"/>
        <v>94069123.875528887</v>
      </c>
      <c r="F198" s="611">
        <f t="shared" si="75"/>
        <v>5515965.1400000015</v>
      </c>
      <c r="G198" s="611">
        <f t="shared" si="75"/>
        <v>43266849.140000015</v>
      </c>
      <c r="H198" s="611">
        <f t="shared" si="75"/>
        <v>62712749.250352591</v>
      </c>
      <c r="I198" s="611">
        <f t="shared" si="38"/>
        <v>-19445900.110352576</v>
      </c>
      <c r="J198" s="611">
        <f t="shared" si="39"/>
        <v>-0.31007889691972396</v>
      </c>
      <c r="K198" s="614">
        <f t="shared" si="75"/>
        <v>94069123.875528887</v>
      </c>
      <c r="L198" s="100"/>
    </row>
    <row r="199" spans="1:12" x14ac:dyDescent="0.25">
      <c r="A199" s="695" t="str">
        <f t="shared" si="73"/>
        <v>Billboards</v>
      </c>
      <c r="B199" s="620"/>
      <c r="C199" s="733"/>
      <c r="D199" s="733"/>
      <c r="E199" s="733"/>
      <c r="F199" s="733"/>
      <c r="G199" s="733"/>
      <c r="H199" s="733"/>
      <c r="I199" s="408">
        <f t="shared" si="38"/>
        <v>0</v>
      </c>
      <c r="J199" s="408" t="str">
        <f t="shared" si="39"/>
        <v/>
      </c>
      <c r="K199" s="735"/>
      <c r="L199" s="100"/>
    </row>
    <row r="200" spans="1:12" ht="22.5" x14ac:dyDescent="0.25">
      <c r="A200" s="695" t="str">
        <f t="shared" si="73"/>
        <v>Corporate Wide Strategic Planning (IDPs, LEDs)</v>
      </c>
      <c r="B200" s="620"/>
      <c r="C200" s="733"/>
      <c r="D200" s="733">
        <v>12848610.792359998</v>
      </c>
      <c r="E200" s="733">
        <v>12930492.792359998</v>
      </c>
      <c r="F200" s="733">
        <v>454104.10000000003</v>
      </c>
      <c r="G200" s="733">
        <v>4229395.59</v>
      </c>
      <c r="H200" s="733">
        <f>E200/12*8</f>
        <v>8620328.528239999</v>
      </c>
      <c r="I200" s="408">
        <f t="shared" si="38"/>
        <v>-4390932.9382399991</v>
      </c>
      <c r="J200" s="408">
        <f t="shared" si="39"/>
        <v>-0.50936955869551881</v>
      </c>
      <c r="K200" s="735">
        <f t="shared" ref="K200" si="76">E200</f>
        <v>12930492.792359998</v>
      </c>
      <c r="L200" s="100"/>
    </row>
    <row r="201" spans="1:12" x14ac:dyDescent="0.25">
      <c r="A201" s="695" t="str">
        <f t="shared" si="73"/>
        <v>Central City Improvement District</v>
      </c>
      <c r="B201" s="620"/>
      <c r="C201" s="733"/>
      <c r="D201" s="733"/>
      <c r="E201" s="733">
        <v>0</v>
      </c>
      <c r="F201" s="733"/>
      <c r="G201" s="733"/>
      <c r="H201" s="733"/>
      <c r="I201" s="408">
        <f t="shared" si="38"/>
        <v>0</v>
      </c>
      <c r="J201" s="408" t="str">
        <f t="shared" si="39"/>
        <v/>
      </c>
      <c r="K201" s="735"/>
      <c r="L201" s="100"/>
    </row>
    <row r="202" spans="1:12" x14ac:dyDescent="0.25">
      <c r="A202" s="695" t="str">
        <f t="shared" si="73"/>
        <v>Development Facilitation</v>
      </c>
      <c r="B202" s="620"/>
      <c r="C202" s="733"/>
      <c r="D202" s="733"/>
      <c r="E202" s="733">
        <v>0</v>
      </c>
      <c r="F202" s="733"/>
      <c r="G202" s="733"/>
      <c r="H202" s="733"/>
      <c r="I202" s="408">
        <f>G202-H202</f>
        <v>0</v>
      </c>
      <c r="J202" s="408" t="str">
        <f>IF(I202=0,"",I202/H202)</f>
        <v/>
      </c>
      <c r="K202" s="735"/>
      <c r="L202" s="100"/>
    </row>
    <row r="203" spans="1:12" x14ac:dyDescent="0.25">
      <c r="A203" s="695" t="str">
        <f t="shared" si="73"/>
        <v>Economic Development/Planning</v>
      </c>
      <c r="B203" s="620"/>
      <c r="C203" s="733"/>
      <c r="D203" s="733">
        <v>12958288.606480801</v>
      </c>
      <c r="E203" s="733">
        <v>12958288.606480801</v>
      </c>
      <c r="F203" s="733">
        <v>1063245.3700000001</v>
      </c>
      <c r="G203" s="733">
        <v>5558130.79</v>
      </c>
      <c r="H203" s="733">
        <f>E203/12*8</f>
        <v>8638859.0709872004</v>
      </c>
      <c r="I203" s="408">
        <f>G203-H203</f>
        <v>-3080728.2809872003</v>
      </c>
      <c r="J203" s="408">
        <f>IF(I203=0,"",I203/H203)</f>
        <v>-0.35661286469338732</v>
      </c>
      <c r="K203" s="735">
        <f t="shared" ref="K203" si="77">E203</f>
        <v>12958288.606480801</v>
      </c>
      <c r="L203" s="100"/>
    </row>
    <row r="204" spans="1:12" x14ac:dyDescent="0.25">
      <c r="A204" s="695" t="str">
        <f t="shared" si="73"/>
        <v>Regional Planning and Development</v>
      </c>
      <c r="B204" s="620"/>
      <c r="C204" s="733"/>
      <c r="D204" s="733"/>
      <c r="E204" s="733">
        <v>0</v>
      </c>
      <c r="F204" s="733"/>
      <c r="G204" s="733"/>
      <c r="H204" s="733"/>
      <c r="I204" s="408">
        <f>G204-H204</f>
        <v>0</v>
      </c>
      <c r="J204" s="408" t="str">
        <f>IF(I204=0,"",I204/H204)</f>
        <v/>
      </c>
      <c r="K204" s="735"/>
      <c r="L204" s="100"/>
    </row>
    <row r="205" spans="1:12" ht="22.5" x14ac:dyDescent="0.25">
      <c r="A205" s="695" t="str">
        <f t="shared" si="73"/>
        <v>Town Planning, Building Regulations and Enforcement, and City Engineer</v>
      </c>
      <c r="B205" s="620"/>
      <c r="C205" s="733"/>
      <c r="D205" s="733">
        <v>66432604.476688094</v>
      </c>
      <c r="E205" s="733">
        <v>68180342.476688087</v>
      </c>
      <c r="F205" s="733">
        <v>3998615.6700000013</v>
      </c>
      <c r="G205" s="733">
        <v>33479322.760000013</v>
      </c>
      <c r="H205" s="733">
        <f>E205/12*8</f>
        <v>45453561.651125394</v>
      </c>
      <c r="I205" s="408">
        <f>G205-H205</f>
        <v>-11974238.891125381</v>
      </c>
      <c r="J205" s="408">
        <f>IF(I205=0,"",I205/H205)</f>
        <v>-0.26343895739199807</v>
      </c>
      <c r="K205" s="735">
        <f t="shared" ref="K205" si="78">E205</f>
        <v>68180342.476688087</v>
      </c>
      <c r="L205" s="100"/>
    </row>
    <row r="206" spans="1:12" x14ac:dyDescent="0.25">
      <c r="A206" s="695" t="str">
        <f t="shared" si="73"/>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73"/>
        <v>Provincial Planning</v>
      </c>
      <c r="B207" s="620"/>
      <c r="C207" s="733"/>
      <c r="D207" s="733"/>
      <c r="E207" s="733"/>
      <c r="F207" s="733"/>
      <c r="G207" s="733"/>
      <c r="H207" s="733"/>
      <c r="I207" s="408">
        <f t="shared" si="38"/>
        <v>0</v>
      </c>
      <c r="J207" s="408" t="str">
        <f t="shared" si="39"/>
        <v/>
      </c>
      <c r="K207" s="735"/>
      <c r="L207" s="100"/>
    </row>
    <row r="208" spans="1:12" x14ac:dyDescent="0.25">
      <c r="A208" s="695" t="str">
        <f t="shared" si="73"/>
        <v>Support to Local Municipalities</v>
      </c>
      <c r="B208" s="620"/>
      <c r="C208" s="733"/>
      <c r="D208" s="733"/>
      <c r="E208" s="733"/>
      <c r="F208" s="733"/>
      <c r="G208" s="733"/>
      <c r="H208" s="733"/>
      <c r="I208" s="408">
        <f t="shared" si="38"/>
        <v>0</v>
      </c>
      <c r="J208" s="408" t="str">
        <f t="shared" si="39"/>
        <v/>
      </c>
      <c r="K208" s="735"/>
      <c r="L208" s="100"/>
    </row>
    <row r="209" spans="1:12" x14ac:dyDescent="0.25">
      <c r="A209" s="607" t="str">
        <f t="shared" si="73"/>
        <v>Road transport</v>
      </c>
      <c r="B209" s="620"/>
      <c r="C209" s="611">
        <f t="shared" ref="C209:H209" si="79">SUM(C210:C213)</f>
        <v>0</v>
      </c>
      <c r="D209" s="611">
        <f t="shared" si="79"/>
        <v>171068986.74871668</v>
      </c>
      <c r="E209" s="611">
        <f t="shared" si="79"/>
        <v>175671731.78281486</v>
      </c>
      <c r="F209" s="611">
        <f t="shared" si="79"/>
        <v>26215457.079999991</v>
      </c>
      <c r="G209" s="611">
        <f t="shared" si="79"/>
        <v>204823179.96999997</v>
      </c>
      <c r="H209" s="611">
        <f t="shared" si="79"/>
        <v>117114487.8552099</v>
      </c>
      <c r="I209" s="611">
        <f t="shared" si="38"/>
        <v>87708692.114790067</v>
      </c>
      <c r="J209" s="611">
        <f t="shared" si="39"/>
        <v>0.74891410722151996</v>
      </c>
      <c r="K209" s="614">
        <f>SUM(K210:K213)</f>
        <v>175671731.78281486</v>
      </c>
      <c r="L209" s="100"/>
    </row>
    <row r="210" spans="1:12" x14ac:dyDescent="0.25">
      <c r="A210" s="695" t="str">
        <f t="shared" si="73"/>
        <v>Public Transport</v>
      </c>
      <c r="B210" s="620"/>
      <c r="C210" s="733"/>
      <c r="D210" s="733">
        <v>6112737.5899952119</v>
      </c>
      <c r="E210" s="733">
        <v>12141552.624093361</v>
      </c>
      <c r="F210" s="733">
        <v>804491.57000000007</v>
      </c>
      <c r="G210" s="733">
        <v>4908580.07</v>
      </c>
      <c r="H210" s="733">
        <f t="shared" ref="H210:H213" si="80">E210/12*8</f>
        <v>8094368.4160622405</v>
      </c>
      <c r="I210" s="408">
        <f t="shared" si="38"/>
        <v>-3185788.3460622402</v>
      </c>
      <c r="J210" s="408">
        <f t="shared" si="39"/>
        <v>-0.39358084316256842</v>
      </c>
      <c r="K210" s="735">
        <f t="shared" ref="K210:K213" si="81">E210</f>
        <v>12141552.624093361</v>
      </c>
      <c r="L210" s="100"/>
    </row>
    <row r="211" spans="1:12" x14ac:dyDescent="0.25">
      <c r="A211" s="695" t="str">
        <f t="shared" si="73"/>
        <v>Road and Traffic Regulation</v>
      </c>
      <c r="B211" s="620"/>
      <c r="C211" s="733"/>
      <c r="D211" s="733">
        <v>75071897.514813796</v>
      </c>
      <c r="E211" s="733">
        <v>75071897.514813796</v>
      </c>
      <c r="F211" s="733">
        <v>5629521.1800000006</v>
      </c>
      <c r="G211" s="733">
        <v>48176178.879999995</v>
      </c>
      <c r="H211" s="733">
        <f t="shared" si="80"/>
        <v>50047931.676542528</v>
      </c>
      <c r="I211" s="408">
        <f>G211-H211</f>
        <v>-1871752.7965425327</v>
      </c>
      <c r="J211" s="408">
        <f>IF(I211=0,"",I211/H211)</f>
        <v>-3.7399203800060801E-2</v>
      </c>
      <c r="K211" s="735">
        <f t="shared" si="81"/>
        <v>75071897.514813796</v>
      </c>
      <c r="L211" s="100"/>
    </row>
    <row r="212" spans="1:12" x14ac:dyDescent="0.25">
      <c r="A212" s="695" t="str">
        <f t="shared" si="73"/>
        <v>Roads</v>
      </c>
      <c r="B212" s="620"/>
      <c r="C212" s="733"/>
      <c r="D212" s="733">
        <v>86766270.60115768</v>
      </c>
      <c r="E212" s="733">
        <v>84823952.60115768</v>
      </c>
      <c r="F212" s="733">
        <v>19573427.839999992</v>
      </c>
      <c r="G212" s="733">
        <v>150261161.63</v>
      </c>
      <c r="H212" s="733">
        <f t="shared" si="80"/>
        <v>56549301.734105118</v>
      </c>
      <c r="I212" s="408">
        <f t="shared" si="38"/>
        <v>93711859.895894885</v>
      </c>
      <c r="J212" s="408">
        <f t="shared" si="39"/>
        <v>1.6571709468054647</v>
      </c>
      <c r="K212" s="735">
        <f t="shared" si="81"/>
        <v>84823952.60115768</v>
      </c>
      <c r="L212" s="100"/>
    </row>
    <row r="213" spans="1:12" x14ac:dyDescent="0.25">
      <c r="A213" s="695" t="str">
        <f t="shared" si="73"/>
        <v>Taxi Ranks</v>
      </c>
      <c r="B213" s="620"/>
      <c r="C213" s="733"/>
      <c r="D213" s="733">
        <v>3118081.04275</v>
      </c>
      <c r="E213" s="733">
        <v>3634329.04275</v>
      </c>
      <c r="F213" s="733">
        <v>208016.49</v>
      </c>
      <c r="G213" s="733">
        <v>1477259.3900000001</v>
      </c>
      <c r="H213" s="733">
        <f t="shared" si="80"/>
        <v>2422886.0285</v>
      </c>
      <c r="I213" s="408">
        <f t="shared" si="38"/>
        <v>-945626.63849999988</v>
      </c>
      <c r="J213" s="408">
        <f t="shared" si="39"/>
        <v>-0.39028936044731494</v>
      </c>
      <c r="K213" s="735">
        <f t="shared" si="81"/>
        <v>3634329.04275</v>
      </c>
      <c r="L213" s="100"/>
    </row>
    <row r="214" spans="1:12" x14ac:dyDescent="0.25">
      <c r="A214" s="607" t="str">
        <f t="shared" si="73"/>
        <v>Environmental protection</v>
      </c>
      <c r="B214" s="620"/>
      <c r="C214" s="611">
        <f t="shared" ref="C214:K214" si="82">SUM(C215:C220)</f>
        <v>0</v>
      </c>
      <c r="D214" s="611">
        <f t="shared" si="82"/>
        <v>24864824.959199883</v>
      </c>
      <c r="E214" s="611">
        <f t="shared" si="82"/>
        <v>24864824.959199883</v>
      </c>
      <c r="F214" s="611">
        <f t="shared" si="82"/>
        <v>1726670.43</v>
      </c>
      <c r="G214" s="611">
        <f t="shared" si="82"/>
        <v>13719451.109999999</v>
      </c>
      <c r="H214" s="611">
        <f t="shared" si="82"/>
        <v>16576549.972799923</v>
      </c>
      <c r="I214" s="611">
        <f t="shared" si="38"/>
        <v>-2857098.8627999239</v>
      </c>
      <c r="J214" s="611">
        <f t="shared" si="39"/>
        <v>-0.17235787105809539</v>
      </c>
      <c r="K214" s="614">
        <f t="shared" si="82"/>
        <v>24864824.959199883</v>
      </c>
      <c r="L214" s="100"/>
    </row>
    <row r="215" spans="1:12" x14ac:dyDescent="0.25">
      <c r="A215" s="695" t="str">
        <f t="shared" si="73"/>
        <v>Biodiversity and Landscape</v>
      </c>
      <c r="B215" s="620"/>
      <c r="C215" s="733"/>
      <c r="D215" s="733"/>
      <c r="E215" s="733"/>
      <c r="F215" s="733"/>
      <c r="G215" s="733"/>
      <c r="H215" s="733"/>
      <c r="I215" s="408">
        <f t="shared" si="38"/>
        <v>0</v>
      </c>
      <c r="J215" s="408" t="str">
        <f t="shared" si="39"/>
        <v/>
      </c>
      <c r="K215" s="735"/>
      <c r="L215" s="100"/>
    </row>
    <row r="216" spans="1:12" x14ac:dyDescent="0.25">
      <c r="A216" s="695" t="str">
        <f t="shared" si="73"/>
        <v>Coastal Protection</v>
      </c>
      <c r="B216" s="620"/>
      <c r="C216" s="733"/>
      <c r="D216" s="733"/>
      <c r="E216" s="733"/>
      <c r="F216" s="733"/>
      <c r="G216" s="733"/>
      <c r="H216" s="733"/>
      <c r="I216" s="408">
        <f t="shared" si="38"/>
        <v>0</v>
      </c>
      <c r="J216" s="408" t="str">
        <f t="shared" si="39"/>
        <v/>
      </c>
      <c r="K216" s="735"/>
      <c r="L216" s="100"/>
    </row>
    <row r="217" spans="1:12" x14ac:dyDescent="0.25">
      <c r="A217" s="695" t="str">
        <f t="shared" si="73"/>
        <v>Indigenous Forests</v>
      </c>
      <c r="B217" s="620"/>
      <c r="C217" s="733"/>
      <c r="D217" s="733"/>
      <c r="E217" s="733"/>
      <c r="F217" s="733"/>
      <c r="G217" s="733"/>
      <c r="H217" s="733"/>
      <c r="I217" s="408">
        <f t="shared" si="38"/>
        <v>0</v>
      </c>
      <c r="J217" s="408" t="str">
        <f t="shared" si="39"/>
        <v/>
      </c>
      <c r="K217" s="735"/>
      <c r="L217" s="100"/>
    </row>
    <row r="218" spans="1:12" x14ac:dyDescent="0.25">
      <c r="A218" s="695" t="str">
        <f t="shared" si="73"/>
        <v>Nature Conservation</v>
      </c>
      <c r="B218" s="620"/>
      <c r="C218" s="733"/>
      <c r="D218" s="733">
        <v>7953351.9763347059</v>
      </c>
      <c r="E218" s="733">
        <v>7953351.9763347059</v>
      </c>
      <c r="F218" s="733">
        <v>344801.01</v>
      </c>
      <c r="G218" s="733">
        <v>2878107.0200000005</v>
      </c>
      <c r="H218" s="733">
        <f t="shared" ref="H218:H219" si="83">E218/12*8</f>
        <v>5302234.6508898037</v>
      </c>
      <c r="I218" s="408">
        <f>G218-H218</f>
        <v>-2424127.6308898032</v>
      </c>
      <c r="J218" s="408">
        <f>IF(I218=0,"",I218/H218)</f>
        <v>-0.45718980590249697</v>
      </c>
      <c r="K218" s="735">
        <f t="shared" ref="K218:K219" si="84">E218</f>
        <v>7953351.9763347059</v>
      </c>
      <c r="L218" s="100"/>
    </row>
    <row r="219" spans="1:12" x14ac:dyDescent="0.25">
      <c r="A219" s="695" t="str">
        <f t="shared" si="73"/>
        <v>Pollution Control</v>
      </c>
      <c r="B219" s="620"/>
      <c r="C219" s="733"/>
      <c r="D219" s="733">
        <v>16911472.982865177</v>
      </c>
      <c r="E219" s="733">
        <v>16911472.982865177</v>
      </c>
      <c r="F219" s="733">
        <v>1381869.42</v>
      </c>
      <c r="G219" s="733">
        <v>10841344.089999998</v>
      </c>
      <c r="H219" s="733">
        <f t="shared" si="83"/>
        <v>11274315.321910119</v>
      </c>
      <c r="I219" s="408">
        <f>G219-H219</f>
        <v>-432971.2319101207</v>
      </c>
      <c r="J219" s="408">
        <f>IF(I219=0,"",I219/H219)</f>
        <v>-3.8403328233041274E-2</v>
      </c>
      <c r="K219" s="735">
        <f t="shared" si="84"/>
        <v>16911472.982865177</v>
      </c>
      <c r="L219" s="100"/>
    </row>
    <row r="220" spans="1:12" x14ac:dyDescent="0.25">
      <c r="A220" s="695" t="str">
        <f t="shared" si="73"/>
        <v>Soil Conservation</v>
      </c>
      <c r="B220" s="620"/>
      <c r="C220" s="733"/>
      <c r="D220" s="733">
        <v>0</v>
      </c>
      <c r="E220" s="733"/>
      <c r="F220" s="733"/>
      <c r="G220" s="733"/>
      <c r="H220" s="733"/>
      <c r="I220" s="408">
        <f t="shared" si="38"/>
        <v>0</v>
      </c>
      <c r="J220" s="408" t="str">
        <f t="shared" si="39"/>
        <v/>
      </c>
      <c r="K220" s="735"/>
      <c r="L220" s="100"/>
    </row>
    <row r="221" spans="1:12" x14ac:dyDescent="0.25">
      <c r="A221" s="414" t="str">
        <f t="shared" si="73"/>
        <v>Trading services</v>
      </c>
      <c r="B221" s="620"/>
      <c r="C221" s="605">
        <f>C222+C226+C230+C235</f>
        <v>0</v>
      </c>
      <c r="D221" s="605">
        <f t="shared" ref="D221:I221" si="85">D222+D226+D230+D235</f>
        <v>3353046546.6774907</v>
      </c>
      <c r="E221" s="605">
        <f t="shared" si="85"/>
        <v>3358591185.4474902</v>
      </c>
      <c r="F221" s="605">
        <f t="shared" si="85"/>
        <v>237377219.08000013</v>
      </c>
      <c r="G221" s="605">
        <f t="shared" si="85"/>
        <v>2305181820.9000001</v>
      </c>
      <c r="H221" s="605">
        <f t="shared" si="85"/>
        <v>2239060790.298327</v>
      </c>
      <c r="I221" s="605">
        <f t="shared" si="85"/>
        <v>66121030.601673141</v>
      </c>
      <c r="J221" s="605">
        <f t="shared" si="39"/>
        <v>2.9530699161081437E-2</v>
      </c>
      <c r="K221" s="606">
        <f>K222+K226+K230+K235</f>
        <v>3358591185.4474902</v>
      </c>
      <c r="L221" s="100"/>
    </row>
    <row r="222" spans="1:12" x14ac:dyDescent="0.25">
      <c r="A222" s="607" t="str">
        <f t="shared" si="73"/>
        <v>Energy sources</v>
      </c>
      <c r="B222" s="620"/>
      <c r="C222" s="611">
        <f t="shared" ref="C222:K222" si="86">SUM(C223:C225)</f>
        <v>0</v>
      </c>
      <c r="D222" s="611">
        <f t="shared" si="86"/>
        <v>2291332272.7237678</v>
      </c>
      <c r="E222" s="611">
        <f t="shared" si="86"/>
        <v>2205525042.7237678</v>
      </c>
      <c r="F222" s="611">
        <f t="shared" si="86"/>
        <v>142345921.69000012</v>
      </c>
      <c r="G222" s="611">
        <f t="shared" si="86"/>
        <v>1474095054.7400002</v>
      </c>
      <c r="H222" s="611">
        <f t="shared" si="86"/>
        <v>1470350028.4825118</v>
      </c>
      <c r="I222" s="611">
        <f t="shared" si="38"/>
        <v>3745026.2574884892</v>
      </c>
      <c r="J222" s="611">
        <f t="shared" si="39"/>
        <v>2.547030424689812E-3</v>
      </c>
      <c r="K222" s="614">
        <f t="shared" si="86"/>
        <v>2205525042.7237678</v>
      </c>
      <c r="L222" s="100"/>
    </row>
    <row r="223" spans="1:12" x14ac:dyDescent="0.25">
      <c r="A223" s="695" t="str">
        <f t="shared" si="73"/>
        <v xml:space="preserve">Electricity </v>
      </c>
      <c r="B223" s="620"/>
      <c r="C223" s="733"/>
      <c r="D223" s="733">
        <v>2270836245.4232864</v>
      </c>
      <c r="E223" s="733">
        <v>2184302100.4232864</v>
      </c>
      <c r="F223" s="733">
        <v>141726524.98000011</v>
      </c>
      <c r="G223" s="733">
        <v>1455708927.8100002</v>
      </c>
      <c r="H223" s="733">
        <f t="shared" ref="H223:H224" si="87">E223/12*8</f>
        <v>1456201400.282191</v>
      </c>
      <c r="I223" s="408">
        <f t="shared" si="38"/>
        <v>-492472.47219085693</v>
      </c>
      <c r="J223" s="408">
        <f t="shared" si="39"/>
        <v>-3.3818980815114092E-4</v>
      </c>
      <c r="K223" s="735">
        <f t="shared" ref="K223:K224" si="88">E223</f>
        <v>2184302100.4232864</v>
      </c>
      <c r="L223" s="100"/>
    </row>
    <row r="224" spans="1:12" x14ac:dyDescent="0.25">
      <c r="A224" s="695" t="str">
        <f t="shared" ref="A224:A246" si="89">A102</f>
        <v>Street Lighting and Signal Systems</v>
      </c>
      <c r="B224" s="620"/>
      <c r="C224" s="733"/>
      <c r="D224" s="733">
        <v>20496027.300481234</v>
      </c>
      <c r="E224" s="733">
        <v>21222942.300481234</v>
      </c>
      <c r="F224" s="733">
        <v>619396.71000000008</v>
      </c>
      <c r="G224" s="733">
        <v>18386126.93</v>
      </c>
      <c r="H224" s="733">
        <f t="shared" si="87"/>
        <v>14148628.200320823</v>
      </c>
      <c r="I224" s="408">
        <f>G224-H224</f>
        <v>4237498.7296791766</v>
      </c>
      <c r="J224" s="408">
        <f>IF(I224=0,"",I224/H224)</f>
        <v>0.29949891040200566</v>
      </c>
      <c r="K224" s="735">
        <f t="shared" si="88"/>
        <v>21222942.300481234</v>
      </c>
      <c r="L224" s="100"/>
    </row>
    <row r="225" spans="1:12" x14ac:dyDescent="0.25">
      <c r="A225" s="695" t="str">
        <f t="shared" si="89"/>
        <v>Nonelectric Energy</v>
      </c>
      <c r="B225" s="620"/>
      <c r="C225" s="733"/>
      <c r="D225" s="733">
        <v>0</v>
      </c>
      <c r="E225" s="733"/>
      <c r="F225" s="733"/>
      <c r="G225" s="733"/>
      <c r="H225" s="733"/>
      <c r="I225" s="408">
        <f t="shared" si="38"/>
        <v>0</v>
      </c>
      <c r="J225" s="408" t="str">
        <f t="shared" si="39"/>
        <v/>
      </c>
      <c r="K225" s="735"/>
      <c r="L225" s="100"/>
    </row>
    <row r="226" spans="1:12" x14ac:dyDescent="0.25">
      <c r="A226" s="607" t="str">
        <f t="shared" si="89"/>
        <v>Water management</v>
      </c>
      <c r="B226" s="620"/>
      <c r="C226" s="611">
        <f t="shared" ref="C226:K226" si="90">SUM(C227:C229)</f>
        <v>0</v>
      </c>
      <c r="D226" s="611">
        <f t="shared" si="90"/>
        <v>0</v>
      </c>
      <c r="E226" s="611">
        <f t="shared" si="90"/>
        <v>31023406.77</v>
      </c>
      <c r="F226" s="611">
        <f t="shared" si="90"/>
        <v>63434528.260000013</v>
      </c>
      <c r="G226" s="611">
        <f t="shared" si="90"/>
        <v>590253103.04999983</v>
      </c>
      <c r="H226" s="611">
        <f t="shared" si="90"/>
        <v>20682271.18</v>
      </c>
      <c r="I226" s="611">
        <f t="shared" si="38"/>
        <v>569570831.86999989</v>
      </c>
      <c r="J226" s="611">
        <f t="shared" si="39"/>
        <v>27.539085379597072</v>
      </c>
      <c r="K226" s="614">
        <f t="shared" si="90"/>
        <v>31023406.77</v>
      </c>
      <c r="L226" s="100"/>
    </row>
    <row r="227" spans="1:12" x14ac:dyDescent="0.25">
      <c r="A227" s="695" t="str">
        <f t="shared" si="89"/>
        <v>Water Treatment</v>
      </c>
      <c r="B227" s="620"/>
      <c r="C227" s="733"/>
      <c r="D227" s="733"/>
      <c r="E227" s="733"/>
      <c r="F227" s="733"/>
      <c r="G227" s="733"/>
      <c r="H227" s="733"/>
      <c r="I227" s="408">
        <f t="shared" si="38"/>
        <v>0</v>
      </c>
      <c r="J227" s="408" t="str">
        <f t="shared" si="39"/>
        <v/>
      </c>
      <c r="K227" s="735"/>
      <c r="L227" s="100"/>
    </row>
    <row r="228" spans="1:12" x14ac:dyDescent="0.25">
      <c r="A228" s="695" t="str">
        <f t="shared" si="89"/>
        <v>Water Distribution</v>
      </c>
      <c r="B228" s="620"/>
      <c r="C228" s="733"/>
      <c r="D228" s="733"/>
      <c r="E228" s="733">
        <v>31023406.77</v>
      </c>
      <c r="F228" s="733">
        <v>63434528.260000013</v>
      </c>
      <c r="G228" s="733">
        <v>590253103.04999983</v>
      </c>
      <c r="H228" s="733">
        <f t="shared" ref="H228" si="91">E228/12*8</f>
        <v>20682271.18</v>
      </c>
      <c r="I228" s="408">
        <f>G228-H228</f>
        <v>569570831.86999989</v>
      </c>
      <c r="J228" s="408">
        <f>IF(I228=0,"",I228/H228)</f>
        <v>27.539085379597072</v>
      </c>
      <c r="K228" s="735">
        <f t="shared" ref="K228" si="92">E228</f>
        <v>31023406.77</v>
      </c>
      <c r="L228" s="100"/>
    </row>
    <row r="229" spans="1:12" x14ac:dyDescent="0.25">
      <c r="A229" s="695" t="str">
        <f t="shared" si="89"/>
        <v>Water Storage</v>
      </c>
      <c r="B229" s="620"/>
      <c r="C229" s="733"/>
      <c r="D229" s="733"/>
      <c r="E229" s="733"/>
      <c r="F229" s="733"/>
      <c r="G229" s="733"/>
      <c r="H229" s="733"/>
      <c r="I229" s="408">
        <f t="shared" si="38"/>
        <v>0</v>
      </c>
      <c r="J229" s="408" t="str">
        <f t="shared" si="39"/>
        <v/>
      </c>
      <c r="K229" s="735"/>
      <c r="L229" s="100"/>
    </row>
    <row r="230" spans="1:12" x14ac:dyDescent="0.25">
      <c r="A230" s="607" t="str">
        <f t="shared" si="89"/>
        <v>Waste water management</v>
      </c>
      <c r="B230" s="620"/>
      <c r="C230" s="611">
        <f t="shared" ref="C230:K230" si="93">SUM(C231:C234)</f>
        <v>0</v>
      </c>
      <c r="D230" s="611">
        <f t="shared" si="93"/>
        <v>931929869.0260967</v>
      </c>
      <c r="E230" s="611">
        <f t="shared" si="93"/>
        <v>995608331.02609658</v>
      </c>
      <c r="F230" s="611">
        <f t="shared" si="93"/>
        <v>23131633.190000005</v>
      </c>
      <c r="G230" s="611">
        <f t="shared" si="93"/>
        <v>163308776.53999993</v>
      </c>
      <c r="H230" s="611">
        <f t="shared" si="93"/>
        <v>663738887.35073113</v>
      </c>
      <c r="I230" s="611">
        <f t="shared" si="38"/>
        <v>-500430110.81073117</v>
      </c>
      <c r="J230" s="611">
        <f t="shared" si="39"/>
        <v>-0.75395629267431374</v>
      </c>
      <c r="K230" s="614">
        <f t="shared" si="93"/>
        <v>995608331.02609658</v>
      </c>
      <c r="L230" s="100"/>
    </row>
    <row r="231" spans="1:12" x14ac:dyDescent="0.25">
      <c r="A231" s="695" t="str">
        <f t="shared" si="89"/>
        <v>Public Toilets</v>
      </c>
      <c r="B231" s="620"/>
      <c r="C231" s="733"/>
      <c r="D231" s="733">
        <v>1325140.728374806</v>
      </c>
      <c r="E231" s="733">
        <v>1175140.728374806</v>
      </c>
      <c r="F231" s="733">
        <v>234450.52000000002</v>
      </c>
      <c r="G231" s="733">
        <v>1676275.34</v>
      </c>
      <c r="H231" s="733">
        <f t="shared" ref="H231:H234" si="94">E231/12*8</f>
        <v>783427.15224987071</v>
      </c>
      <c r="I231" s="408">
        <f t="shared" si="38"/>
        <v>892848.18775012938</v>
      </c>
      <c r="J231" s="408">
        <f t="shared" si="39"/>
        <v>1.1396697002216734</v>
      </c>
      <c r="K231" s="735">
        <f t="shared" ref="K231:K234" si="95">E231</f>
        <v>1175140.728374806</v>
      </c>
      <c r="L231" s="100"/>
    </row>
    <row r="232" spans="1:12" x14ac:dyDescent="0.25">
      <c r="A232" s="695" t="str">
        <f t="shared" si="89"/>
        <v>Sewerage</v>
      </c>
      <c r="B232" s="620"/>
      <c r="C232" s="733"/>
      <c r="D232" s="733">
        <v>225241153.38453153</v>
      </c>
      <c r="E232" s="733">
        <v>289082095.3845315</v>
      </c>
      <c r="F232" s="733">
        <v>20844002.680000007</v>
      </c>
      <c r="G232" s="733">
        <v>143476403.37999994</v>
      </c>
      <c r="H232" s="733">
        <f t="shared" si="94"/>
        <v>192721396.92302099</v>
      </c>
      <c r="I232" s="408">
        <f t="shared" si="38"/>
        <v>-49244993.543021053</v>
      </c>
      <c r="J232" s="408">
        <f t="shared" si="39"/>
        <v>-0.25552426626863367</v>
      </c>
      <c r="K232" s="735">
        <f t="shared" si="95"/>
        <v>289082095.3845315</v>
      </c>
      <c r="L232" s="100"/>
    </row>
    <row r="233" spans="1:12" x14ac:dyDescent="0.25">
      <c r="A233" s="695" t="str">
        <f t="shared" si="89"/>
        <v>Storm Water Management</v>
      </c>
      <c r="B233" s="620"/>
      <c r="C233" s="733"/>
      <c r="D233" s="733">
        <v>560143.7006000001</v>
      </c>
      <c r="E233" s="733">
        <v>547663.7006000001</v>
      </c>
      <c r="F233" s="733">
        <v>2053179.9899999998</v>
      </c>
      <c r="G233" s="733">
        <v>18156097.82</v>
      </c>
      <c r="H233" s="733">
        <f t="shared" si="94"/>
        <v>365109.13373333338</v>
      </c>
      <c r="I233" s="408">
        <f>G233-H233</f>
        <v>17790988.686266668</v>
      </c>
      <c r="J233" s="408">
        <f>IF(I233=0,"",I233/H233)</f>
        <v>48.727865294273258</v>
      </c>
      <c r="K233" s="735">
        <f t="shared" si="95"/>
        <v>547663.7006000001</v>
      </c>
      <c r="L233" s="100"/>
    </row>
    <row r="234" spans="1:12" x14ac:dyDescent="0.25">
      <c r="A234" s="695" t="str">
        <f t="shared" si="89"/>
        <v>Waste Water Treatment</v>
      </c>
      <c r="B234" s="620"/>
      <c r="C234" s="733"/>
      <c r="D234" s="733">
        <v>704803431.21259034</v>
      </c>
      <c r="E234" s="733">
        <v>704803431.21259034</v>
      </c>
      <c r="F234" s="733"/>
      <c r="G234" s="733"/>
      <c r="H234" s="733">
        <f t="shared" si="94"/>
        <v>469868954.14172691</v>
      </c>
      <c r="I234" s="408">
        <f t="shared" si="38"/>
        <v>-469868954.14172691</v>
      </c>
      <c r="J234" s="408">
        <f t="shared" si="39"/>
        <v>-1</v>
      </c>
      <c r="K234" s="735">
        <f t="shared" si="95"/>
        <v>704803431.21259034</v>
      </c>
      <c r="L234" s="100"/>
    </row>
    <row r="235" spans="1:12" x14ac:dyDescent="0.25">
      <c r="A235" s="607" t="str">
        <f t="shared" si="89"/>
        <v>Waste management</v>
      </c>
      <c r="B235" s="620"/>
      <c r="C235" s="611">
        <f t="shared" ref="C235:H235" si="96">SUM(C236:C239)</f>
        <v>0</v>
      </c>
      <c r="D235" s="611">
        <f t="shared" si="96"/>
        <v>129784404.92762612</v>
      </c>
      <c r="E235" s="611">
        <f t="shared" si="96"/>
        <v>126434404.92762612</v>
      </c>
      <c r="F235" s="611">
        <f t="shared" si="96"/>
        <v>8465135.9399999995</v>
      </c>
      <c r="G235" s="611">
        <f t="shared" si="96"/>
        <v>77524886.570000008</v>
      </c>
      <c r="H235" s="611">
        <f t="shared" si="96"/>
        <v>84289603.285084069</v>
      </c>
      <c r="I235" s="611">
        <f t="shared" si="38"/>
        <v>-6764716.715084061</v>
      </c>
      <c r="J235" s="611">
        <f t="shared" si="39"/>
        <v>-8.0255647807529168E-2</v>
      </c>
      <c r="K235" s="611">
        <f>SUM(K236:K239)</f>
        <v>126434404.92762612</v>
      </c>
      <c r="L235" s="100"/>
    </row>
    <row r="236" spans="1:12" x14ac:dyDescent="0.25">
      <c r="A236" s="695" t="str">
        <f t="shared" si="89"/>
        <v>Recycling</v>
      </c>
      <c r="B236" s="620"/>
      <c r="C236" s="733"/>
      <c r="D236" s="733"/>
      <c r="E236" s="733"/>
      <c r="F236" s="733"/>
      <c r="G236" s="733"/>
      <c r="H236" s="733"/>
      <c r="I236" s="408">
        <f>G236-H236</f>
        <v>0</v>
      </c>
      <c r="J236" s="408" t="str">
        <f>IF(I236=0,"",I236/H236)</f>
        <v/>
      </c>
      <c r="K236" s="735"/>
      <c r="L236" s="100"/>
    </row>
    <row r="237" spans="1:12" x14ac:dyDescent="0.25">
      <c r="A237" s="695" t="str">
        <f t="shared" si="89"/>
        <v>Solid Waste Disposal (Landfill Sites)</v>
      </c>
      <c r="B237" s="620"/>
      <c r="C237" s="733"/>
      <c r="D237" s="733">
        <v>13353688.704158884</v>
      </c>
      <c r="E237" s="733">
        <v>11797688.704158884</v>
      </c>
      <c r="F237" s="733">
        <v>181979.14</v>
      </c>
      <c r="G237" s="733">
        <v>2942762.9400000004</v>
      </c>
      <c r="H237" s="733">
        <f>E237/12*8</f>
        <v>7865125.802772589</v>
      </c>
      <c r="I237" s="408">
        <f>G237-H237</f>
        <v>-4922362.8627725886</v>
      </c>
      <c r="J237" s="408">
        <f>IF(I237=0,"",I237/H237)</f>
        <v>-0.62584667889703338</v>
      </c>
      <c r="K237" s="735">
        <f>E237</f>
        <v>11797688.704158884</v>
      </c>
      <c r="L237" s="100"/>
    </row>
    <row r="238" spans="1:12" x14ac:dyDescent="0.25">
      <c r="A238" s="695" t="str">
        <f t="shared" si="89"/>
        <v>Solid Waste Removal</v>
      </c>
      <c r="B238" s="620"/>
      <c r="C238" s="733"/>
      <c r="D238" s="733">
        <v>116430716.22346723</v>
      </c>
      <c r="E238" s="733">
        <v>114636716.22346723</v>
      </c>
      <c r="F238" s="733">
        <v>8283156.7999999998</v>
      </c>
      <c r="G238" s="733">
        <v>74582123.63000001</v>
      </c>
      <c r="H238" s="733">
        <f>E238/12*8</f>
        <v>76424477.482311487</v>
      </c>
      <c r="I238" s="408">
        <f>G238-H238</f>
        <v>-1842353.8523114771</v>
      </c>
      <c r="J238" s="408">
        <f>IF(I238=0,"",I238/H238)</f>
        <v>-2.4106855722211402E-2</v>
      </c>
      <c r="K238" s="735">
        <f>E238</f>
        <v>114636716.22346723</v>
      </c>
      <c r="L238" s="100"/>
    </row>
    <row r="239" spans="1:12" x14ac:dyDescent="0.25">
      <c r="A239" s="695" t="str">
        <f t="shared" si="89"/>
        <v>Street Cleaning</v>
      </c>
      <c r="B239" s="415"/>
      <c r="C239" s="733"/>
      <c r="D239" s="733"/>
      <c r="E239" s="733"/>
      <c r="F239" s="733"/>
      <c r="G239" s="733"/>
      <c r="H239" s="733"/>
      <c r="I239" s="408">
        <f t="shared" si="38"/>
        <v>0</v>
      </c>
      <c r="J239" s="408" t="str">
        <f t="shared" si="39"/>
        <v/>
      </c>
      <c r="K239" s="735"/>
      <c r="L239" s="100"/>
    </row>
    <row r="240" spans="1:12" x14ac:dyDescent="0.25">
      <c r="A240" s="414" t="str">
        <f t="shared" si="89"/>
        <v>Other</v>
      </c>
      <c r="B240" s="415"/>
      <c r="C240" s="611">
        <f t="shared" ref="C240:K240" si="97">SUM(C241:C246)</f>
        <v>0</v>
      </c>
      <c r="D240" s="611">
        <f t="shared" si="97"/>
        <v>81300979.882271051</v>
      </c>
      <c r="E240" s="611">
        <f t="shared" si="97"/>
        <v>81300979.882271051</v>
      </c>
      <c r="F240" s="611">
        <f t="shared" si="97"/>
        <v>5621254.4200000009</v>
      </c>
      <c r="G240" s="611">
        <f t="shared" si="97"/>
        <v>39595234.979999997</v>
      </c>
      <c r="H240" s="611">
        <f t="shared" si="97"/>
        <v>54200653.254847378</v>
      </c>
      <c r="I240" s="611">
        <f t="shared" si="38"/>
        <v>-14605418.274847381</v>
      </c>
      <c r="J240" s="611">
        <f t="shared" si="39"/>
        <v>-0.26946941407096714</v>
      </c>
      <c r="K240" s="614">
        <f t="shared" si="97"/>
        <v>81300979.882271051</v>
      </c>
      <c r="L240" s="100"/>
    </row>
    <row r="241" spans="1:12" x14ac:dyDescent="0.25">
      <c r="A241" s="607" t="str">
        <f t="shared" si="89"/>
        <v>Abattoirs</v>
      </c>
      <c r="B241" s="415"/>
      <c r="C241" s="733"/>
      <c r="D241" s="733"/>
      <c r="E241" s="733"/>
      <c r="F241" s="733"/>
      <c r="G241" s="733"/>
      <c r="H241" s="733"/>
      <c r="I241" s="408">
        <f t="shared" si="38"/>
        <v>0</v>
      </c>
      <c r="J241" s="408" t="str">
        <f t="shared" si="39"/>
        <v/>
      </c>
      <c r="K241" s="735"/>
      <c r="L241" s="100"/>
    </row>
    <row r="242" spans="1:12" x14ac:dyDescent="0.25">
      <c r="A242" s="607" t="str">
        <f t="shared" si="89"/>
        <v>Air Transport</v>
      </c>
      <c r="B242" s="415"/>
      <c r="C242" s="733"/>
      <c r="D242" s="733">
        <v>30392698.58867228</v>
      </c>
      <c r="E242" s="733">
        <v>30392698.58867228</v>
      </c>
      <c r="F242" s="733">
        <v>2007156.6000000003</v>
      </c>
      <c r="G242" s="733">
        <v>13284845.050000001</v>
      </c>
      <c r="H242" s="733">
        <f t="shared" ref="H242:H246" si="98">E242/12*8</f>
        <v>20261799.059114855</v>
      </c>
      <c r="I242" s="408">
        <f t="shared" si="38"/>
        <v>-6976954.009114854</v>
      </c>
      <c r="J242" s="408">
        <f t="shared" si="39"/>
        <v>-0.34434030210048117</v>
      </c>
      <c r="K242" s="735">
        <f t="shared" ref="K242:K246" si="99">E242</f>
        <v>30392698.58867228</v>
      </c>
      <c r="L242" s="100"/>
    </row>
    <row r="243" spans="1:12" x14ac:dyDescent="0.25">
      <c r="A243" s="607" t="str">
        <f t="shared" si="89"/>
        <v xml:space="preserve">Forestry </v>
      </c>
      <c r="B243" s="415"/>
      <c r="C243" s="733"/>
      <c r="D243" s="733">
        <v>5026381.4873491293</v>
      </c>
      <c r="E243" s="733">
        <v>5026381.4873491293</v>
      </c>
      <c r="F243" s="733">
        <v>129080.07000000002</v>
      </c>
      <c r="G243" s="733">
        <v>3497969.27</v>
      </c>
      <c r="H243" s="733">
        <f t="shared" si="98"/>
        <v>3350920.9915660862</v>
      </c>
      <c r="I243" s="408">
        <f>G243-H243</f>
        <v>147048.27843391383</v>
      </c>
      <c r="J243" s="408">
        <f>IF(I243=0,"",I243/H243)</f>
        <v>4.3882944063443695E-2</v>
      </c>
      <c r="K243" s="735">
        <f t="shared" si="99"/>
        <v>5026381.4873491293</v>
      </c>
      <c r="L243" s="100"/>
    </row>
    <row r="244" spans="1:12" x14ac:dyDescent="0.25">
      <c r="A244" s="607" t="str">
        <f t="shared" si="89"/>
        <v>Licensing and Regulation</v>
      </c>
      <c r="B244" s="415"/>
      <c r="C244" s="733"/>
      <c r="D244" s="733">
        <v>10803274.511466645</v>
      </c>
      <c r="E244" s="733">
        <v>10803274.511466645</v>
      </c>
      <c r="F244" s="733">
        <v>335459.20000000001</v>
      </c>
      <c r="G244" s="733">
        <v>2921783.4500000007</v>
      </c>
      <c r="H244" s="733">
        <f t="shared" si="98"/>
        <v>7202183.0076444298</v>
      </c>
      <c r="I244" s="408">
        <f t="shared" si="38"/>
        <v>-4280399.5576444287</v>
      </c>
      <c r="J244" s="408">
        <f t="shared" si="39"/>
        <v>-0.59431974348627259</v>
      </c>
      <c r="K244" s="735">
        <f t="shared" si="99"/>
        <v>10803274.511466645</v>
      </c>
      <c r="L244" s="100"/>
    </row>
    <row r="245" spans="1:12" x14ac:dyDescent="0.25">
      <c r="A245" s="607" t="str">
        <f t="shared" si="89"/>
        <v>Markets</v>
      </c>
      <c r="B245" s="415"/>
      <c r="C245" s="733"/>
      <c r="D245" s="733">
        <v>32893514.314352129</v>
      </c>
      <c r="E245" s="733">
        <v>32893514.314352129</v>
      </c>
      <c r="F245" s="733">
        <v>2705086.3400000003</v>
      </c>
      <c r="G245" s="733">
        <v>18748925.359999999</v>
      </c>
      <c r="H245" s="733">
        <f t="shared" si="98"/>
        <v>21929009.542901419</v>
      </c>
      <c r="I245" s="408">
        <f>G245-H245</f>
        <v>-3180084.1829014197</v>
      </c>
      <c r="J245" s="408">
        <f>IF(I245=0,"",I245/H245)</f>
        <v>-0.14501722828292699</v>
      </c>
      <c r="K245" s="735">
        <f t="shared" si="99"/>
        <v>32893514.314352129</v>
      </c>
      <c r="L245" s="100"/>
    </row>
    <row r="246" spans="1:12" x14ac:dyDescent="0.25">
      <c r="A246" s="607" t="str">
        <f t="shared" si="89"/>
        <v>Tourism</v>
      </c>
      <c r="B246" s="415"/>
      <c r="C246" s="733"/>
      <c r="D246" s="733">
        <v>2185110.9804308736</v>
      </c>
      <c r="E246" s="733">
        <v>2185110.9804308736</v>
      </c>
      <c r="F246" s="733">
        <v>444472.20999999996</v>
      </c>
      <c r="G246" s="733">
        <v>1141711.8499999999</v>
      </c>
      <c r="H246" s="733">
        <f t="shared" si="98"/>
        <v>1456740.6536205823</v>
      </c>
      <c r="I246" s="408">
        <f>G246-H246</f>
        <v>-315028.80362058245</v>
      </c>
      <c r="J246" s="408">
        <f>IF(I246=0,"",I246/H246)</f>
        <v>-0.21625592917834074</v>
      </c>
      <c r="K246" s="735">
        <f t="shared" si="99"/>
        <v>2185110.9804308736</v>
      </c>
      <c r="L246" s="100"/>
    </row>
    <row r="247" spans="1:12" x14ac:dyDescent="0.25">
      <c r="A247" s="615" t="str">
        <f>"Total "&amp;A127</f>
        <v>Total Expenditure - Functional</v>
      </c>
      <c r="B247" s="415">
        <v>3</v>
      </c>
      <c r="C247" s="545">
        <f t="shared" ref="C247:I247" si="100">C128+C148+C197+C221+C240</f>
        <v>0</v>
      </c>
      <c r="D247" s="545">
        <f t="shared" si="100"/>
        <v>5516853313.5446301</v>
      </c>
      <c r="E247" s="545">
        <f t="shared" si="100"/>
        <v>5673151026.697073</v>
      </c>
      <c r="F247" s="545">
        <f t="shared" si="100"/>
        <v>378215514.53000015</v>
      </c>
      <c r="G247" s="545">
        <f t="shared" si="100"/>
        <v>3562572434.5599999</v>
      </c>
      <c r="H247" s="545">
        <f t="shared" si="100"/>
        <v>3782100684.464716</v>
      </c>
      <c r="I247" s="545">
        <f t="shared" si="100"/>
        <v>-219528249.90471601</v>
      </c>
      <c r="J247" s="545">
        <f>IF(I247=0,"",I247/H247)</f>
        <v>-5.8043999411873416E-2</v>
      </c>
      <c r="K247" s="597">
        <f>K128+K148+K197+K221+K240</f>
        <v>5673151026.697073</v>
      </c>
      <c r="L247" s="100"/>
    </row>
    <row r="248" spans="1:12" x14ac:dyDescent="0.25">
      <c r="A248" s="621" t="str">
        <f>result</f>
        <v>Surplus/ (Deficit) for the year</v>
      </c>
      <c r="B248" s="622"/>
      <c r="C248" s="76">
        <f t="shared" ref="C248:H248" si="101">C125-C247</f>
        <v>0</v>
      </c>
      <c r="D248" s="76">
        <f t="shared" si="101"/>
        <v>927224369.32743168</v>
      </c>
      <c r="E248" s="76">
        <f t="shared" si="101"/>
        <v>914456605.17499161</v>
      </c>
      <c r="F248" s="76">
        <f t="shared" si="101"/>
        <v>39292709.609999895</v>
      </c>
      <c r="G248" s="76">
        <f t="shared" si="101"/>
        <v>547752267.23000002</v>
      </c>
      <c r="H248" s="76">
        <f t="shared" si="101"/>
        <v>609637736.7833271</v>
      </c>
      <c r="I248" s="634">
        <f>G248-H248</f>
        <v>-61885469.553327084</v>
      </c>
      <c r="J248" s="634">
        <f>IF(I248=0,"",I248/H248)</f>
        <v>-0.10151187470752315</v>
      </c>
      <c r="K248" s="234">
        <f>K125-K247</f>
        <v>914456605.17499161</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7" t="s">
        <v>1207</v>
      </c>
      <c r="B253" s="1047"/>
      <c r="C253" s="1047"/>
      <c r="D253" s="1047"/>
      <c r="E253" s="1047"/>
      <c r="F253" s="1047"/>
      <c r="G253" s="1047"/>
      <c r="H253" s="1047"/>
      <c r="I253" s="1047"/>
      <c r="J253" s="1047"/>
      <c r="K253" s="1047"/>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-1296407.999997139</v>
      </c>
      <c r="F256" s="628">
        <f>F125-'C4-FinPerf RE'!F53</f>
        <v>0</v>
      </c>
      <c r="G256" s="628">
        <f>G125-'C4-FinPerf RE'!G53</f>
        <v>0</v>
      </c>
      <c r="H256" s="628">
        <f>H125-'C4-FinPerf RE'!H53</f>
        <v>-864271.99999809265</v>
      </c>
      <c r="I256" s="628">
        <f>I125-'C4-FinPerf RE'!I53</f>
        <v>-281413719.4580431</v>
      </c>
      <c r="J256" s="629"/>
      <c r="K256" s="628">
        <f>K125-'C4-FinPerf RE'!K53</f>
        <v>-1296407.999997139</v>
      </c>
    </row>
    <row r="257" spans="1:11" x14ac:dyDescent="0.25">
      <c r="A257" s="81" t="s">
        <v>179</v>
      </c>
      <c r="B257" s="64"/>
      <c r="C257" s="628">
        <f>C247-'C4-FinPerf RE'!C36</f>
        <v>0</v>
      </c>
      <c r="D257" s="628">
        <f>D247-'C4-FinPerf RE'!D36</f>
        <v>375844.00000190735</v>
      </c>
      <c r="E257" s="628">
        <f>E247-'C4-FinPerf RE'!E36</f>
        <v>-0.72423839569091797</v>
      </c>
      <c r="F257" s="628">
        <f>F247-'C4-FinPerf RE'!F36</f>
        <v>0</v>
      </c>
      <c r="G257" s="628">
        <f>G247-'C4-FinPerf RE'!G36</f>
        <v>0</v>
      </c>
      <c r="H257" s="628">
        <f>H247-'C4-FinPerf RE'!H36</f>
        <v>-0.48282384872436523</v>
      </c>
      <c r="I257" s="628">
        <f>I247-'C4-FinPerf RE'!I36</f>
        <v>0.48282241821289063</v>
      </c>
      <c r="J257" s="629"/>
      <c r="K257" s="628">
        <f>K247-'C4-FinPerf RE'!K36</f>
        <v>-0.72423839569091797</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0475F389-5A4D-4FEC-9AD2-A8B50AD79758}">
  <ds:schemaRefs>
    <ds:schemaRef ds:uri="http://schemas.microsoft.com/sharepoint/v3"/>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Sbonelo S. Mwelase</cp:lastModifiedBy>
  <cp:lastPrinted>2016-12-13T05:59:10Z</cp:lastPrinted>
  <dcterms:created xsi:type="dcterms:W3CDTF">2004-04-07T16:19:08Z</dcterms:created>
  <dcterms:modified xsi:type="dcterms:W3CDTF">2021-03-12T08:36:48Z</dcterms:modified>
</cp:coreProperties>
</file>