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Mar2021\"/>
    </mc:Choice>
  </mc:AlternateContent>
  <workbookProtection workbookPassword="FB84" lockStructure="1"/>
  <bookViews>
    <workbookView xWindow="0" yWindow="0" windowWidth="28800" windowHeight="12300" tabRatio="792" firstSheet="5" activeTab="16"/>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5" i="177" l="1"/>
  <c r="H158" i="335" l="1"/>
  <c r="H152" i="335"/>
  <c r="H149" i="335"/>
  <c r="H144" i="335"/>
  <c r="H132" i="335"/>
  <c r="H108" i="335"/>
  <c r="H101" i="335"/>
  <c r="H77" i="335"/>
  <c r="H46" i="335"/>
  <c r="H30" i="335"/>
  <c r="H18" i="335"/>
  <c r="H9" i="335"/>
  <c r="H9" i="333"/>
  <c r="H12" i="333"/>
  <c r="H22" i="333"/>
  <c r="H21" i="333"/>
  <c r="H20" i="333"/>
  <c r="H19" i="333"/>
  <c r="H30" i="333"/>
  <c r="H77" i="333"/>
  <c r="H81" i="333"/>
  <c r="H80" i="333"/>
  <c r="H86" i="333"/>
  <c r="H89" i="333"/>
  <c r="H92" i="333"/>
  <c r="H102" i="333"/>
  <c r="H101" i="333"/>
  <c r="H100" i="333"/>
  <c r="H119" i="333"/>
  <c r="H122" i="333"/>
  <c r="H129" i="333"/>
  <c r="H145" i="333"/>
  <c r="H144" i="333"/>
  <c r="H149" i="333"/>
  <c r="H152" i="333"/>
  <c r="H155" i="333"/>
  <c r="H158" i="333"/>
  <c r="H105" i="325"/>
  <c r="H93" i="325"/>
  <c r="H90" i="325"/>
  <c r="H88" i="325"/>
  <c r="H86" i="325"/>
  <c r="H80" i="325"/>
  <c r="H77" i="325"/>
  <c r="H46" i="325"/>
  <c r="H41" i="325"/>
  <c r="H34" i="325"/>
  <c r="H18" i="325"/>
  <c r="H9" i="325"/>
  <c r="H9" i="326"/>
  <c r="H18" i="326"/>
  <c r="H30" i="326"/>
  <c r="H41" i="326"/>
  <c r="H40" i="326"/>
  <c r="H46" i="326"/>
  <c r="H77" i="326"/>
  <c r="H108" i="326"/>
  <c r="H132" i="326"/>
  <c r="H144" i="326"/>
  <c r="H152" i="326"/>
  <c r="H155" i="326"/>
  <c r="H158" i="326"/>
  <c r="H158" i="242"/>
  <c r="H155" i="242"/>
  <c r="H152" i="242"/>
  <c r="H149" i="242"/>
  <c r="H144" i="242"/>
  <c r="H119" i="242"/>
  <c r="H96" i="242"/>
  <c r="H77"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12" i="318"/>
  <c r="H11" i="318"/>
  <c r="H10" i="318"/>
  <c r="H9" i="318"/>
  <c r="H8" i="318"/>
  <c r="H7" i="318"/>
  <c r="H20" i="318"/>
  <c r="H19" i="318"/>
  <c r="H18" i="318"/>
  <c r="H25" i="318"/>
  <c r="H24" i="318"/>
  <c r="H23" i="318"/>
  <c r="H22" i="318"/>
  <c r="H42" i="318"/>
  <c r="H41" i="318"/>
  <c r="H40" i="318"/>
  <c r="H39" i="318"/>
  <c r="H38" i="318"/>
  <c r="H37" i="318"/>
  <c r="H36" i="318"/>
  <c r="H35" i="318"/>
  <c r="H34" i="318"/>
  <c r="H44" i="318"/>
  <c r="H71" i="318"/>
  <c r="H73" i="318"/>
  <c r="H77" i="318"/>
  <c r="H76" i="318"/>
  <c r="H75" i="318"/>
  <c r="H93" i="318"/>
  <c r="H92" i="318"/>
  <c r="H91" i="318"/>
  <c r="H90" i="318"/>
  <c r="H89" i="318"/>
  <c r="H88" i="318"/>
  <c r="H87" i="318"/>
  <c r="H95" i="318"/>
  <c r="H12" i="269"/>
  <c r="H10" i="269"/>
  <c r="H9" i="269"/>
  <c r="H16" i="269"/>
  <c r="H24" i="269"/>
  <c r="H23" i="269"/>
  <c r="H22" i="269"/>
  <c r="H21" i="269"/>
  <c r="H28" i="269"/>
  <c r="H27" i="269"/>
  <c r="H26" i="269"/>
  <c r="H37" i="269"/>
  <c r="H39" i="269"/>
  <c r="H43" i="269"/>
  <c r="H52" i="269"/>
  <c r="H51" i="269"/>
  <c r="H50" i="269"/>
  <c r="H55" i="269"/>
  <c r="H54" i="269"/>
  <c r="H57" i="269"/>
  <c r="H56" i="270"/>
  <c r="H55" i="270"/>
  <c r="H54" i="270"/>
  <c r="H53" i="270"/>
  <c r="H52" i="270"/>
  <c r="H51" i="270"/>
  <c r="H50" i="270"/>
  <c r="H49" i="270"/>
  <c r="H48" i="270"/>
  <c r="H47" i="270"/>
  <c r="H43" i="270"/>
  <c r="H39" i="270"/>
  <c r="H37" i="270"/>
  <c r="H28" i="270"/>
  <c r="H27" i="270"/>
  <c r="H26" i="270"/>
  <c r="H21" i="270"/>
  <c r="H23" i="270"/>
  <c r="H22" i="270"/>
  <c r="H16" i="270"/>
  <c r="H12" i="270"/>
  <c r="H10" i="270"/>
  <c r="H9" i="270"/>
  <c r="H36" i="177"/>
  <c r="H27" i="177"/>
  <c r="H17" i="177"/>
  <c r="H16" i="177"/>
  <c r="H15" i="177"/>
  <c r="H12" i="177"/>
  <c r="H11" i="177"/>
  <c r="H10" i="177"/>
  <c r="H9" i="177"/>
  <c r="H8" i="177"/>
  <c r="H7" i="177"/>
  <c r="H9" i="324"/>
  <c r="H14" i="324"/>
  <c r="H22" i="324"/>
  <c r="H21" i="324"/>
  <c r="H25" i="324"/>
  <c r="H30" i="324"/>
  <c r="H38" i="324"/>
  <c r="H37" i="324"/>
  <c r="H36" i="324"/>
  <c r="H39" i="324"/>
  <c r="H152" i="324"/>
  <c r="H151" i="324"/>
  <c r="H165" i="324"/>
  <c r="H162" i="324"/>
  <c r="H161" i="324"/>
  <c r="H172" i="324"/>
  <c r="H175" i="324"/>
  <c r="H174" i="324"/>
  <c r="H173" i="324"/>
  <c r="H184" i="324"/>
  <c r="H194" i="324"/>
  <c r="H197" i="324"/>
  <c r="H196" i="324"/>
  <c r="H205" i="324"/>
  <c r="H207" i="324"/>
  <c r="H208" i="324"/>
  <c r="H73" i="268"/>
  <c r="H67" i="268"/>
  <c r="H66" i="268"/>
  <c r="H62" i="268"/>
  <c r="H61" i="268"/>
  <c r="H60" i="268"/>
  <c r="H59" i="268"/>
  <c r="H58" i="268"/>
  <c r="H55" i="268"/>
  <c r="H54" i="268"/>
  <c r="H51" i="268"/>
  <c r="H48" i="268"/>
  <c r="H45" i="268"/>
  <c r="H44" i="268"/>
  <c r="H20" i="182"/>
  <c r="H19" i="182"/>
  <c r="H18" i="182"/>
  <c r="H17" i="182"/>
  <c r="H16" i="182"/>
  <c r="H10" i="182"/>
  <c r="H14" i="182"/>
  <c r="H13" i="182"/>
  <c r="H12" i="182"/>
  <c r="H9" i="182"/>
  <c r="H8" i="182"/>
  <c r="H7" i="182"/>
  <c r="H6" i="182"/>
  <c r="H35" i="182"/>
  <c r="H34" i="182"/>
  <c r="H33" i="182"/>
  <c r="H32" i="182"/>
  <c r="H31" i="182"/>
  <c r="H30" i="182"/>
  <c r="H29" i="182"/>
  <c r="H28" i="182"/>
  <c r="H27" i="182"/>
  <c r="H26" i="182"/>
  <c r="H25" i="182"/>
  <c r="H39" i="182"/>
  <c r="H233" i="323"/>
  <c r="H232" i="323"/>
  <c r="H230" i="323"/>
  <c r="H223" i="323"/>
  <c r="H222" i="323"/>
  <c r="H221" i="323"/>
  <c r="H220" i="323"/>
  <c r="H219" i="323"/>
  <c r="H212" i="323"/>
  <c r="H211" i="323"/>
  <c r="H210" i="323"/>
  <c r="H209" i="323"/>
  <c r="H208" i="323"/>
  <c r="H200" i="323"/>
  <c r="H199" i="323"/>
  <c r="H198" i="323"/>
  <c r="H190" i="323"/>
  <c r="H189" i="323"/>
  <c r="H188" i="323"/>
  <c r="H187" i="323"/>
  <c r="H186" i="323"/>
  <c r="H178" i="323"/>
  <c r="H177" i="323"/>
  <c r="H176" i="323"/>
  <c r="H175" i="323"/>
  <c r="H65" i="323"/>
  <c r="H64" i="323"/>
  <c r="H63" i="323"/>
  <c r="H62"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7" i="330"/>
  <c r="H16" i="330"/>
  <c r="H15" i="330"/>
  <c r="H13" i="330"/>
  <c r="H9" i="330"/>
  <c r="K173" i="324" l="1"/>
  <c r="K96" i="242"/>
  <c r="K158" i="326"/>
  <c r="K144" i="326"/>
  <c r="K132" i="326"/>
  <c r="K108" i="326"/>
  <c r="K77" i="326"/>
  <c r="K41" i="326"/>
  <c r="K40" i="326"/>
  <c r="K30" i="326"/>
  <c r="K18" i="326"/>
  <c r="K144" i="335"/>
  <c r="K132" i="335"/>
  <c r="K101" i="335"/>
  <c r="K56" i="270" l="1"/>
  <c r="K55" i="270"/>
  <c r="K54" i="270"/>
  <c r="K53" i="270"/>
  <c r="K52" i="270"/>
  <c r="K51" i="270"/>
  <c r="K50" i="270"/>
  <c r="K48" i="270"/>
  <c r="K47" i="270"/>
  <c r="K38" i="270"/>
  <c r="K208" i="324" l="1"/>
  <c r="K184" i="324"/>
  <c r="K152" i="324"/>
  <c r="K151" i="324"/>
  <c r="K39" i="324"/>
  <c r="K30" i="324"/>
  <c r="K25" i="324"/>
  <c r="K35" i="182"/>
  <c r="K233" i="323"/>
  <c r="K232" i="323"/>
  <c r="K200" i="323"/>
  <c r="K199" i="323"/>
  <c r="K62" i="323"/>
  <c r="K228" i="330"/>
  <c r="K81" i="330"/>
  <c r="F177" i="330" l="1"/>
  <c r="G177" i="330"/>
  <c r="H161" i="242" l="1"/>
  <c r="H108" i="242"/>
  <c r="H18" i="242"/>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49" i="270" l="1"/>
  <c r="K43" i="270"/>
  <c r="K39" i="270"/>
  <c r="K37" i="270"/>
  <c r="K27" i="270"/>
  <c r="K26" i="270"/>
  <c r="K23" i="270"/>
  <c r="K22"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2" i="178"/>
  <c r="G10" i="178"/>
  <c r="G9" i="178"/>
  <c r="G8" i="178"/>
  <c r="G7" i="178"/>
  <c r="K9" i="324"/>
  <c r="K14" i="324"/>
  <c r="K22" i="324"/>
  <c r="K21"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J12" i="267"/>
  <c r="D76"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s="1"/>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c r="H17" i="335"/>
  <c r="I17" i="335" s="1"/>
  <c r="J17" i="335" s="1"/>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G26" i="178" s="1"/>
  <c r="H39" i="174" s="1"/>
  <c r="F25" i="178"/>
  <c r="E25" i="178"/>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I53" i="333" s="1"/>
  <c r="J53" i="333" s="1"/>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I140" i="335" s="1"/>
  <c r="J140" i="335" s="1"/>
  <c r="G140" i="335"/>
  <c r="F140" i="335"/>
  <c r="F138" i="335" s="1"/>
  <c r="E140" i="335"/>
  <c r="E138" i="335" s="1"/>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s="1"/>
  <c r="I131" i="335"/>
  <c r="J131" i="335"/>
  <c r="K130" i="335"/>
  <c r="H130" i="335"/>
  <c r="G130" i="335"/>
  <c r="F130" i="335"/>
  <c r="E130" i="335"/>
  <c r="E117" i="335" s="1"/>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I154" i="333" s="1"/>
  <c r="J154" i="333" s="1"/>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s="1"/>
  <c r="I143" i="326"/>
  <c r="J143" i="326"/>
  <c r="I142" i="326"/>
  <c r="J142" i="326"/>
  <c r="I141" i="326"/>
  <c r="J141" i="326"/>
  <c r="K140" i="326"/>
  <c r="K138" i="326" s="1"/>
  <c r="H140" i="326"/>
  <c r="G140" i="326"/>
  <c r="G138" i="326"/>
  <c r="F140" i="326"/>
  <c r="F138" i="326"/>
  <c r="E140" i="326"/>
  <c r="E138" i="326" s="1"/>
  <c r="D140" i="326"/>
  <c r="D138" i="326"/>
  <c r="C140" i="326"/>
  <c r="C138" i="326"/>
  <c r="I139" i="326"/>
  <c r="J139" i="326"/>
  <c r="J137" i="326"/>
  <c r="I136" i="326"/>
  <c r="J136" i="326"/>
  <c r="K135" i="326"/>
  <c r="H135" i="326"/>
  <c r="G135" i="326"/>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G75" i="326" s="1"/>
  <c r="F76" i="326"/>
  <c r="F75" i="326" s="1"/>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H45" i="326"/>
  <c r="G45" i="326"/>
  <c r="F45" i="326"/>
  <c r="E45" i="326"/>
  <c r="D45" i="326"/>
  <c r="D7"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c r="I35" i="326"/>
  <c r="J35" i="326" s="1"/>
  <c r="I34" i="326"/>
  <c r="J34" i="326" s="1"/>
  <c r="I33" i="326"/>
  <c r="J33" i="326" s="1"/>
  <c r="I32" i="326"/>
  <c r="J32" i="326" s="1"/>
  <c r="I31" i="326"/>
  <c r="J31" i="326" s="1"/>
  <c r="I30" i="326"/>
  <c r="J30" i="326" s="1"/>
  <c r="I29" i="326"/>
  <c r="J29" i="326" s="1"/>
  <c r="I28" i="326"/>
  <c r="J28" i="326" s="1"/>
  <c r="K27" i="326"/>
  <c r="H27" i="326"/>
  <c r="G27" i="326"/>
  <c r="I27" i="326" s="1"/>
  <c r="J27" i="326" s="1"/>
  <c r="F27" i="326"/>
  <c r="E27" i="326"/>
  <c r="D27" i="326"/>
  <c r="C27" i="326"/>
  <c r="I26" i="326"/>
  <c r="J26" i="326"/>
  <c r="I25" i="326"/>
  <c r="J25" i="326"/>
  <c r="I24" i="326"/>
  <c r="J24" i="326"/>
  <c r="I23" i="326"/>
  <c r="J23" i="326"/>
  <c r="I22" i="326"/>
  <c r="J22" i="326"/>
  <c r="I21" i="326"/>
  <c r="J21" i="326"/>
  <c r="I20" i="326"/>
  <c r="J20" i="326"/>
  <c r="I19" i="326"/>
  <c r="J19" i="326"/>
  <c r="I18" i="326"/>
  <c r="J18" i="326" s="1"/>
  <c r="K17" i="326"/>
  <c r="H17" i="326"/>
  <c r="G17" i="326"/>
  <c r="F17" i="326"/>
  <c r="E17" i="326"/>
  <c r="D17" i="326"/>
  <c r="C17" i="326"/>
  <c r="I16" i="326"/>
  <c r="J16" i="326"/>
  <c r="I15" i="326"/>
  <c r="J15" i="326"/>
  <c r="I14" i="326"/>
  <c r="J14" i="326"/>
  <c r="K13" i="326"/>
  <c r="H13" i="326"/>
  <c r="G13" i="326"/>
  <c r="F13" i="326"/>
  <c r="E13" i="326"/>
  <c r="D13" i="326"/>
  <c r="C13" i="326"/>
  <c r="I12" i="326"/>
  <c r="J12" i="326" s="1"/>
  <c r="I11" i="326"/>
  <c r="J11" i="326" s="1"/>
  <c r="I10" i="326"/>
  <c r="J10" i="326" s="1"/>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s="1"/>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F75" i="242" s="1"/>
  <c r="E76" i="242"/>
  <c r="D76" i="242"/>
  <c r="C99" i="242"/>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47" i="241" s="1"/>
  <c r="G235" i="330"/>
  <c r="G47" i="241" s="1"/>
  <c r="F235" i="330"/>
  <c r="F47" i="241" s="1"/>
  <c r="E235" i="330"/>
  <c r="E47" i="241" s="1"/>
  <c r="D235" i="330"/>
  <c r="D47" i="241" s="1"/>
  <c r="C235" i="330"/>
  <c r="C47" i="241" s="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s="1"/>
  <c r="C186" i="330"/>
  <c r="C37" i="241" s="1"/>
  <c r="I188" i="330"/>
  <c r="J188" i="330" s="1"/>
  <c r="I187" i="330"/>
  <c r="J187" i="330" s="1"/>
  <c r="A176" i="330"/>
  <c r="A175" i="330"/>
  <c r="A174" i="330"/>
  <c r="K171" i="330"/>
  <c r="K35" i="241" s="1"/>
  <c r="G171" i="330"/>
  <c r="G35" i="241" s="1"/>
  <c r="F171" i="330"/>
  <c r="F35" i="241" s="1"/>
  <c r="E171" i="330"/>
  <c r="E35" i="241" s="1"/>
  <c r="D171" i="330"/>
  <c r="D35" i="241" s="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D29" i="241" s="1"/>
  <c r="K27" i="330"/>
  <c r="K11" i="241" s="1"/>
  <c r="H27" i="330"/>
  <c r="H11" i="241" s="1"/>
  <c r="G27" i="330"/>
  <c r="G11" i="241" s="1"/>
  <c r="F27" i="330"/>
  <c r="F11" i="241" s="1"/>
  <c r="E27" i="330"/>
  <c r="E11" i="241" s="1"/>
  <c r="D27" i="330"/>
  <c r="D11" i="241" s="1"/>
  <c r="C27" i="330"/>
  <c r="C11" i="241" s="1"/>
  <c r="C10" i="241" s="1"/>
  <c r="K10" i="330"/>
  <c r="G8" i="241"/>
  <c r="E10" i="330"/>
  <c r="D10" i="330"/>
  <c r="D6" i="330" s="1"/>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G32" i="241" s="1"/>
  <c r="H146" i="330"/>
  <c r="H32" i="241" s="1"/>
  <c r="K146" i="330"/>
  <c r="K32" i="241" s="1"/>
  <c r="I147" i="330"/>
  <c r="J147" i="330" s="1"/>
  <c r="A148" i="330"/>
  <c r="A149" i="330"/>
  <c r="C149" i="330"/>
  <c r="C34" i="241" s="1"/>
  <c r="C33" i="241" s="1"/>
  <c r="D149" i="330"/>
  <c r="D34" i="241" s="1"/>
  <c r="D33" i="241" s="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s="1"/>
  <c r="I77" i="330"/>
  <c r="J77" i="330" s="1"/>
  <c r="I81" i="330"/>
  <c r="J81" i="330" s="1"/>
  <c r="I80" i="330"/>
  <c r="J80" i="330" s="1"/>
  <c r="I79" i="330"/>
  <c r="J79" i="330" s="1"/>
  <c r="I78" i="330"/>
  <c r="J78" i="330" s="1"/>
  <c r="I83" i="330"/>
  <c r="J83" i="330" s="1"/>
  <c r="I82" i="330"/>
  <c r="J82" i="330" s="1"/>
  <c r="K67" i="330"/>
  <c r="K15" i="241" s="1"/>
  <c r="H67" i="330"/>
  <c r="H15" i="241" s="1"/>
  <c r="I15" i="241" s="1"/>
  <c r="J15" i="241" s="1"/>
  <c r="G67" i="330"/>
  <c r="F67" i="330"/>
  <c r="F15" i="241"/>
  <c r="E67" i="330"/>
  <c r="E15" i="241" s="1"/>
  <c r="D67" i="330"/>
  <c r="C67" i="330"/>
  <c r="C15" i="241"/>
  <c r="H64" i="330"/>
  <c r="H14" i="241" s="1"/>
  <c r="G64" i="330"/>
  <c r="G14" i="241" s="1"/>
  <c r="F64" i="330"/>
  <c r="F14" i="241" s="1"/>
  <c r="E64" i="330"/>
  <c r="E14" i="241" s="1"/>
  <c r="D64" i="330"/>
  <c r="D14" i="241"/>
  <c r="K64" i="330"/>
  <c r="K14" i="241" s="1"/>
  <c r="C64" i="330"/>
  <c r="C14" i="241"/>
  <c r="I69" i="330"/>
  <c r="J69" i="330"/>
  <c r="I68" i="330"/>
  <c r="J68" i="330" s="1"/>
  <c r="I71" i="330"/>
  <c r="J71" i="330"/>
  <c r="I70" i="330"/>
  <c r="J70" i="330"/>
  <c r="I66" i="330"/>
  <c r="J66" i="330" s="1"/>
  <c r="I65" i="330"/>
  <c r="J65" i="330" s="1"/>
  <c r="K49" i="330"/>
  <c r="K12" i="241" s="1"/>
  <c r="G49" i="330"/>
  <c r="G12" i="241" s="1"/>
  <c r="F49" i="330"/>
  <c r="F12" i="241" s="1"/>
  <c r="E49" i="330"/>
  <c r="E12" i="241" s="1"/>
  <c r="D49" i="330"/>
  <c r="D12" i="241" s="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s="1"/>
  <c r="I60" i="318"/>
  <c r="J60" i="318" s="1"/>
  <c r="I59" i="318"/>
  <c r="J59" i="318"/>
  <c r="I58" i="318"/>
  <c r="J58" i="318" s="1"/>
  <c r="I57" i="318"/>
  <c r="J57" i="318" s="1"/>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s="1"/>
  <c r="K57" i="268"/>
  <c r="G57" i="268"/>
  <c r="F57" i="268"/>
  <c r="E57" i="268"/>
  <c r="D57" i="268"/>
  <c r="C57" i="268"/>
  <c r="C118" i="330"/>
  <c r="C25" i="241" s="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s="1"/>
  <c r="K196" i="323"/>
  <c r="K26" i="272" s="1"/>
  <c r="K207" i="323"/>
  <c r="K27" i="272" s="1"/>
  <c r="K218" i="323"/>
  <c r="K28" i="272"/>
  <c r="K229" i="323"/>
  <c r="K29" i="272" s="1"/>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196" i="323"/>
  <c r="G26" i="272" s="1"/>
  <c r="G207" i="323"/>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s="1"/>
  <c r="K171" i="324"/>
  <c r="K26" i="268" s="1"/>
  <c r="K160" i="324"/>
  <c r="K25" i="268" s="1"/>
  <c r="K149" i="324"/>
  <c r="K24" i="268" s="1"/>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H27" i="268" s="1"/>
  <c r="F182" i="324"/>
  <c r="F27" i="268" s="1"/>
  <c r="E182" i="324"/>
  <c r="E27" i="268" s="1"/>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s="1"/>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c r="K23" i="324"/>
  <c r="K9" i="268" s="1"/>
  <c r="K18" i="324"/>
  <c r="K8" i="268" s="1"/>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G10" i="268" s="1"/>
  <c r="F29" i="324"/>
  <c r="F10" i="268" s="1"/>
  <c r="E29" i="324"/>
  <c r="E10" i="268" s="1"/>
  <c r="D29" i="324"/>
  <c r="D10" i="268"/>
  <c r="G23" i="324"/>
  <c r="G9" i="268" s="1"/>
  <c r="F23" i="324"/>
  <c r="F9" i="268" s="1"/>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6" i="330" s="1"/>
  <c r="C24" i="330"/>
  <c r="C9" i="241"/>
  <c r="C87" i="330"/>
  <c r="C18" i="241" s="1"/>
  <c r="C92" i="330"/>
  <c r="C75" i="330" s="1"/>
  <c r="C19" i="241"/>
  <c r="C100" i="330"/>
  <c r="C104" i="330"/>
  <c r="C22" i="241" s="1"/>
  <c r="C20" i="241" s="1"/>
  <c r="C108" i="330"/>
  <c r="C23" i="241"/>
  <c r="K7" i="330"/>
  <c r="K24" i="330"/>
  <c r="K9" i="241" s="1"/>
  <c r="K87" i="330"/>
  <c r="K18" i="241" s="1"/>
  <c r="K92" i="330"/>
  <c r="K19" i="241"/>
  <c r="K100" i="330"/>
  <c r="K21" i="241" s="1"/>
  <c r="K104" i="330"/>
  <c r="K22" i="241" s="1"/>
  <c r="K108" i="330"/>
  <c r="K23" i="241" s="1"/>
  <c r="K118" i="330"/>
  <c r="K25" i="241" s="1"/>
  <c r="K129" i="330"/>
  <c r="K30" i="241" s="1"/>
  <c r="K177" i="330"/>
  <c r="K36" i="241" s="1"/>
  <c r="K189" i="330"/>
  <c r="K38" i="241" s="1"/>
  <c r="K198" i="330"/>
  <c r="K209" i="330"/>
  <c r="K41" i="241"/>
  <c r="K214" i="330"/>
  <c r="K42" i="241" s="1"/>
  <c r="K222" i="330"/>
  <c r="K44" i="241" s="1"/>
  <c r="K226" i="330"/>
  <c r="K45" i="241" s="1"/>
  <c r="K230" i="330"/>
  <c r="K46" i="241" s="1"/>
  <c r="K240" i="330"/>
  <c r="K48" i="241" s="1"/>
  <c r="H7" i="330"/>
  <c r="H7" i="241" s="1"/>
  <c r="H24" i="330"/>
  <c r="H9" i="241" s="1"/>
  <c r="H92" i="330"/>
  <c r="H19" i="241" s="1"/>
  <c r="H100" i="330"/>
  <c r="H21" i="241" s="1"/>
  <c r="H129" i="330"/>
  <c r="H189" i="330"/>
  <c r="H38" i="241" s="1"/>
  <c r="H209" i="330"/>
  <c r="H41" i="241" s="1"/>
  <c r="H226" i="330"/>
  <c r="H45" i="241"/>
  <c r="G7" i="330"/>
  <c r="G7" i="241" s="1"/>
  <c r="G24" i="330"/>
  <c r="G87" i="330"/>
  <c r="G18" i="241" s="1"/>
  <c r="G92" i="330"/>
  <c r="G100" i="330"/>
  <c r="G21" i="241" s="1"/>
  <c r="G104" i="330"/>
  <c r="G22" i="241" s="1"/>
  <c r="G108" i="330"/>
  <c r="G118" i="330"/>
  <c r="G25" i="241" s="1"/>
  <c r="G129" i="330"/>
  <c r="G30" i="241" s="1"/>
  <c r="G36" i="241"/>
  <c r="G189" i="330"/>
  <c r="G38" i="241"/>
  <c r="G198" i="330"/>
  <c r="G40" i="241" s="1"/>
  <c r="G209" i="330"/>
  <c r="G41" i="241" s="1"/>
  <c r="G214" i="330"/>
  <c r="G42" i="241" s="1"/>
  <c r="G222" i="330"/>
  <c r="G44" i="241" s="1"/>
  <c r="G226" i="330"/>
  <c r="G45" i="241" s="1"/>
  <c r="G230" i="330"/>
  <c r="G46" i="241" s="1"/>
  <c r="G240" i="330"/>
  <c r="F7" i="330"/>
  <c r="F24" i="330"/>
  <c r="F87" i="330"/>
  <c r="F18" i="241" s="1"/>
  <c r="F92" i="330"/>
  <c r="F19" i="241" s="1"/>
  <c r="F100" i="330"/>
  <c r="F104" i="330"/>
  <c r="F22" i="241" s="1"/>
  <c r="F108" i="330"/>
  <c r="F23" i="241" s="1"/>
  <c r="F118" i="330"/>
  <c r="F25" i="241" s="1"/>
  <c r="F129" i="330"/>
  <c r="F30" i="241" s="1"/>
  <c r="F36" i="241"/>
  <c r="F189" i="330"/>
  <c r="F38" i="241" s="1"/>
  <c r="F198" i="330"/>
  <c r="F40" i="241" s="1"/>
  <c r="F209" i="330"/>
  <c r="F41" i="241" s="1"/>
  <c r="F214" i="330"/>
  <c r="F42" i="241" s="1"/>
  <c r="F222" i="330"/>
  <c r="F44" i="241" s="1"/>
  <c r="F226" i="330"/>
  <c r="F45" i="241" s="1"/>
  <c r="F230" i="330"/>
  <c r="F46" i="241" s="1"/>
  <c r="F240" i="330"/>
  <c r="F48" i="241" s="1"/>
  <c r="E7" i="330"/>
  <c r="E7" i="241" s="1"/>
  <c r="E24" i="330"/>
  <c r="E9" i="241" s="1"/>
  <c r="E87" i="330"/>
  <c r="E18" i="241" s="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s="1"/>
  <c r="E230" i="330"/>
  <c r="E46" i="241" s="1"/>
  <c r="E240" i="330"/>
  <c r="E48" i="241" s="1"/>
  <c r="D7" i="330"/>
  <c r="D7" i="241"/>
  <c r="D6" i="241" s="1"/>
  <c r="D24" i="330"/>
  <c r="D9" i="241" s="1"/>
  <c r="D87" i="330"/>
  <c r="D75" i="330" s="1"/>
  <c r="D92" i="330"/>
  <c r="D19" i="241"/>
  <c r="D100" i="330"/>
  <c r="D21" i="241" s="1"/>
  <c r="D20" i="241" s="1"/>
  <c r="D104" i="330"/>
  <c r="D22" i="241"/>
  <c r="D108" i="330"/>
  <c r="D23" i="241"/>
  <c r="D118" i="330"/>
  <c r="D25" i="241"/>
  <c r="D129" i="330"/>
  <c r="D32" i="241"/>
  <c r="D177" i="330"/>
  <c r="D189" i="330"/>
  <c r="D148" i="330" s="1"/>
  <c r="D198" i="330"/>
  <c r="D197" i="330" s="1"/>
  <c r="D40" i="241"/>
  <c r="D209" i="330"/>
  <c r="D41" i="241"/>
  <c r="D214" i="330"/>
  <c r="D42" i="241"/>
  <c r="D222" i="330"/>
  <c r="D44" i="241"/>
  <c r="D43" i="241" s="1"/>
  <c r="D226" i="330"/>
  <c r="D45" i="241"/>
  <c r="D230" i="330"/>
  <c r="D46" i="241"/>
  <c r="D240" i="330"/>
  <c r="D48" i="241"/>
  <c r="C240" i="330"/>
  <c r="C48" i="241"/>
  <c r="C230" i="330"/>
  <c r="C46" i="241"/>
  <c r="C226" i="330"/>
  <c r="C45" i="241"/>
  <c r="C222" i="330"/>
  <c r="C44" i="241"/>
  <c r="C214" i="330"/>
  <c r="C42" i="241"/>
  <c r="C209" i="330"/>
  <c r="C197" i="330" s="1"/>
  <c r="C41" i="241"/>
  <c r="C39" i="241" s="1"/>
  <c r="C198" i="330"/>
  <c r="C40" i="241"/>
  <c r="C189" i="330"/>
  <c r="C38" i="241"/>
  <c r="C177" i="330"/>
  <c r="C148" i="330" s="1"/>
  <c r="C247" i="330" s="1"/>
  <c r="C257" i="330" s="1"/>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H37" i="177"/>
  <c r="G45" i="267" s="1"/>
  <c r="G37" i="177"/>
  <c r="F37" i="177"/>
  <c r="E45" i="267"/>
  <c r="E37" i="177"/>
  <c r="D45" i="267"/>
  <c r="D37" i="177"/>
  <c r="C45" i="267"/>
  <c r="C37" i="177"/>
  <c r="B45" i="267"/>
  <c r="K28" i="177"/>
  <c r="J44" i="267" s="1"/>
  <c r="H28" i="177"/>
  <c r="G44" i="267" s="1"/>
  <c r="G28" i="177"/>
  <c r="F28" i="177"/>
  <c r="E44" i="267" s="1"/>
  <c r="E28" i="177"/>
  <c r="D44" i="267" s="1"/>
  <c r="C28" i="177"/>
  <c r="B44" i="267"/>
  <c r="K18" i="177"/>
  <c r="J43" i="267" s="1"/>
  <c r="G18" i="177"/>
  <c r="F43" i="267" s="1"/>
  <c r="F18" i="177"/>
  <c r="E43" i="267" s="1"/>
  <c r="E18" i="177"/>
  <c r="D43" i="267" s="1"/>
  <c r="E77" i="100"/>
  <c r="E46" i="267"/>
  <c r="G48" i="178"/>
  <c r="H49" i="174" s="1"/>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c r="C28" i="323"/>
  <c r="C8" i="272"/>
  <c r="C39" i="323"/>
  <c r="C9" i="272"/>
  <c r="C50" i="323"/>
  <c r="C10" i="272"/>
  <c r="C61" i="323"/>
  <c r="C11" i="272"/>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30" i="272"/>
  <c r="I30" i="272"/>
  <c r="J30" i="272"/>
  <c r="G31" i="272"/>
  <c r="G32" i="272"/>
  <c r="I32" i="272"/>
  <c r="J32" i="272"/>
  <c r="H32"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s="1"/>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F13" i="178"/>
  <c r="G52" i="174" s="1"/>
  <c r="F48" i="178"/>
  <c r="G49" i="174" s="1"/>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s="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s="1"/>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7" i="174" s="1"/>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I67" i="318" s="1"/>
  <c r="J67" i="318" s="1"/>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s="1"/>
  <c r="I65" i="318"/>
  <c r="J65" i="318" s="1"/>
  <c r="I64" i="318"/>
  <c r="J64" i="318"/>
  <c r="I62" i="318"/>
  <c r="J62" i="318" s="1"/>
  <c r="I56" i="318"/>
  <c r="J56" i="318" s="1"/>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C28" i="272"/>
  <c r="D17" i="272"/>
  <c r="I72" i="323"/>
  <c r="J72" i="323"/>
  <c r="C31" i="183"/>
  <c r="F45" i="267"/>
  <c r="H15" i="272"/>
  <c r="I105" i="323"/>
  <c r="J105" i="323"/>
  <c r="J29" i="267"/>
  <c r="B100" i="100"/>
  <c r="K117" i="326"/>
  <c r="G110" i="335"/>
  <c r="I130" i="335"/>
  <c r="J130" i="335" s="1"/>
  <c r="H110" i="333"/>
  <c r="E117" i="333"/>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F110" i="325"/>
  <c r="E110" i="325"/>
  <c r="D7" i="325"/>
  <c r="I63" i="325"/>
  <c r="J63" i="325"/>
  <c r="H117" i="325"/>
  <c r="I157" i="325"/>
  <c r="J157" i="325"/>
  <c r="E7" i="325"/>
  <c r="E166" i="325" s="1"/>
  <c r="I99" i="325"/>
  <c r="J99" i="325"/>
  <c r="F110" i="326"/>
  <c r="E110" i="326"/>
  <c r="J63" i="326"/>
  <c r="I135" i="326"/>
  <c r="J135" i="326"/>
  <c r="I17" i="326"/>
  <c r="J17" i="326" s="1"/>
  <c r="I69" i="326"/>
  <c r="J69" i="326"/>
  <c r="I114" i="326"/>
  <c r="J114" i="326"/>
  <c r="I157" i="326"/>
  <c r="J157" i="326" s="1"/>
  <c r="C117" i="326"/>
  <c r="G117" i="326"/>
  <c r="I160" i="326"/>
  <c r="J160" i="326"/>
  <c r="I99" i="326"/>
  <c r="J99" i="326"/>
  <c r="H110" i="326"/>
  <c r="D117" i="326"/>
  <c r="H117" i="326"/>
  <c r="I117" i="326" s="1"/>
  <c r="J117" i="326" s="1"/>
  <c r="I148" i="326"/>
  <c r="J148" i="326"/>
  <c r="I13" i="326"/>
  <c r="J13" i="326"/>
  <c r="E7" i="326"/>
  <c r="J163" i="326"/>
  <c r="E117" i="326"/>
  <c r="J118" i="326"/>
  <c r="I140" i="326"/>
  <c r="J140" i="326" s="1"/>
  <c r="E75" i="326"/>
  <c r="I103" i="326"/>
  <c r="J103" i="326" s="1"/>
  <c r="I151" i="326"/>
  <c r="J151" i="326" s="1"/>
  <c r="H138" i="326"/>
  <c r="I138" i="326" s="1"/>
  <c r="J138" i="326" s="1"/>
  <c r="C75" i="242"/>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99" i="242"/>
  <c r="J99" i="242"/>
  <c r="I24" i="330"/>
  <c r="J24" i="330" s="1"/>
  <c r="I67" i="330"/>
  <c r="J67" i="330" s="1"/>
  <c r="C21" i="241"/>
  <c r="I226" i="330"/>
  <c r="J226" i="330" s="1"/>
  <c r="G9" i="241"/>
  <c r="I9" i="241" s="1"/>
  <c r="J9" i="241" s="1"/>
  <c r="E8" i="241"/>
  <c r="C53" i="182"/>
  <c r="D28" i="174"/>
  <c r="D11" i="267"/>
  <c r="I53" i="242"/>
  <c r="J53" i="242"/>
  <c r="I114" i="242"/>
  <c r="J114" i="242" s="1"/>
  <c r="D36" i="241"/>
  <c r="C221" i="330"/>
  <c r="C128" i="330"/>
  <c r="C99" i="330"/>
  <c r="D39" i="174"/>
  <c r="O52" i="317"/>
  <c r="O54" i="317"/>
  <c r="O56" i="317"/>
  <c r="P55" i="317"/>
  <c r="P56" i="317"/>
  <c r="Q55" i="317"/>
  <c r="Q56" i="317"/>
  <c r="D31" i="183"/>
  <c r="E7" i="272"/>
  <c r="G8" i="334"/>
  <c r="C49" i="318"/>
  <c r="C104" i="318"/>
  <c r="G65" i="317"/>
  <c r="G52" i="317"/>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7" i="335"/>
  <c r="J117" i="335" s="1"/>
  <c r="I118" i="335"/>
  <c r="J118" i="335"/>
  <c r="P65" i="317"/>
  <c r="P52" i="317"/>
  <c r="P54" i="317"/>
  <c r="H14" i="272"/>
  <c r="D45" i="174"/>
  <c r="D7" i="174"/>
  <c r="B18" i="267"/>
  <c r="B19" i="267"/>
  <c r="J36" i="267"/>
  <c r="H52" i="174"/>
  <c r="E22" i="241"/>
  <c r="A207" i="323"/>
  <c r="A23" i="324"/>
  <c r="A27" i="272"/>
  <c r="A182" i="324"/>
  <c r="C28" i="334"/>
  <c r="G32" i="334"/>
  <c r="F31" i="334"/>
  <c r="G138" i="242"/>
  <c r="G110" i="326"/>
  <c r="I110" i="326"/>
  <c r="J110" i="326"/>
  <c r="I111" i="326"/>
  <c r="J111" i="326"/>
  <c r="C7" i="333"/>
  <c r="C75" i="333"/>
  <c r="B11" i="267"/>
  <c r="B39" i="267"/>
  <c r="C41" i="178"/>
  <c r="C43" i="178"/>
  <c r="C54" i="178"/>
  <c r="B99" i="100"/>
  <c r="B94" i="100"/>
  <c r="A18" i="268"/>
  <c r="A18" i="272"/>
  <c r="A251" i="323"/>
  <c r="A13" i="272"/>
  <c r="D28" i="334"/>
  <c r="D49" i="334"/>
  <c r="K110" i="325"/>
  <c r="K7" i="335"/>
  <c r="I13" i="242"/>
  <c r="J13" i="242" s="1"/>
  <c r="B3" i="100"/>
  <c r="D2" i="326" s="1"/>
  <c r="A39" i="323"/>
  <c r="B98" i="100"/>
  <c r="A149" i="324"/>
  <c r="A28" i="268"/>
  <c r="A13" i="268"/>
  <c r="A6" i="268"/>
  <c r="A7" i="324"/>
  <c r="A32" i="272"/>
  <c r="A9" i="272"/>
  <c r="A138" i="323"/>
  <c r="A50" i="323"/>
  <c r="B77" i="100"/>
  <c r="B93" i="100"/>
  <c r="E31" i="183"/>
  <c r="C63" i="268"/>
  <c r="C29" i="267"/>
  <c r="C33" i="267"/>
  <c r="D18" i="267"/>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C29" i="241"/>
  <c r="D30" i="241"/>
  <c r="D128" i="330"/>
  <c r="I28" i="177"/>
  <c r="J28" i="177" s="1"/>
  <c r="P66" i="317"/>
  <c r="K68" i="318"/>
  <c r="I29" i="183"/>
  <c r="I31" i="183"/>
  <c r="G31" i="183"/>
  <c r="D2" i="269"/>
  <c r="I65" i="317"/>
  <c r="G22" i="334"/>
  <c r="C54" i="317"/>
  <c r="C56" i="317"/>
  <c r="D55" i="317"/>
  <c r="D56" i="317"/>
  <c r="E55" i="317"/>
  <c r="L52" i="317"/>
  <c r="L54" i="317"/>
  <c r="L66" i="317"/>
  <c r="L65" i="317"/>
  <c r="D2" i="241"/>
  <c r="D2" i="183"/>
  <c r="C2" i="317"/>
  <c r="D2" i="177"/>
  <c r="E47" i="318"/>
  <c r="J65" i="317"/>
  <c r="G18" i="272"/>
  <c r="H20" i="272"/>
  <c r="I116" i="323"/>
  <c r="J116" i="323"/>
  <c r="A196" i="323"/>
  <c r="A8" i="268"/>
  <c r="B33" i="267"/>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G14" i="272"/>
  <c r="I14" i="272"/>
  <c r="J14" i="272"/>
  <c r="B43" i="267"/>
  <c r="C39" i="177"/>
  <c r="C41" i="177"/>
  <c r="B46" i="267"/>
  <c r="D2" i="174"/>
  <c r="C2" i="268"/>
  <c r="C2" i="269"/>
  <c r="H34" i="272"/>
  <c r="I34" i="272"/>
  <c r="J34" i="272"/>
  <c r="I110" i="325"/>
  <c r="J110" i="325"/>
  <c r="E100" i="318"/>
  <c r="E102" i="318"/>
  <c r="C49" i="334"/>
  <c r="G36" i="272"/>
  <c r="I306" i="323"/>
  <c r="J306" i="323"/>
  <c r="G41" i="334"/>
  <c r="F47" i="334"/>
  <c r="G47" i="334"/>
  <c r="B20" i="267"/>
  <c r="B23" i="267"/>
  <c r="B25" i="267"/>
  <c r="E12" i="272"/>
  <c r="D2" i="242"/>
  <c r="C77" i="172"/>
  <c r="D2" i="323"/>
  <c r="C2" i="267"/>
  <c r="D2" i="333"/>
  <c r="F16" i="334"/>
  <c r="K52" i="317"/>
  <c r="K65" i="317"/>
  <c r="E106" i="318"/>
  <c r="E49" i="318"/>
  <c r="E104" i="318" s="1"/>
  <c r="E105" i="318" s="1"/>
  <c r="F31" i="183"/>
  <c r="G9" i="272"/>
  <c r="C47" i="334"/>
  <c r="I38" i="272"/>
  <c r="J38" i="272"/>
  <c r="K7" i="333"/>
  <c r="E75" i="325"/>
  <c r="I114" i="333"/>
  <c r="J114" i="333"/>
  <c r="G110" i="333"/>
  <c r="I110" i="333"/>
  <c r="J110" i="333"/>
  <c r="E110" i="335"/>
  <c r="C110" i="333"/>
  <c r="C166" i="333"/>
  <c r="G138" i="335"/>
  <c r="E7" i="335"/>
  <c r="E50" i="318"/>
  <c r="G16" i="334"/>
  <c r="F28" i="334"/>
  <c r="F49" i="334"/>
  <c r="G49" i="334"/>
  <c r="G28" i="334"/>
  <c r="D63" i="268"/>
  <c r="I37" i="272"/>
  <c r="J37" i="272"/>
  <c r="I273" i="323"/>
  <c r="J273" i="323"/>
  <c r="D339" i="323"/>
  <c r="C339" i="323"/>
  <c r="W340" i="323"/>
  <c r="C25" i="272"/>
  <c r="C39" i="272"/>
  <c r="P340" i="323"/>
  <c r="R340" i="323"/>
  <c r="T340" i="323"/>
  <c r="L340" i="323"/>
  <c r="O340" i="323"/>
  <c r="G20" i="272"/>
  <c r="I20" i="272"/>
  <c r="J20" i="272"/>
  <c r="H19" i="272"/>
  <c r="I19" i="272"/>
  <c r="J19" i="272"/>
  <c r="H18" i="272"/>
  <c r="I18" i="272"/>
  <c r="J18" i="272"/>
  <c r="C21" i="272"/>
  <c r="C171" i="323"/>
  <c r="C341" i="323"/>
  <c r="A218" i="323"/>
  <c r="A28" i="272"/>
  <c r="A10" i="272"/>
  <c r="A10" i="268"/>
  <c r="D39" i="272"/>
  <c r="D171" i="323"/>
  <c r="D8" i="272"/>
  <c r="D38" i="241"/>
  <c r="D15" i="24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C21" i="268"/>
  <c r="D21" i="268"/>
  <c r="H18" i="324"/>
  <c r="H19" i="268"/>
  <c r="I19" i="268"/>
  <c r="J19" i="268"/>
  <c r="I281" i="324"/>
  <c r="I17" i="268"/>
  <c r="J17" i="268"/>
  <c r="C314" i="324"/>
  <c r="T315" i="324"/>
  <c r="D39" i="268"/>
  <c r="U315" i="324"/>
  <c r="H34" i="268"/>
  <c r="I259" i="324"/>
  <c r="C39" i="268"/>
  <c r="D314" i="324"/>
  <c r="C145" i="324"/>
  <c r="G16" i="268"/>
  <c r="I16" i="268"/>
  <c r="J16" i="268"/>
  <c r="G30" i="268"/>
  <c r="I215" i="324"/>
  <c r="H35" i="268"/>
  <c r="I270" i="324"/>
  <c r="H15" i="268"/>
  <c r="I15" i="268"/>
  <c r="J15" i="268"/>
  <c r="H7" i="324"/>
  <c r="H6" i="268" s="1"/>
  <c r="H12" i="324"/>
  <c r="I14" i="324"/>
  <c r="J14" i="324" s="1"/>
  <c r="H32" i="268"/>
  <c r="I237" i="324"/>
  <c r="H37" i="268"/>
  <c r="I292" i="324"/>
  <c r="G20" i="268"/>
  <c r="I20" i="268"/>
  <c r="J20" i="268"/>
  <c r="G24" i="268"/>
  <c r="I149" i="324"/>
  <c r="J149" i="324" s="1"/>
  <c r="G33" i="268"/>
  <c r="I248" i="324"/>
  <c r="G38" i="268"/>
  <c r="I303" i="324"/>
  <c r="H23" i="324"/>
  <c r="H9" i="268" s="1"/>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c r="H35" i="324"/>
  <c r="H11" i="268" s="1"/>
  <c r="I27" i="324"/>
  <c r="J27" i="324" s="1"/>
  <c r="H57" i="268"/>
  <c r="I57" i="268" s="1"/>
  <c r="J57" i="268" s="1"/>
  <c r="I49" i="268"/>
  <c r="J49" i="268" s="1"/>
  <c r="I45" i="268"/>
  <c r="J45" i="268" s="1"/>
  <c r="H235" i="330"/>
  <c r="H47" i="241" s="1"/>
  <c r="I223" i="330"/>
  <c r="J223" i="330" s="1"/>
  <c r="I179" i="330"/>
  <c r="J179" i="330" s="1"/>
  <c r="H171" i="330"/>
  <c r="H118" i="330"/>
  <c r="H25" i="241" s="1"/>
  <c r="I88" i="330"/>
  <c r="J88" i="330" s="1"/>
  <c r="C316" i="324"/>
  <c r="C40" i="268"/>
  <c r="B28" i="267"/>
  <c r="D316" i="324"/>
  <c r="I31" i="268"/>
  <c r="J31" i="268"/>
  <c r="D40" i="268"/>
  <c r="J281" i="324"/>
  <c r="I36" i="268"/>
  <c r="J36" i="268"/>
  <c r="I38" i="268"/>
  <c r="J38" i="268"/>
  <c r="J303" i="324"/>
  <c r="I30" i="268"/>
  <c r="J30" i="268"/>
  <c r="J215" i="324"/>
  <c r="J248" i="324"/>
  <c r="I33" i="268"/>
  <c r="J33" i="268"/>
  <c r="I32" i="268"/>
  <c r="J32" i="268"/>
  <c r="J237" i="324"/>
  <c r="J292" i="324"/>
  <c r="I37" i="268"/>
  <c r="J37" i="268"/>
  <c r="I35" i="268"/>
  <c r="J35" i="268"/>
  <c r="J270" i="324"/>
  <c r="I34" i="268"/>
  <c r="J34" i="268"/>
  <c r="J259" i="324"/>
  <c r="D86" i="268"/>
  <c r="E46" i="174"/>
  <c r="E8" i="174"/>
  <c r="C86" i="268"/>
  <c r="D46" i="174"/>
  <c r="D8" i="174"/>
  <c r="C28" i="267"/>
  <c r="G8" i="272"/>
  <c r="D43" i="178"/>
  <c r="D54" i="178"/>
  <c r="C37" i="267"/>
  <c r="H45" i="335"/>
  <c r="H27" i="335"/>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F33"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I113" i="330"/>
  <c r="J113" i="330" s="1"/>
  <c r="H18" i="241"/>
  <c r="I60" i="330"/>
  <c r="J60" i="330" s="1"/>
  <c r="H49" i="330"/>
  <c r="H12" i="241" s="1"/>
  <c r="K8" i="241"/>
  <c r="A1" i="331"/>
  <c r="B4" i="331"/>
  <c r="B8" i="331"/>
  <c r="A1" i="328"/>
  <c r="H50" i="267"/>
  <c r="I157" i="335"/>
  <c r="J157" i="335" s="1"/>
  <c r="H6" i="180"/>
  <c r="I6" i="180" s="1"/>
  <c r="C31" i="172"/>
  <c r="G10" i="180"/>
  <c r="N56" i="317"/>
  <c r="N66" i="317"/>
  <c r="C64" i="269"/>
  <c r="D64" i="269"/>
  <c r="C63" i="270"/>
  <c r="E17" i="174"/>
  <c r="E26" i="174"/>
  <c r="E28" i="174"/>
  <c r="E27" i="174"/>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F7" i="325" l="1"/>
  <c r="I38" i="326"/>
  <c r="J38" i="326" s="1"/>
  <c r="F7" i="242"/>
  <c r="F61" i="270"/>
  <c r="N24" i="238"/>
  <c r="O12" i="238"/>
  <c r="H138" i="335"/>
  <c r="H6" i="267"/>
  <c r="I6" i="267" s="1"/>
  <c r="I75" i="326"/>
  <c r="J75" i="326" s="1"/>
  <c r="E166" i="326"/>
  <c r="K7" i="326"/>
  <c r="I138" i="335"/>
  <c r="J138" i="335" s="1"/>
  <c r="E75" i="335"/>
  <c r="E33" i="270"/>
  <c r="K39" i="177"/>
  <c r="K41" i="177" s="1"/>
  <c r="J46" i="267" s="1"/>
  <c r="H11" i="174"/>
  <c r="J40" i="267"/>
  <c r="J37" i="267"/>
  <c r="E26" i="178"/>
  <c r="I182" i="324"/>
  <c r="K314" i="324"/>
  <c r="K316" i="324" s="1"/>
  <c r="D33" i="267"/>
  <c r="K63" i="268"/>
  <c r="H7" i="174"/>
  <c r="D19" i="267"/>
  <c r="C16" i="241"/>
  <c r="D10" i="241"/>
  <c r="D26" i="241" s="1"/>
  <c r="D26" i="330"/>
  <c r="D125" i="330" s="1"/>
  <c r="D256" i="330" s="1"/>
  <c r="D99" i="330"/>
  <c r="I45" i="241"/>
  <c r="J45" i="241" s="1"/>
  <c r="C26" i="330"/>
  <c r="C125" i="330" s="1"/>
  <c r="D221" i="330"/>
  <c r="C7" i="241"/>
  <c r="C6" i="241" s="1"/>
  <c r="C26" i="241" s="1"/>
  <c r="K221" i="330"/>
  <c r="D18" i="241"/>
  <c r="D16" i="241" s="1"/>
  <c r="D39" i="241"/>
  <c r="I171" i="330"/>
  <c r="J171" i="330" s="1"/>
  <c r="E99" i="330"/>
  <c r="F6" i="330"/>
  <c r="C43" i="241"/>
  <c r="C49" i="241" s="1"/>
  <c r="D49" i="241"/>
  <c r="D247" i="330"/>
  <c r="K43" i="241"/>
  <c r="K26" i="330"/>
  <c r="E6" i="330"/>
  <c r="J14" i="180"/>
  <c r="G50" i="267"/>
  <c r="G14" i="174"/>
  <c r="I50" i="267"/>
  <c r="E26" i="175"/>
  <c r="E27" i="175" s="1"/>
  <c r="J26" i="175"/>
  <c r="J27" i="175" s="1"/>
  <c r="D53" i="172"/>
  <c r="F39" i="177"/>
  <c r="F75" i="335"/>
  <c r="G117" i="325"/>
  <c r="I117" i="325" s="1"/>
  <c r="J117" i="325" s="1"/>
  <c r="F7" i="326"/>
  <c r="F166" i="326" s="1"/>
  <c r="F117" i="242"/>
  <c r="F62" i="269"/>
  <c r="F64" i="269" s="1"/>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24" i="268"/>
  <c r="J24" i="268" s="1"/>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H10" i="174"/>
  <c r="H13" i="174"/>
  <c r="G43" i="178"/>
  <c r="G54" i="178" s="1"/>
  <c r="K21" i="268"/>
  <c r="K39" i="268"/>
  <c r="J33" i="267"/>
  <c r="J18" i="267"/>
  <c r="J19" i="267" s="1"/>
  <c r="J11" i="267"/>
  <c r="H55" i="174"/>
  <c r="H27" i="174" s="1"/>
  <c r="K38" i="182"/>
  <c r="K42" i="182" s="1"/>
  <c r="K44" i="182" s="1"/>
  <c r="K46" i="182" s="1"/>
  <c r="K48" i="182" s="1"/>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I104" i="330"/>
  <c r="J104" i="330" s="1"/>
  <c r="G99" i="330"/>
  <c r="K197" i="330"/>
  <c r="K40" i="241"/>
  <c r="K39" i="241" s="1"/>
  <c r="K148" i="330"/>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E43" i="178" s="1"/>
  <c r="E54" i="178" s="1"/>
  <c r="F53" i="174"/>
  <c r="F39" i="174"/>
  <c r="D37" i="267"/>
  <c r="E39" i="268"/>
  <c r="E314" i="324"/>
  <c r="E21" i="268"/>
  <c r="E145" i="324"/>
  <c r="E74" i="268"/>
  <c r="E63" i="268"/>
  <c r="D20" i="267"/>
  <c r="D23" i="267" s="1"/>
  <c r="D25" i="267" s="1"/>
  <c r="F28" i="174"/>
  <c r="F26" i="174"/>
  <c r="F17" i="174"/>
  <c r="E339" i="323"/>
  <c r="E39" i="272"/>
  <c r="E21" i="272"/>
  <c r="E40" i="272" s="1"/>
  <c r="E171" i="323"/>
  <c r="E221" i="330"/>
  <c r="E43" i="241"/>
  <c r="E39" i="241"/>
  <c r="E197" i="330"/>
  <c r="D257"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G74" i="268"/>
  <c r="I74" i="268" s="1"/>
  <c r="J74" i="268" s="1"/>
  <c r="F29" i="267"/>
  <c r="B61" i="100"/>
  <c r="A1" i="175" s="1"/>
  <c r="O20" i="238"/>
  <c r="O22" i="238" s="1"/>
  <c r="G7" i="174"/>
  <c r="K21" i="175"/>
  <c r="G62" i="269"/>
  <c r="G75" i="335"/>
  <c r="I75" i="335" s="1"/>
  <c r="J75" i="335" s="1"/>
  <c r="I99" i="333"/>
  <c r="J99" i="333" s="1"/>
  <c r="I17" i="325"/>
  <c r="J17" i="325" s="1"/>
  <c r="I38" i="242"/>
  <c r="J38" i="242" s="1"/>
  <c r="I17" i="180"/>
  <c r="J17" i="180"/>
  <c r="J16" i="180"/>
  <c r="I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G10" i="174"/>
  <c r="F38" i="182"/>
  <c r="F42" i="182" s="1"/>
  <c r="F44" i="182" s="1"/>
  <c r="F46" i="182" s="1"/>
  <c r="F48" i="182" s="1"/>
  <c r="D104" i="172"/>
  <c r="C79" i="172"/>
  <c r="B79" i="172" s="1"/>
  <c r="C171" i="335"/>
  <c r="D166" i="242"/>
  <c r="I76" i="242"/>
  <c r="J76" i="242" s="1"/>
  <c r="D171" i="326"/>
  <c r="D171" i="335"/>
  <c r="D171" i="242"/>
  <c r="C171" i="326"/>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F166" i="325"/>
  <c r="I154" i="242"/>
  <c r="J154" i="242" s="1"/>
  <c r="H7" i="180"/>
  <c r="I7" i="180" s="1"/>
  <c r="J7" i="180"/>
  <c r="H13" i="180"/>
  <c r="I13" i="180" s="1"/>
  <c r="H17" i="180"/>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F166" i="242" l="1"/>
  <c r="O24" i="238"/>
  <c r="J182" i="324"/>
  <c r="I27" i="268"/>
  <c r="J27" i="268" s="1"/>
  <c r="H17" i="174"/>
  <c r="E341" i="323"/>
  <c r="C248" i="330"/>
  <c r="C256" i="330"/>
  <c r="C50" i="241"/>
  <c r="D248" i="330"/>
  <c r="D50" i="241"/>
  <c r="F6" i="241"/>
  <c r="K247" i="330"/>
  <c r="K257" i="330" s="1"/>
  <c r="I24" i="272"/>
  <c r="I39" i="272" s="1"/>
  <c r="H46" i="267"/>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F26" i="241"/>
  <c r="I10" i="241"/>
  <c r="J10" i="241" s="1"/>
  <c r="H166" i="335"/>
  <c r="H166" i="325"/>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J24" i="272" l="1"/>
  <c r="E171" i="242"/>
  <c r="E171" i="335"/>
  <c r="E171" i="326"/>
  <c r="I166" i="325"/>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<sst xmlns="http://schemas.openxmlformats.org/spreadsheetml/2006/main" count="3028" uniqueCount="1489">
  <si>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</si>
  <si>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</si>
  <si>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</si>
  <si>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</si>
  <si>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</si>
  <si>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</si>
  <si>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</si>
  <si>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</si>
  <si>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</si>
  <si>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</si>
  <si>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</si>
  <si>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</si>
  <si>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</si>
  <si>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</si>
  <si>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</si>
  <si>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</si>
  <si>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</si>
  <si>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</si>
  <si>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</si>
  <si>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</si>
  <si>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</si>
  <si>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</si>
  <si>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</si>
  <si>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</si>
  <si>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</si>
  <si>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</si>
  <si>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</si>
  <si>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</si>
  <si>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</si>
  <si>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</si>
  <si>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</si>
  <si>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</si>
  <si>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</si>
  <si>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</si>
  <si>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</si>
  <si>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</si>
  <si>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</si>
  <si>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</si>
  <si>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</si>
  <si>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</si>
  <si>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</si>
  <si>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</si>
  <si>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</si>
  <si>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</si>
  <si>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</si>
  <si>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</si>
  <si>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</si>
  <si>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</si>
  <si>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</si>
  <si>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</si>
  <si>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</si>
  <si>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</si>
  <si>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</si>
  <si>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</si>
  <si>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</si>
  <si>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</si>
  <si>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</si>
  <si>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</si>
  <si>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</si>
  <si>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</si>
  <si>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</si>
  <si>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</si>
  <si>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</si>
  <si>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</si>
  <si>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</si>
  <si>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</si>
  <si>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</si>
  <si>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</si>
  <si>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</si>
  <si>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</si>
  <si>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</si>
  <si>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</si>
  <si>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</si>
  <si>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</si>
  <si>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</si>
  <si>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</si>
  <si>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</si>
  <si>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</si>
  <si>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</si>
  <si>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</si>
  <si>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</si>
  <si>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</si>
  <si>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</si>
  <si>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</si>
  <si>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</si>
  <si>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</si>
  <si>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</si>
  <si>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</si>
  <si>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</si>
  <si>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</si>
  <si>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</si>
  <si>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</si>
  <si>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</si>
  <si>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</si>
  <si>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</si>
  <si>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</si>
  <si>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</si>
  <si>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</si>
  <si>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</si>
  <si>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</si>
  <si>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</si>
  <si>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</si>
  <si>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</si>
  <si>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</si>
  <si>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</si>
  <si>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</si>
  <si>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</si>
  <si>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</si>
  <si>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</si>
  <si>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</si>
  <si>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</si>
  <si>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</si>
  <si>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</si>
  <si>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</si>
  <si>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</si>
  <si>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</si>
  <si>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</si>
  <si>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</si>
  <si>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</si>
  <si>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</si>
  <si>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</si>
  <si>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</si>
  <si>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</si>
  <si>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</si>
  <si>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</si>
  <si>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</si>
  <si>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</si>
  <si>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</si>
  <si>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</si>
  <si>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</si>
  <si>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</si>
  <si>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</si>
  <si>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</si>
  <si>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</si>
  <si>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</si>
  <si>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</si>
  <si>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</si>
  <si>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</si>
  <si>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</si>
  <si>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</si>
  <si>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</si>
  <si>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</si>
  <si>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</si>
  <si>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</si>
  <si>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</si>
  <si>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</si>
  <si>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</si>
  <si>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</si>
  <si>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</si>
  <si>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</si>
  <si>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</si>
  <si>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</si>
  <si>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</si>
  <si>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</si>
  <si>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</si>
  <si>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</si>
  <si>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</si>
  <si>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</si>
  <si>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</si>
  <si>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</si>
  <si>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</si>
  <si>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</si>
  <si>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</si>
  <si>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</si>
  <si>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</si>
  <si>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</si>
  <si>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</si>
  <si>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</si>
  <si>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</si>
  <si>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</si>
  <si>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</si>
  <si>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</si>
  <si>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</si>
  <si>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</si>
  <si>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</si>
  <si>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</si>
  <si>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</si>
  <si>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</si>
  <si>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</si>
  <si>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</si>
  <si>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</si>
  <si>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</si>
  <si>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</si>
  <si>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</si>
  <si>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</si>
  <si>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</si>
  <si>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</si>
  <si>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</si>
  <si>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</si>
  <si>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</si>
  <si>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</si>
  <si>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</si>
  <si>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</si>
  <si>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</si>
  <si>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</si>
  <si>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</si>
  <si>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</si>
  <si>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</si>
  <si>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</si>
  <si>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</si>
  <si>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</si>
  <si>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</si>
  <si>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</si>
  <si>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</si>
  <si>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</si>
  <si>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</si>
  <si>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</si>
  <si>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</si>
  <si>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</si>
  <si>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</si>
  <si>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</si>
  <si>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</si>
  <si>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</si>
  <si>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</si>
  <si>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</si>
  <si>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</si>
  <si>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</si>
  <si>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</si>
  <si>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</si>
  <si>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</si>
  <si>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</si>
  <si>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</si>
  <si>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</si>
  <si>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</si>
  <si>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</si>
  <si>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</si>
  <si>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</si>
  <si>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</si>
  <si>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</si>
  <si>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</si>
  <si>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</si>
  <si>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</si>
  <si>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</si>
  <si>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</si>
  <si>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</si>
  <si>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</si>
  <si>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</si>
  <si>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</si>
  <si>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</si>
  <si>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</si>
  <si>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</si>
  <si>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</si>
  <si>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</si>
  <si>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</si>
  <si>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</si>
  <si>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</si>
  <si>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</si>
  <si>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</si>
  <si>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</si>
  <si>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</si>
  <si>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</si>
  <si>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</si>
  <si>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</si>
  <si>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</si>
  <si>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</si>
  <si>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</si>
  <si>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</si>
  <si>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</si>
  <si>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</si>
  <si>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</si>
  <si>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</si>
  <si>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</si>
  <si>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</si>
  <si>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</si>
  <si>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</si>
  <si>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</si>
  <si>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</si>
  <si>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</si>
  <si>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</si>
  <si>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</si>
  <si>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</si>
  <si>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</si>
  <si>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</si>
  <si>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</si>
  <si>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</si>
  <si>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</si>
  <si>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</si>
  <si>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</si>
  <si>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</si>
  <si>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</si>
  <si>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</si>
  <si>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</si>
  <si>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</si>
  <si>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</si>
  <si>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</si>
  <si>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</si>
  <si>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</si>
  <si>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</si>
  <si>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</si>
  <si>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</si>
  <si>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</si>
  <si>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</si>
  <si>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</si>
  <si>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</si>
  <si>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</si>
  <si>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</si>
  <si>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</si>
  <si>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</si>
  <si>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</si>
  <si>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</si>
  <si>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</si>
  <si>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</si>
  <si>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</si>
  <si>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</si>
  <si>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</si>
  <si>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</si>
  <si>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</si>
  <si>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</si>
  <si>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</si>
  <si>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</si>
  <si>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</si>
  <si>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</si>
  <si>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</si>
  <si>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</si>
  <si>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</si>
  <si>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</si>
  <si>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</si>
  <si>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</si>
  <si>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</si>
  <si>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</si>
  <si>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</si>
  <si>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</si>
  <si>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</si>
  <si>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</si>
  <si>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</si>
  <si>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</si>
  <si>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</si>
  <si>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</si>
  <si>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</si>
  <si>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</si>
  <si>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</si>
  <si>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</si>
  <si>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</si>
  <si>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</si>
  <si>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</si>
  <si>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</si>
  <si>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</si>
  <si>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</si>
  <si>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</si>
  <si>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</si>
  <si>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</si>
  <si>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</si>
  <si>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</si>
  <si>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</si>
  <si>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</si>
  <si>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</si>
  <si>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</si>
  <si>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</si>
  <si>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</si>
  <si>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</si>
  <si>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</si>
  <si>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</si>
  <si>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</si>
  <si>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</si>
  <si>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</si>
  <si>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</si>
  <si>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</si>
  <si>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</si>
  <si>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</si>
  <si>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</si>
  <si>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</si>
  <si>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</si>
  <si>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</si>
  <si>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</si>
  <si>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</si>
  <si>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</si>
  <si>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</si>
  <si>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</si>
  <si>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</si>
  <si>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</si>
  <si>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</si>
  <si>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</si>
  <si>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</si>
  <si>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</si>
  <si>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</si>
  <si>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</si>
  <si>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</si>
  <si>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</si>
  <si>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</si>
  <si>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</si>
  <si>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</si>
  <si>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</si>
  <si>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</si>
  <si>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</si>
  <si>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</si>
  <si>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</si>
  <si>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</si>
  <si>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</si>
  <si>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</si>
  <si>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</si>
  <si>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</si>
  <si>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</si>
  <si>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</si>
  <si>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</si>
  <si>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</si>
  <si>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</si>
  <si>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</si>
  <si>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</si>
  <si>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</si>
  <si>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</si>
  <si>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</si>
  <si>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</si>
  <si>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</si>
  <si>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</si>
  <si>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</si>
  <si>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</si>
  <si>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</si>
  <si>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</si>
  <si>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</si>
  <si>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</si>
  <si>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</si>
  <si>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</si>
  <si>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</si>
  <si>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</si>
  <si>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</si>
  <si>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</si>
  <si>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</si>
  <si>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</si>
  <si>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</si>
  <si>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</si>
  <si>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</si>
  <si>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</si>
  <si>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</si>
  <si>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</si>
  <si>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</si>
  <si>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</si>
  <si>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</si>
  <si>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</si>
  <si>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</si>
  <si>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</si>
  <si>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</si>
  <si>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</si>
  <si>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</si>
  <si>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</si>
  <si>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</si>
  <si>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</si>
  <si>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</si>
  <si>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</si>
  <si>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</si>
  <si>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</si>
  <si>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</si>
  <si>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</si>
  <si>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</si>
  <si>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</si>
  <si>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</si>
  <si>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</si>
  <si>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</si>
  <si>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</si>
  <si>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</si>
  <si>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</si>
  <si>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</si>
  <si>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</si>
  <si>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</si>
  <si>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</si>
  <si>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</si>
  <si>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</si>
  <si>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</si>
  <si>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</si>
  <si>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</si>
  <si>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</si>
  <si>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</si>
  <si>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</si>
  <si>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</si>
  <si>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</si>
  <si>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</si>
  <si>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</si>
  <si>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</si>
  <si>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</si>
  <si>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</si>
  <si>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</si>
  <si>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</si>
  <si>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</si>
  <si>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</si>
  <si>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</si>
  <si>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</si>
  <si>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</si>
  <si>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</si>
  <si>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</si>
  <si>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</si>
  <si>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</si>
  <si>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</si>
  <si>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</si>
  <si>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</si>
  <si>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</si>
  <si>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</si>
  <si>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</si>
  <si>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</si>
  <si>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</si>
  <si>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</si>
  <si>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</si>
  <si>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</si>
  <si>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</si>
  <si>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</si>
  <si>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</si>
  <si>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</si>
  <si>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</si>
  <si>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</si>
  <si>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</si>
  <si>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</si>
  <si>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</si>
  <si>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</si>
  <si>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</si>
  <si>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</si>
  <si>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</si>
  <si>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</si>
  <si>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</si>
  <si>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</si>
  <si>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</si>
  <si>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</si>
  <si>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</si>
  <si>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</si>
  <si>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</si>
  <si>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</si>
  <si>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</si>
  <si>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</si>
  <si>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</si>
  <si>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</si>
  <si>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</si>
  <si>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</si>
  <si>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</si>
  <si>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</si>
  <si>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</si>
  <si>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</si>
  <si>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</si>
  <si>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</si>
  <si>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</si>
  <si>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</si>
  <si>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</si>
  <si>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</si>
  <si>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</si>
  <si>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</si>
  <si>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</si>
  <si>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</si>
  <si>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</si>
  <si>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</si>
  <si>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</si>
  <si>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</si>
  <si>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</si>
  <si>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</si>
  <si>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</si>
  <si>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</si>
  <si>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</si>
  <si>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</si>
  <si>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</si>
  <si>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</si>
  <si>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</si>
  <si>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</si>
  <si>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</si>
  <si>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</si>
  <si>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</si>
  <si>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</si>
  <si>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</si>
  <si>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</si>
  <si>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</si>
  <si>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</si>
  <si>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</si>
  <si>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</si>
  <si>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</si>
  <si>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</si>
  <si>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</si>
  <si>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</si>
  <si>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</si>
  <si>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</si>
  <si>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</si>
  <si>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</si>
  <si>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</si>
  <si>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</si>
  <si>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</si>
  <si>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</si>
  <si>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</si>
  <si>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</si>
  <si>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</si>
  <si>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</si>
  <si>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</si>
  <si>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</si>
  <si>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</si>
  <si>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</si>
  <si>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</si>
  <si>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</si>
  <si>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</si>
  <si>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</si>
  <si>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</si>
  <si>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</si>
  <si>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</si>
  <si>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</si>
  <si>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</si>
  <si>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</si>
  <si>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</si>
  <si>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</si>
  <si>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</si>
  <si>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</si>
  <si>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</si>
  <si>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</si>
  <si>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</si>
  <si>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</si>
  <si>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</si>
  <si>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</si>
  <si>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</si>
  <si>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</si>
  <si>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</si>
  <si>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</si>
  <si>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</si>
  <si>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</si>
  <si>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</si>
  <si>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</si>
  <si>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</si>
  <si>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</si>
  <si>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</si>
  <si>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</si>
  <si>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</si>
  <si>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</si>
  <si>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</si>
  <si>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</si>
  <si>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</si>
  <si>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</si>
  <si>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</si>
  <si>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</si>
  <si>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</si>
  <si>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</si>
  <si>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</si>
  <si>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</si>
  <si>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</si>
  <si>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</si>
  <si>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</si>
  <si>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</si>
  <si>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</si>
  <si>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</si>
  <si>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</si>
  <si>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</si>
  <si>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</si>
  <si>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</si>
  <si>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</si>
  <si>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</si>
  <si>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</si>
  <si>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</si>
  <si>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</si>
  <si>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</si>
  <si>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</si>
  <si>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</si>
  <si>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</si>
  <si>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</si>
  <si>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</si>
  <si>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</si>
  <si>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</si>
  <si>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</si>
  <si>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</si>
  <si>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</si>
  <si>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</si>
  <si>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</si>
  <si>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</si>
  <si>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</si>
  <si>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</si>
  <si>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</si>
  <si>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</si>
  <si>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</si>
  <si>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</si>
  <si>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</si>
  <si>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</si>
  <si>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</si>
  <si>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</si>
  <si>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</si>
  <si>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</si>
  <si>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</si>
  <si>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</si>
  <si>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</si>
  <si>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</si>
  <si>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</si>
  <si>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</si>
  <si>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</si>
  <si>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</si>
  <si>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</si>
  <si>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</si>
  <si>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</si>
  <si>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</si>
  <si>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</si>
  <si>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</si>
  <si>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</si>
  <si>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</si>
  <si>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</si>
  <si>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</si>
  <si>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</si>
  <si>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</si>
  <si>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</si>
  <si>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</si>
  <si>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</si>
  <si>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</si>
  <si>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</si>
  <si>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</si>
  <si>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</si>
  <si>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</si>
  <si>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</si>
  <si>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</si>
  <si>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</si>
  <si>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</si>
  <si>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</si>
  <si>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</si>
  <si>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</si>
  <si>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</si>
  <si>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</si>
  <si>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</si>
  <si>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</si>
  <si>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</si>
  <si>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</si>
  <si>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</si>
  <si>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</si>
  <si>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</si>
  <si>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</si>
  <si>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</si>
  <si>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</si>
  <si>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</si>
  <si>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</si>
  <si>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</si>
  <si>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</si>
  <si>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</si>
  <si>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</si>
  <si>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</si>
  <si>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</si>
  <si>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</si>
  <si>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</si>
  <si>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</si>
  <si>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</si>
  <si>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</si>
  <si>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</si>
  <si>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</si>
  <si>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</si>
  <si>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</si>
  <si>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</si>
  <si>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</si>
  <si>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</si>
  <si>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</si>
  <si>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</si>
  <si>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</si>
  <si>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</si>
  <si>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</si>
  <si>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</si>
  <si>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</si>
  <si>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</si>
  <si>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</si>
  <si>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</si>
  <si>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</si>
  <si>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</si>
  <si>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</si>
  <si>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</si>
  <si>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</si>
  <si>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</si>
  <si>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</si>
  <si>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</si>
  <si>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</si>
  <si>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</si>
  <si>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</si>
  <si>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</si>
  <si>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</si>
  <si>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</si>
  <si>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</si>
  <si>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</si>
  <si>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</si>
  <si>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</si>
  <si>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</si>
  <si>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</si>
  <si>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</si>
  <si>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</si>
  <si>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</si>
  <si>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</si>
  <si>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</si>
  <si>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</si>
  <si>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</si>
  <si>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</si>
  <si>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</si>
  <si>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</si>
  <si>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</si>
  <si>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</si>
  <si>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</si>
  <si>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</si>
  <si>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</si>
  <si>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</si>
  <si>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</si>
  <si>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</si>
  <si>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</si>
  <si>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</si>
  <si>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</si>
  <si>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</si>
  <si>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</si>
  <si>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</si>
  <si>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</si>
  <si>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</si>
  <si>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</si>
  <si>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</si>
  <si>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</si>
  <si>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</si>
  <si>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</si>
  <si>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</si>
  <si>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</si>
  <si>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</si>
  <si>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</si>
  <si>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</si>
  <si>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</si>
  <si>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</si>
  <si>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</si>
  <si>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</si>
  <si>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</si>
  <si>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</si>
  <si>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</si>
  <si>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</si>
  <si>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</si>
  <si>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</si>
  <si>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</si>
  <si>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</si>
  <si>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</si>
  <si>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</si>
  <si>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</si>
  <si>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</si>
  <si>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</si>
  <si>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</si>
  <si>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</si>
  <si>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</si>
  <si>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</si>
  <si>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</si>
  <si>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</si>
  <si>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</si>
  <si>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</si>
  <si>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</si>
  <si>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</si>
  <si>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</si>
  <si>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</si>
  <si>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</si>
  <si>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</si>
  <si>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</si>
  <si>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</si>
  <si>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</si>
  <si>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</si>
  <si>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</si>
  <si>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</si>
  <si>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</si>
  <si>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</si>
  <si>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</si>
  <si>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</si>
  <si>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</si>
  <si>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</si>
  <si>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</si>
  <si>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</si>
  <si>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</si>
  <si>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</si>
  <si>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</si>
  <si>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</si>
  <si>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</si>
  <si>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</si>
  <si>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</si>
  <si>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</si>
  <si>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</si>
  <si>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</si>
  <si>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</si>
  <si>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</si>
  <si>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</si>
  <si>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</si>
  <si>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</si>
  <si>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</si>
  <si>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</si>
  <si>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</si>
  <si>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</si>
  <si>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</si>
  <si>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</si>
  <si>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</si>
  <si>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</si>
  <si>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</si>
  <si>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</si>
  <si>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</si>
  <si>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</si>
  <si>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</si>
  <si>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</si>
  <si>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</si>
  <si>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</si>
  <si>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</si>
  <si>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</si>
  <si>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</si>
  <si>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</si>
  <si>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</si>
  <si>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</si>
  <si>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</si>
  <si>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</si>
  <si>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</si>
  <si>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</si>
  <si>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</si>
  <si>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</si>
  <si>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</si>
  <si>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</si>
  <si>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</si>
  <si>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</si>
  <si>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</si>
  <si>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</si>
  <si>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</si>
  <si>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</si>
  <si>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</si>
  <si>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</si>
  <si>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</si>
  <si>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</si>
  <si>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</si>
  <si>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</si>
  <si>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</si>
  <si>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</si>
  <si>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</si>
  <si>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</si>
  <si>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</si>
  <si>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</si>
  <si>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</si>
  <si>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</si>
  <si>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</si>
  <si>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</si>
  <si>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</si>
  <si>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</si>
  <si>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</si>
  <si>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</si>
  <si>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</si>
  <si>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</si>
  <si>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</si>
  <si>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</si>
  <si>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</si>
  <si>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</si>
  <si>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</si>
  <si>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</si>
  <si>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</si>
  <si>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</si>
  <si>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</si>
  <si>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</si>
  <si>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</si>
  <si>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</si>
  <si>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</si>
  <si>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</si>
  <si>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</si>
  <si>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</si>
  <si>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</si>
  <si>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</si>
  <si>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</si>
  <si>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</si>
  <si>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</si>
  <si>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</si>
  <si>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</si>
  <si>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</si>
  <si>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</si>
  <si>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</si>
  <si>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</si>
  <si>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</si>
  <si>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</si>
  <si>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</si>
  <si>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</si>
  <si>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</si>
  <si>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</si>
  <si>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</si>
  <si>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</si>
  <si>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</si>
  <si>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</si>
  <si>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</si>
  <si>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</si>
  <si>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</si>
  <si>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</si>
  <si>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</si>
  <si>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</si>
  <si>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</si>
  <si>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</si>
  <si>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</si>
  <si>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</si>
  <si>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</si>
  <si>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</si>
  <si>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</si>
  <si>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</si>
  <si>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</si>
  <si>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</si>
  <si>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</si>
  <si>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</si>
  <si>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</si>
  <si>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</si>
  <si>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</si>
  <si>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</si>
  <si>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</si>
  <si>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</si>
  <si>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</si>
  <si>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</si>
  <si>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</si>
  <si>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</si>
  <si>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</si>
  <si>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</si>
  <si>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</si>
  <si>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</si>
  <si>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</si>
  <si>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</si>
  <si>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</si>
  <si>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</si>
  <si>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</si>
  <si>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</si>
  <si>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</si>
  <si>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</si>
  <si>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</si>
  <si>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</si>
  <si>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</si>
  <si>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</si>
  <si>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</si>
  <si>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</si>
  <si>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</si>
  <si>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</si>
  <si>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</si>
  <si>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</si>
  <si>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</si>
  <si>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</si>
  <si>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</si>
  <si>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</si>
  <si>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</si>
  <si>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</si>
  <si>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</si>
  <si>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</si>
  <si>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</si>
  <si>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</si>
  <si>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</si>
  <si>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</si>
  <si>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</si>
  <si>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</si>
  <si>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</si>
  <si>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</si>
  <si>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</si>
  <si>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</si>
  <si>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</si>
  <si>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</si>
  <si>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</si>
  <si>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</si>
  <si>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</si>
  <si>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</si>
  <si>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</si>
  <si>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</si>
  <si>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</si>
  <si>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</si>
  <si>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</si>
  <si>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</si>
  <si>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</si>
  <si>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</si>
  <si>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</si>
  <si>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</si>
  <si>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</si>
  <si>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</si>
  <si>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</si>
  <si>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</si>
  <si>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</si>
  <si>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</si>
  <si>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</si>
  <si>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</si>
  <si>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</si>
  <si>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</si>
  <si>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</si>
  <si>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</si>
  <si>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</si>
  <si>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</si>
  <si>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</si>
  <si>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</si>
  <si>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</si>
  <si>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</si>
  <si>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</si>
  <si>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</si>
  <si>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</si>
  <si>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</si>
  <si>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</si>
  <si>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</si>
  <si>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</si>
  <si>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</si>
  <si>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</si>
  <si>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</si>
  <si>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</si>
  <si>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</si>
  <si>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</si>
  <si>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</si>
  <si>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</si>
  <si>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</si>
  <si>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</si>
  <si>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</si>
  <si>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</si>
  <si>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</si>
  <si>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</si>
  <si>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</si>
  <si>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</si>
  <si>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</si>
  <si>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</si>
  <si>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</si>
  <si>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</si>
  <si>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</si>
  <si>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</si>
  <si>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</si>
  <si>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</si>
  <si>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</si>
  <si>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</si>
  <si>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</si>
  <si>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</si>
  <si>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</si>
  <si>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</si>
  <si>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</si>
  <si>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</si>
  <si>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</si>
  <si>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</si>
  <si>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</si>
  <si>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</si>
  <si>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</si>
  <si>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</si>
  <si>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</si>
  <si>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</si>
  <si>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</si>
  <si>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</si>
  <si>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</si>
  <si>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</si>
  <si>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</si>
  <si>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</si>
  <si>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</si>
  <si>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</si>
  <si>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</si>
  <si>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</si>
  <si>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</si>
  <si>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</si>
  <si>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</si>
  <si>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</si>
  <si>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</si>
  <si>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</si>
  <si>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</si>
  <si>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</si>
  <si>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</si>
  <si>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</si>
  <si>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</si>
  <si>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</si>
  <si>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</si>
  <si>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</si>
  <si>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</si>
  <si>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</si>
  <si>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</si>
  <si>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</si>
  <si>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</si>
  <si>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</si>
  <si>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</si>
  <si>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</si>
  <si>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</si>
  <si>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</si>
  <si>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</si>
  <si>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</si>
  <si>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</si>
  <si>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</si>
  <si>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</si>
  <si>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</si>
  <si>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</si>
  <si>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</si>
  <si>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</si>
  <si>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</si>
  <si>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</si>
  <si>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</si>
  <si>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</si>
  <si>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</si>
  <si>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</si>
  <si>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</si>
  <si>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</si>
  <si>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</si>
  <si>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</si>
  <si>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</si>
  <si>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</si>
  <si>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</si>
  <si>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</si>
  <si>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</si>
  <si>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</si>
  <si>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</si>
  <si>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</si>
  <si>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</si>
  <si>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</si>
  <si>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</si>
  <si>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</si>
  <si>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</si>
  <si>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</si>
  <si>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</si>
  <si>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</si>
  <si>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</si>
  <si>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</si>
  <si>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</si>
  <si>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</si>
  <si>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</si>
  <si>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</si>
  <si>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</si>
  <si>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</si>
  <si>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</si>
  <si>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</si>
  <si>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</si>
  <si>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</si>
  <si>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</si>
  <si>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</si>
  <si>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</si>
  <si>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</si>
  <si>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</si>
  <si>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</si>
  <si>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</si>
  <si>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</si>
  <si>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</si>
  <si>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</si>
  <si>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</si>
  <si>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</si>
  <si>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</si>
  <si>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</si>
  <si>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</si>
  <si>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</si>
  <si>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</si>
  <si>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</si>
  <si>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</si>
  <si>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</si>
  <si>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</si>
  <si>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</si>
  <si>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</si>
  <si>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</si>
  <si>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</si>
  <si>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</si>
  <si>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</si>
  <si>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</si>
  <si>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</si>
  <si>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</si>
  <si>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</si>
  <si>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</si>
  <si>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</si>
  <si>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</si>
  <si>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</si>
  <si>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</si>
  <si>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</si>
  <si>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</si>
  <si>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</si>
  <si>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</si>
  <si>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</si>
  <si>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</si>
  <si>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</si>
  <si>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</si>
  <si>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</si>
  <si>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</si>
  <si>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</si>
  <si>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</si>
  <si>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</si>
  <si>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</si>
  <si>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</si>
  <si>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</si>
  <si>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</si>
  <si>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</si>
  <si>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</si>
  <si>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</si>
  <si>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</si>
  <si>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</si>
  <si>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</si>
  <si>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</si>
  <si>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</si>
  <si>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</si>
  <si>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</si>
  <si>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</si>
  <si>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</si>
  <si>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</si>
  <si>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</si>
  <si>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</si>
  <si>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</si>
  <si>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</si>
  <si>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</si>
  <si>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</si>
  <si>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</si>
  <si>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</si>
  <si>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</si>
  <si>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</si>
  <si>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</si>
  <si>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</si>
  <si>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</si>
  <si>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</si>
  <si>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</si>
  <si>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</si>
  <si>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</si>
  <si>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</si>
  <si>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</si>
  <si>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</si>
  <si>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</si>
  <si>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</si>
  <si>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</si>
  <si>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</si>
  <si>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</si>
  <si>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</si>
  <si>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</si>
  <si>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</si>
  <si>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</si>
  <si>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</si>
  <si>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</si>
  <si>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</si>
  <si>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</si>
  <si>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</si>
  <si>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</si>
  <si>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</si>
  <si>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</si>
  <si>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</si>
  <si>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</si>
  <si>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</si>
  <si>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</si>
  <si>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</si>
  <si>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</si>
  <si>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</si>
  <si>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</si>
  <si>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</si>
  <si>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</si>
  <si>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</si>
  <si>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</si>
  <si>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</si>
  <si>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</si>
  <si>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</si>
  <si>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</si>
  <si>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</si>
  <si>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</si>
  <si>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</si>
  <si>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</si>
  <si>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</si>
  <si>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</si>
  <si>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</si>
  <si>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</si>
  <si>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</si>
  <si>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</si>
  <si>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</si>
  <si>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</si>
  <si>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</si>
  <si>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</si>
  <si>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</si>
  <si>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</si>
  <si>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</si>
  <si>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</si>
  <si>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</si>
  <si>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</si>
  <si>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</si>
  <si>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</si>
  <si>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</si>
  <si>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</si>
  <si>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</si>
  <si>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</si>
  <si>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</si>
  <si>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</si>
  <si>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</si>
  <si>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</si>
  <si>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</si>
  <si>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</si>
  <si>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</si>
  <si>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</si>
  <si>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</si>
  <si>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</si>
  <si>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</si>
  <si>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</si>
  <si>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</si>
  <si>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</si>
  <si>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</si>
  <si>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</si>
  <si>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</si>
  <si>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</si>
  <si>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</si>
  <si>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</si>
  <si>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</si>
  <si>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</si>
  <si>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</si>
  <si>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</si>
  <si>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</si>
  <si>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</si>
  <si>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</si>
  <si>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</si>
  <si>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</si>
  <si>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</si>
  <si>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</si>
  <si>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</si>
  <si>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</si>
  <si>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</si>
  <si>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</si>
  <si>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</si>
  <si>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</si>
  <si>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</si>
  <si>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</si>
  <si>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</si>
  <si>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</si>
  <si>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</si>
  <si>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</si>
  <si>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</si>
  <si>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</si>
  <si>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</si>
  <si>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</si>
  <si>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</si>
  <si>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</si>
  <si>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</si>
  <si>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</si>
  <si>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</si>
  <si>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</si>
  <si>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</si>
  <si>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</si>
  <si>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</si>
  <si>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</si>
  <si>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</si>
  <si>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</si>
  <si>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</si>
  <si>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</si>
  <si>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</si>
  <si>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</si>
  <si>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</si>
  <si>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</si>
  <si>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</si>
  <si>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</si>
  <si>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</si>
  <si>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</si>
  <si>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</si>
  <si>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</si>
  <si>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</si>
  <si>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</si>
  <si>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</si>
  <si>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</si>
  <si>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</si>
  <si>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</si>
  <si>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</si>
  <si>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</si>
  <si>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</si>
  <si>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</si>
  <si>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</si>
  <si>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</si>
  <si>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</si>
  <si>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</si>
  <si>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</si>
  <si>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</si>
  <si>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</si>
  <si>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</si>
  <si>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</si>
  <si>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</si>
  <si>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</si>
  <si>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</si>
  <si>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</si>
  <si>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</si>
  <si>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</si>
  <si>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</si>
  <si>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</si>
  <si>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</si>
  <si>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</si>
  <si>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</si>
  <si>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</si>
  <si>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</si>
  <si>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</si>
  <si>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</si>
  <si>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</si>
  <si>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</si>
  <si>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</si>
  <si>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</si>
  <si>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</si>
  <si>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</si>
  <si>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</si>
  <si>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</si>
  <si>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</si>
  <si>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</si>
  <si>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</si>
  <si>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</si>
  <si>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</si>
  <si>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</si>
  <si>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</si>
  <si>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</si>
  <si>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</si>
  <si>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</si>
  <si>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</si>
  <si>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</si>
  <si>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</si>
  <si>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</si>
  <si>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</si>
  <si>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</si>
  <si>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</si>
  <si>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</si>
  <si>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</si>
  <si>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</si>
  <si>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</si>
  <si>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</si>
  <si>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</si>
  <si>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</si>
  <si>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</si>
  <si>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</si>
  <si>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</si>
  <si>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</si>
  <si>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</si>
  <si>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</si>
  <si>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</si>
  <si>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</si>
  <si>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</si>
  <si>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</si>
  <si>
    <t>Economic development tourism</t>
  </si>
  <si>
    <t>Capital Provincial KZN Treausry</t>
  </si>
  <si>
    <t xml:space="preserve">Housing  </t>
  </si>
  <si>
    <t xml:space="preserve"> </t>
  </si>
  <si>
    <t>Rental lower than intially budgeted, hence interest is lower</t>
  </si>
  <si>
    <t>To be adjusted downwards during the adjustment budget</t>
  </si>
  <si>
    <t>Investments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</si>
  <si>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</si>
  <si>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</si>
  <si>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</si>
  <si>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</si>
  <si>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</si>
  <si>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entries for Depreciation have been processed. This is done at year end.</t>
  </si>
  <si>
    <t>Materail purchases are done in bulk and then gets charged to departments as and when they need it.</t>
  </si>
  <si>
    <t>No remedial action is required</t>
  </si>
  <si>
    <t>This will self correct during the year</t>
  </si>
  <si>
    <t>Various reasons have been put forward, capex meetings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</si>
</sst>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xf numFmtId="9" fontId="6" fillId="32" borderId="10" xfId="0" applyNumberFormat="1" applyFont="1" applyFill="1" applyBorder="1" applyProtection="1">
      <protection locked="0"/>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416285119.5800001</c:v>
                </c:pt>
                <c:pt idx="1">
                  <c:v>141144055.75</c:v>
                </c:pt>
                <c:pt idx="2">
                  <c:v>108374105.27000001</c:v>
                </c:pt>
                <c:pt idx="3">
                  <c:v>107771172.45</c:v>
                </c:pt>
                <c:pt idx="4">
                  <c:v>118045645.27000003</c:v>
                </c:pt>
                <c:pt idx="5">
                  <c:v>101583833.47999999</c:v>
                </c:pt>
                <c:pt idx="6">
                  <c:v>487194493.30000001</c:v>
                </c:pt>
                <c:pt idx="7">
                  <c:v>3361079459.0299993</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642595431.96000004</c:v>
                </c:pt>
                <c:pt idx="1">
                  <c:v>108240381.34</c:v>
                </c:pt>
                <c:pt idx="2">
                  <c:v>44009736.210000008</c:v>
                </c:pt>
                <c:pt idx="3">
                  <c:v>108503285.74000002</c:v>
                </c:pt>
                <c:pt idx="4">
                  <c:v>76879044.390000001</c:v>
                </c:pt>
                <c:pt idx="5">
                  <c:v>93223283.939999998</c:v>
                </c:pt>
                <c:pt idx="6">
                  <c:v>428350856.12</c:v>
                </c:pt>
                <c:pt idx="7">
                  <c:v>2602563840.0400004</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219518126.72580001</c:v>
                </c:pt>
                <c:pt idx="1">
                  <c:v>700680273.61379993</c:v>
                </c:pt>
                <c:pt idx="2">
                  <c:v>3536926294.5331998</c:v>
                </c:pt>
                <c:pt idx="3">
                  <c:v>239108852.7333</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226307347.14000002</c:v>
                </c:pt>
                <c:pt idx="1">
                  <c:v>722350797.53999996</c:v>
                </c:pt>
                <c:pt idx="2">
                  <c:v>3646315767.5599999</c:v>
                </c:pt>
                <c:pt idx="3">
                  <c:v>246503971.89000002</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139486629.58000001</c:v>
                </c:pt>
                <c:pt idx="1">
                  <c:v>88812802.599999994</c:v>
                </c:pt>
                <c:pt idx="2">
                  <c:v>0</c:v>
                </c:pt>
                <c:pt idx="3">
                  <c:v>195068066.08000001</c:v>
                </c:pt>
                <c:pt idx="4">
                  <c:v>0</c:v>
                </c:pt>
                <c:pt idx="5">
                  <c:v>0</c:v>
                </c:pt>
                <c:pt idx="6">
                  <c:v>45976996.170000002</c:v>
                </c:pt>
                <c:pt idx="7">
                  <c:v>0</c:v>
                </c:pt>
                <c:pt idx="8">
                  <c:v>204059176.5</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144579432.5</c:v>
                </c:pt>
                <c:pt idx="1">
                  <c:v>196700877.12999997</c:v>
                </c:pt>
                <c:pt idx="2">
                  <c:v>0</c:v>
                </c:pt>
                <c:pt idx="3">
                  <c:v>223802867.35999998</c:v>
                </c:pt>
                <c:pt idx="4">
                  <c:v>0</c:v>
                </c:pt>
                <c:pt idx="5">
                  <c:v>0</c:v>
                </c:pt>
                <c:pt idx="6">
                  <c:v>46899310.449999996</c:v>
                </c:pt>
                <c:pt idx="7">
                  <c:v>0</c:v>
                </c:pt>
                <c:pt idx="8">
                  <c:v>254272708.17000002</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35188377.060000002</c:v>
                </c:pt>
                <c:pt idx="8">
                  <c:v>30125543.949999999</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285834127.19</c:v>
                </c:pt>
                <c:pt idx="8">
                  <c:v>315959671.13999999</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5" val="1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60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N31" sqref="N3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6" t="str">
        <f>muni&amp; " - "&amp;S71C&amp; " - "&amp;date</f>
        <v>KZN225 Msunduzi - Table C3 Consolidated Monthly Budget Statement - Financial Performance (revenue and expenditure by municipal vote)  - Q3 Third Quarter</v>
      </c>
      <c r="B1" s="1046"/>
      <c r="C1" s="1046"/>
      <c r="D1" s="1046"/>
      <c r="E1" s="1046"/>
      <c r="F1" s="1046"/>
      <c r="G1" s="1046"/>
      <c r="H1" s="1046"/>
      <c r="I1" s="1046"/>
      <c r="J1" s="1046"/>
      <c r="K1" s="1046"/>
    </row>
    <row r="2" spans="1:24" x14ac:dyDescent="0.25">
      <c r="A2" s="20" t="str">
        <f>Vdesc</f>
        <v>Vote Description</v>
      </c>
      <c r="B2" s="1037" t="str">
        <f>head27</f>
        <v>Ref</v>
      </c>
      <c r="C2" s="142" t="str">
        <f>Head1</f>
        <v>2019/20</v>
      </c>
      <c r="D2" s="1039" t="str">
        <f>Head2</f>
        <v>Budget Year 2020/21</v>
      </c>
      <c r="E2" s="1040"/>
      <c r="F2" s="1040"/>
      <c r="G2" s="1040"/>
      <c r="H2" s="1040"/>
      <c r="I2" s="1040"/>
      <c r="J2" s="1040"/>
      <c r="K2" s="1041"/>
    </row>
    <row r="3" spans="1:24" ht="25.5" x14ac:dyDescent="0.25">
      <c r="A3" s="168"/>
      <c r="B3" s="1048"/>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9"/>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3335647.5100499997</v>
      </c>
      <c r="I6" s="44">
        <f>G6-H6</f>
        <v>-3332647.5100499997</v>
      </c>
      <c r="J6" s="715">
        <f>IF(I6=0,"",I6/H6)</f>
        <v>-0.99910062439422598</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189485552.04999998</v>
      </c>
      <c r="G7" s="44">
        <f>'C3C'!G17</f>
        <v>1360360591.5</v>
      </c>
      <c r="H7" s="44">
        <f>'C3C'!H17</f>
        <v>1863848959.3403499</v>
      </c>
      <c r="I7" s="44">
        <f t="shared" ref="I7:I20" si="0">G7-H7</f>
        <v>-503488367.84034991</v>
      </c>
      <c r="J7" s="715">
        <f t="shared" ref="J7:J21" si="1">IF(I7=0,"",I7/H7)</f>
        <v>-0.2701336743609008</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17530478.379999999</v>
      </c>
      <c r="G8" s="44">
        <f>'C3C'!G28</f>
        <v>144054370.25999999</v>
      </c>
      <c r="H8" s="44">
        <f>'C3C'!H28</f>
        <v>160998258.22184378</v>
      </c>
      <c r="I8" s="44">
        <f t="shared" si="0"/>
        <v>-16943887.961843789</v>
      </c>
      <c r="J8" s="715">
        <f t="shared" si="1"/>
        <v>-0.10524267870337053</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714039.68</v>
      </c>
      <c r="G9" s="44">
        <f>'C3C'!G39</f>
        <v>3861320.2300000004</v>
      </c>
      <c r="H9" s="44">
        <f>'C3C'!H39</f>
        <v>14429385.514875002</v>
      </c>
      <c r="I9" s="44">
        <f t="shared" si="0"/>
        <v>-10568065.284875002</v>
      </c>
      <c r="J9" s="715">
        <f t="shared" si="1"/>
        <v>-0.732398844980652</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338743951.50999999</v>
      </c>
      <c r="G10" s="44">
        <f>'C3C'!G50</f>
        <v>3056825433.6999998</v>
      </c>
      <c r="H10" s="44">
        <f>'C3C'!H50</f>
        <v>2532259779.5261188</v>
      </c>
      <c r="I10" s="44">
        <f t="shared" si="0"/>
        <v>524565654.17388105</v>
      </c>
      <c r="J10" s="715">
        <f t="shared" si="1"/>
        <v>0.20715317536340883</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495093158.38774735</v>
      </c>
      <c r="F11" s="44">
        <f>'C3C'!F61</f>
        <v>12926165.700000001</v>
      </c>
      <c r="G11" s="44">
        <f>'C3C'!G61</f>
        <v>104620173.42</v>
      </c>
      <c r="H11" s="44">
        <f>'C3C'!H61</f>
        <v>371319868.79081053</v>
      </c>
      <c r="I11" s="44">
        <f t="shared" si="0"/>
        <v>-266699695.37081051</v>
      </c>
      <c r="J11" s="715">
        <f t="shared" si="1"/>
        <v>-0.71824784447788437</v>
      </c>
      <c r="K11" s="144">
        <f>'C3C'!K61</f>
        <v>495093158.38774735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6594922531.8720646</v>
      </c>
      <c r="F21" s="73">
        <f t="shared" si="2"/>
        <v>559400187.32000005</v>
      </c>
      <c r="G21" s="73">
        <f t="shared" si="2"/>
        <v>4669724889.1099997</v>
      </c>
      <c r="H21" s="73">
        <f t="shared" si="2"/>
        <v>4946191898.904048</v>
      </c>
      <c r="I21" s="73">
        <f t="shared" si="2"/>
        <v>-276467009.79404813</v>
      </c>
      <c r="J21" s="716">
        <f t="shared" si="1"/>
        <v>-5.5894921880266367E-2</v>
      </c>
      <c r="K21" s="145">
        <f>SUM(K6:K20)</f>
        <v>6594922531.8720646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11238344.150000002</v>
      </c>
      <c r="G24" s="44">
        <f>'C3C'!G174</f>
        <v>104983856.97999999</v>
      </c>
      <c r="H24" s="44">
        <f>'C3C'!H174</f>
        <v>140572336.65137133</v>
      </c>
      <c r="I24" s="44">
        <f t="shared" ref="I24:I38" si="3">G24-H24</f>
        <v>-35588479.671371341</v>
      </c>
      <c r="J24" s="715">
        <f t="shared" ref="J24:J29" si="4">IF(I24=0,"",I24/H24)</f>
        <v>-0.25316844351554829</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28869171.719999999</v>
      </c>
      <c r="G25" s="44">
        <f>'C3C'!G185</f>
        <v>315435618.38</v>
      </c>
      <c r="H25" s="44">
        <f>'C3C'!H185</f>
        <v>528944237.0291701</v>
      </c>
      <c r="I25" s="44">
        <f t="shared" si="3"/>
        <v>-213508618.6491701</v>
      </c>
      <c r="J25" s="715">
        <f t="shared" si="4"/>
        <v>-0.40365052438863336</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69185023.090000004</v>
      </c>
      <c r="G26" s="44">
        <f>'C3C'!G196</f>
        <v>607138626.38999987</v>
      </c>
      <c r="H26" s="44">
        <f>'C3C'!H196</f>
        <v>576771959.37194657</v>
      </c>
      <c r="I26" s="44">
        <f t="shared" si="3"/>
        <v>30366667.018053293</v>
      </c>
      <c r="J26" s="715">
        <f t="shared" si="4"/>
        <v>5.2649346981292047E-2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10746521.279999997</v>
      </c>
      <c r="G27" s="44">
        <f>'C3C'!G207</f>
        <v>95642229.980000004</v>
      </c>
      <c r="H27" s="44">
        <f>'C3C'!H207</f>
        <v>161519215.04331651</v>
      </c>
      <c r="I27" s="44">
        <f t="shared" si="3"/>
        <v>-65876985.063316509</v>
      </c>
      <c r="J27" s="715">
        <f t="shared" si="4"/>
        <v>-0.40785850182375827</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3407283654.0811782</v>
      </c>
      <c r="F28" s="44">
        <f>'C3C'!F218</f>
        <v>276376839.97000009</v>
      </c>
      <c r="G28" s="44">
        <f>'C3C'!G218</f>
        <v>2680740821.9200006</v>
      </c>
      <c r="H28" s="44">
        <f>'C3C'!H218</f>
        <v>2555462740.5608835</v>
      </c>
      <c r="I28" s="44">
        <f t="shared" si="3"/>
        <v>125278081.35911703</v>
      </c>
      <c r="J28" s="715">
        <f t="shared" si="4"/>
        <v>4.9023638408290972E-2</v>
      </c>
      <c r="K28" s="144">
        <f>'C3C'!K218</f>
        <v>3407283654.0811782</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388790375.15482336</v>
      </c>
      <c r="F29" s="44">
        <f>'C3C'!F229</f>
        <v>24976668.749999996</v>
      </c>
      <c r="G29" s="44">
        <f>'C3C'!G229</f>
        <v>180023849.88</v>
      </c>
      <c r="H29" s="44">
        <f>'C3C'!H229</f>
        <v>291592781.36611754</v>
      </c>
      <c r="I29" s="44">
        <f t="shared" si="3"/>
        <v>-111568931.48611754</v>
      </c>
      <c r="J29" s="715">
        <f t="shared" si="4"/>
        <v>-0.38261897624287899</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5673151026.6970739</v>
      </c>
      <c r="F39" s="430">
        <f t="shared" si="6"/>
        <v>421392568.9600001</v>
      </c>
      <c r="G39" s="430">
        <f t="shared" si="6"/>
        <v>3983965003.5300007</v>
      </c>
      <c r="H39" s="430">
        <f t="shared" si="6"/>
        <v>4254863270.0228052</v>
      </c>
      <c r="I39" s="430">
        <f t="shared" si="6"/>
        <v>-270898266.49280518</v>
      </c>
      <c r="J39" s="718">
        <f>IF(I39=0,"",I39/H39)</f>
        <v>-6.3667913467723075E-2</v>
      </c>
      <c r="K39" s="513">
        <f>SUM(K24:K38)</f>
        <v>5673151026.6970739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921771505.17499065</v>
      </c>
      <c r="F40" s="55">
        <f t="shared" si="7"/>
        <v>138007618.35999995</v>
      </c>
      <c r="G40" s="55">
        <f t="shared" si="7"/>
        <v>685759885.57999897</v>
      </c>
      <c r="H40" s="55">
        <f t="shared" si="7"/>
        <v>691328628.88124275</v>
      </c>
      <c r="I40" s="55">
        <f>I21-I39</f>
        <v>-5568743.3012429476</v>
      </c>
      <c r="J40" s="719">
        <f>IF(I40=0,"",I40/H40)</f>
        <v>-8.0551319135368157E-3</v>
      </c>
      <c r="K40" s="235">
        <f>K21-K39</f>
        <v>921771505.17499065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64" activePane="bottomRight" state="frozen"/>
      <selection pane="topRight"/>
      <selection pane="bottomLeft"/>
      <selection pane="bottomRight" activeCell="F62" sqref="F62:G62"/>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Q3 Third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3335647.5100499997</v>
      </c>
      <c r="I6" s="44">
        <f t="shared" ref="I6:I69" si="1">G6-H6</f>
        <v>-3332647.5100499997</v>
      </c>
      <c r="J6" s="330">
        <f t="shared" ref="J6:J69" si="2">IF(I6=0,"",I6/H6)</f>
        <v>-0.99910062439422598</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E8/12*9</f>
        <v>3335647.5100499997</v>
      </c>
      <c r="I8" s="44">
        <f t="shared" si="1"/>
        <v>-3332647.5100499997</v>
      </c>
      <c r="J8" s="330">
        <f t="shared" si="2"/>
        <v>-0.99910062439422598</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189485552.04999998</v>
      </c>
      <c r="G17" s="441">
        <f t="shared" si="3"/>
        <v>1360360591.5</v>
      </c>
      <c r="H17" s="443">
        <f t="shared" si="3"/>
        <v>1863848959.3403499</v>
      </c>
      <c r="I17" s="44">
        <f t="shared" si="1"/>
        <v>-503488367.84034991</v>
      </c>
      <c r="J17" s="330">
        <f t="shared" si="2"/>
        <v>-0.2701336743609008</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1108961.03</v>
      </c>
      <c r="G18" s="741">
        <v>2276769.33</v>
      </c>
      <c r="H18" s="742"/>
      <c r="I18" s="44">
        <f t="shared" si="1"/>
        <v>2276769.33</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82742661.069999993</v>
      </c>
      <c r="G19" s="741">
        <v>382831571.20999998</v>
      </c>
      <c r="H19" s="742">
        <f>E19/12*9</f>
        <v>455691750.00000072</v>
      </c>
      <c r="I19" s="44">
        <f t="shared" si="1"/>
        <v>-72860178.790000737</v>
      </c>
      <c r="J19" s="330">
        <f t="shared" si="2"/>
        <v>-0.1598891768174443</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105625535.91</v>
      </c>
      <c r="G21" s="741">
        <v>975165780.25999999</v>
      </c>
      <c r="H21" s="742">
        <f>E21/12*9</f>
        <v>1408157209.3403492</v>
      </c>
      <c r="I21" s="44">
        <f t="shared" si="1"/>
        <v>-432991429.08034921</v>
      </c>
      <c r="J21" s="330">
        <f t="shared" si="2"/>
        <v>-0.30748798941503408</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8394.0400000000009</v>
      </c>
      <c r="G22" s="741">
        <v>86470.7</v>
      </c>
      <c r="H22" s="742"/>
      <c r="I22" s="44">
        <f t="shared" si="1"/>
        <v>86470.7</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SUM(F29:F32)</f>
        <v>17530478.379999999</v>
      </c>
      <c r="G28" s="441">
        <f>SUM(G29:G32)</f>
        <v>144054370.25999999</v>
      </c>
      <c r="H28" s="443">
        <f t="shared" si="4"/>
        <v>160998258.22184378</v>
      </c>
      <c r="I28" s="44">
        <f t="shared" si="1"/>
        <v>-16943887.961843789</v>
      </c>
      <c r="J28" s="330">
        <f t="shared" si="2"/>
        <v>-0.10524267870337053</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6052.12</v>
      </c>
      <c r="G29" s="741">
        <v>114368.62</v>
      </c>
      <c r="H29" s="741">
        <f t="shared" ref="H29:H32" si="5">E29/12*9</f>
        <v>2642391.2113499995</v>
      </c>
      <c r="I29" s="258">
        <f t="shared" si="1"/>
        <v>-2528022.5913499994</v>
      </c>
      <c r="J29" s="330">
        <f t="shared" si="2"/>
        <v>-0.95671775643638735</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736382.01</v>
      </c>
      <c r="G30" s="741">
        <v>2627554.31</v>
      </c>
      <c r="H30" s="742">
        <f t="shared" si="5"/>
        <v>3610900.3986</v>
      </c>
      <c r="I30" s="44">
        <f t="shared" si="1"/>
        <v>-983346.0885999999</v>
      </c>
      <c r="J30" s="330">
        <f t="shared" si="2"/>
        <v>-0.27232711513761437</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1810125.31</v>
      </c>
      <c r="G31" s="741">
        <v>18740281.289999999</v>
      </c>
      <c r="H31" s="742">
        <f t="shared" si="5"/>
        <v>16482041.090451322</v>
      </c>
      <c r="I31" s="44">
        <f t="shared" si="1"/>
        <v>2258240.1995486766</v>
      </c>
      <c r="J31" s="330">
        <f t="shared" si="2"/>
        <v>0.13701216901206256</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14977918.939999999</v>
      </c>
      <c r="G32" s="741">
        <v>122572166.04000001</v>
      </c>
      <c r="H32" s="742">
        <f t="shared" si="5"/>
        <v>138262925.52144244</v>
      </c>
      <c r="I32" s="44">
        <f t="shared" si="1"/>
        <v>-15690759.481442437</v>
      </c>
      <c r="J32" s="330">
        <f t="shared" si="2"/>
        <v>-0.11348493764518994</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714039.68</v>
      </c>
      <c r="G39" s="441">
        <f t="shared" si="7"/>
        <v>3861320.2300000004</v>
      </c>
      <c r="H39" s="443">
        <f t="shared" si="7"/>
        <v>14429385.514875002</v>
      </c>
      <c r="I39" s="44">
        <f t="shared" si="1"/>
        <v>-10568065.284875002</v>
      </c>
      <c r="J39" s="330">
        <f t="shared" si="2"/>
        <v>-0.732398844980652</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64307.75</v>
      </c>
      <c r="G40" s="741">
        <v>1165465.78</v>
      </c>
      <c r="H40" s="742">
        <f t="shared" ref="H40:H42" si="8">E40/12*9</f>
        <v>14235043.980675001</v>
      </c>
      <c r="I40" s="44">
        <f t="shared" si="1"/>
        <v>-13069578.200675001</v>
      </c>
      <c r="J40" s="330">
        <f t="shared" si="2"/>
        <v>-0.9181269983020639</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8"/>
        <v>1512.0104999999999</v>
      </c>
      <c r="I41" s="44">
        <f t="shared" si="1"/>
        <v>-1395.4904999999999</v>
      </c>
      <c r="J41" s="330">
        <f t="shared" si="2"/>
        <v>-0.92293704309593083</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v>0</v>
      </c>
      <c r="H42" s="742">
        <f t="shared" si="8"/>
        <v>192829.52369999999</v>
      </c>
      <c r="I42" s="44">
        <f t="shared" si="1"/>
        <v>-192829.52369999999</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649731.93000000005</v>
      </c>
      <c r="G44" s="741">
        <v>2695737.93</v>
      </c>
      <c r="H44" s="742"/>
      <c r="I44" s="44">
        <f t="shared" si="1"/>
        <v>2695737.93</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338743951.50999999</v>
      </c>
      <c r="G50" s="441">
        <f t="shared" si="10"/>
        <v>3056825433.6999998</v>
      </c>
      <c r="H50" s="443">
        <f t="shared" si="10"/>
        <v>2532259779.5261188</v>
      </c>
      <c r="I50" s="44">
        <f t="shared" si="1"/>
        <v>524565654.17388105</v>
      </c>
      <c r="J50" s="330">
        <f t="shared" si="2"/>
        <v>0.20715317536340883</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182937684.86000001</v>
      </c>
      <c r="G51" s="741">
        <v>1761883418.8800001</v>
      </c>
      <c r="H51" s="742">
        <f t="shared" ref="H51:H54" si="11">E51/12*9</f>
        <v>1340630330.6151528</v>
      </c>
      <c r="I51" s="44">
        <f t="shared" si="1"/>
        <v>421253088.26484728</v>
      </c>
      <c r="J51" s="330">
        <f t="shared" si="2"/>
        <v>0.31422016841253608</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411963.03</v>
      </c>
      <c r="G52" s="741">
        <v>4971536.4800000004</v>
      </c>
      <c r="H52" s="742">
        <f t="shared" si="11"/>
        <v>14728277.448225001</v>
      </c>
      <c r="I52" s="44">
        <f t="shared" si="1"/>
        <v>-9756740.9682250004</v>
      </c>
      <c r="J52" s="330">
        <f t="shared" si="2"/>
        <v>-0.66244956360465956</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8425770.7599999998</v>
      </c>
      <c r="G53" s="741">
        <v>140386099.38</v>
      </c>
      <c r="H53" s="742">
        <f t="shared" si="11"/>
        <v>49344599.816486403</v>
      </c>
      <c r="I53" s="44">
        <f t="shared" si="1"/>
        <v>91041499.563513592</v>
      </c>
      <c r="J53" s="330">
        <f t="shared" si="2"/>
        <v>1.8450144474187415</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146968532.86000001</v>
      </c>
      <c r="G54" s="741">
        <v>1149584378.9599993</v>
      </c>
      <c r="H54" s="742">
        <f t="shared" si="11"/>
        <v>1127556571.6462545</v>
      </c>
      <c r="I54" s="44">
        <f t="shared" si="1"/>
        <v>22027807.313744783</v>
      </c>
      <c r="J54" s="330">
        <f t="shared" si="2"/>
        <v>1.9535877726812194E-2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495093158.38774735</v>
      </c>
      <c r="F61" s="443">
        <f t="shared" si="13"/>
        <v>12926165.700000001</v>
      </c>
      <c r="G61" s="441">
        <f t="shared" si="13"/>
        <v>104620173.42</v>
      </c>
      <c r="H61" s="443">
        <f t="shared" si="13"/>
        <v>371319868.79081053</v>
      </c>
      <c r="I61" s="44">
        <f t="shared" si="1"/>
        <v>-266699695.37081051</v>
      </c>
      <c r="J61" s="330">
        <f t="shared" si="2"/>
        <v>-0.71824784447788437</v>
      </c>
      <c r="K61" s="442">
        <f t="shared" si="13"/>
        <v>495093158.38774735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513935</v>
      </c>
      <c r="F62" s="742">
        <v>5428426.8200000003</v>
      </c>
      <c r="G62" s="741">
        <v>29902653.969999999</v>
      </c>
      <c r="H62" s="742">
        <f t="shared" ref="H62:H65" si="14">E62/12*9</f>
        <v>385451.25</v>
      </c>
      <c r="I62" s="44">
        <f t="shared" si="1"/>
        <v>29517202.719999999</v>
      </c>
      <c r="J62" s="330">
        <f t="shared" si="2"/>
        <v>76.578303274408881</v>
      </c>
      <c r="K62" s="743">
        <f t="shared" ref="K62:K65" si="15">E62</f>
        <v>513935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12276.75</v>
      </c>
      <c r="G63" s="741">
        <v>153960.72</v>
      </c>
      <c r="H63" s="742">
        <f t="shared" si="14"/>
        <v>33766715.368799999</v>
      </c>
      <c r="I63" s="44">
        <f t="shared" si="1"/>
        <v>-33612754.648800001</v>
      </c>
      <c r="J63" s="330">
        <f t="shared" si="2"/>
        <v>-0.99544045909356482</v>
      </c>
      <c r="K63" s="743">
        <f t="shared" si="15"/>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386941932.54334736</v>
      </c>
      <c r="F64" s="742">
        <v>6521003.75</v>
      </c>
      <c r="G64" s="741">
        <v>71091263.549999997</v>
      </c>
      <c r="H64" s="742">
        <f t="shared" si="14"/>
        <v>290206449.40751052</v>
      </c>
      <c r="I64" s="44">
        <f t="shared" si="1"/>
        <v>-219115185.85751051</v>
      </c>
      <c r="J64" s="330">
        <f t="shared" si="2"/>
        <v>-0.75503210319708292</v>
      </c>
      <c r="K64" s="743">
        <f t="shared" si="15"/>
        <v>386941932.54334736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964458.38</v>
      </c>
      <c r="G65" s="741">
        <v>3472295.18</v>
      </c>
      <c r="H65" s="742">
        <f t="shared" si="14"/>
        <v>46961252.764500007</v>
      </c>
      <c r="I65" s="44">
        <f t="shared" si="1"/>
        <v>-43488957.584500007</v>
      </c>
      <c r="J65" s="330">
        <f t="shared" si="2"/>
        <v>-0.92606042267626953</v>
      </c>
      <c r="K65" s="743">
        <f t="shared" si="15"/>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6594922531.8720646</v>
      </c>
      <c r="F171" s="450">
        <f t="shared" si="30"/>
        <v>559400187.32000005</v>
      </c>
      <c r="G171" s="448">
        <f t="shared" si="30"/>
        <v>4669724889.1099997</v>
      </c>
      <c r="H171" s="450">
        <f t="shared" si="30"/>
        <v>4946191898.904048</v>
      </c>
      <c r="I171" s="514">
        <f t="shared" si="24"/>
        <v>-276467009.79404831</v>
      </c>
      <c r="J171" s="515">
        <f t="shared" si="25"/>
        <v>-5.5894921880266402E-2</v>
      </c>
      <c r="K171" s="449">
        <f t="shared" si="30"/>
        <v>6594922531.8720646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187429782.20182845</v>
      </c>
      <c r="F174" s="470">
        <f t="shared" si="31"/>
        <v>11238344.150000002</v>
      </c>
      <c r="G174" s="468">
        <f t="shared" si="31"/>
        <v>104983856.97999999</v>
      </c>
      <c r="H174" s="470">
        <f t="shared" si="31"/>
        <v>140572336.65137133</v>
      </c>
      <c r="I174" s="44">
        <f t="shared" si="24"/>
        <v>-35588479.671371341</v>
      </c>
      <c r="J174" s="330">
        <f t="shared" si="25"/>
        <v>-0.25316844351554829</v>
      </c>
      <c r="K174" s="469">
        <f t="shared" si="31"/>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1282110.26</v>
      </c>
      <c r="G175" s="733">
        <v>12064530.489999995</v>
      </c>
      <c r="H175" s="746">
        <f t="shared" ref="H175:H178" si="32">E175/12*9</f>
        <v>15020743.247768994</v>
      </c>
      <c r="I175" s="44">
        <f t="shared" si="24"/>
        <v>-2956212.7577689998</v>
      </c>
      <c r="J175" s="330">
        <f t="shared" si="25"/>
        <v>-0.19680868709396795</v>
      </c>
      <c r="K175" s="747">
        <f t="shared" ref="K175:K178" si="33">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2646180.2400000007</v>
      </c>
      <c r="G176" s="733">
        <v>28940391.25999999</v>
      </c>
      <c r="H176" s="746">
        <f t="shared" si="32"/>
        <v>33627057.981121384</v>
      </c>
      <c r="I176" s="44">
        <f t="shared" si="24"/>
        <v>-4686666.7211213931</v>
      </c>
      <c r="J176" s="330">
        <f t="shared" si="25"/>
        <v>-0.13937189282965348</v>
      </c>
      <c r="K176" s="747">
        <f t="shared" si="33"/>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6813181.4900000012</v>
      </c>
      <c r="G177" s="733">
        <v>59252667.479999997</v>
      </c>
      <c r="H177" s="746">
        <f t="shared" si="32"/>
        <v>82226665.82821095</v>
      </c>
      <c r="I177" s="44">
        <f t="shared" si="24"/>
        <v>-22973998.348210953</v>
      </c>
      <c r="J177" s="330">
        <f t="shared" si="25"/>
        <v>-0.27939839365746066</v>
      </c>
      <c r="K177" s="747">
        <f t="shared" si="33"/>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496872.16000000009</v>
      </c>
      <c r="G178" s="733">
        <v>4726267.7499999981</v>
      </c>
      <c r="H178" s="746">
        <f t="shared" si="32"/>
        <v>9697869.5942699984</v>
      </c>
      <c r="I178" s="44">
        <f t="shared" si="24"/>
        <v>-4971601.8442700002</v>
      </c>
      <c r="J178" s="330">
        <f t="shared" si="25"/>
        <v>-0.51264886539694032</v>
      </c>
      <c r="K178" s="747">
        <f t="shared" si="33"/>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705258982.70556009</v>
      </c>
      <c r="F185" s="443">
        <f t="shared" si="34"/>
        <v>28869171.719999999</v>
      </c>
      <c r="G185" s="441">
        <f t="shared" si="34"/>
        <v>315435618.38</v>
      </c>
      <c r="H185" s="443">
        <f t="shared" si="34"/>
        <v>528944237.0291701</v>
      </c>
      <c r="I185" s="44">
        <f t="shared" si="24"/>
        <v>-213508618.6491701</v>
      </c>
      <c r="J185" s="330">
        <f t="shared" si="25"/>
        <v>-0.40365052438863336</v>
      </c>
      <c r="K185" s="442">
        <f t="shared" si="34"/>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3904816.1999999979</v>
      </c>
      <c r="G186" s="733">
        <v>51617816.760000005</v>
      </c>
      <c r="H186" s="746">
        <f t="shared" ref="H186:H190" si="35">E186/12*9</f>
        <v>72078743.906046391</v>
      </c>
      <c r="I186" s="44">
        <f t="shared" si="24"/>
        <v>-20460927.146046385</v>
      </c>
      <c r="J186" s="330">
        <f t="shared" si="25"/>
        <v>-0.28386908590855731</v>
      </c>
      <c r="K186" s="747">
        <f t="shared" ref="K186:K190" si="36">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9705054.6800000016</v>
      </c>
      <c r="G187" s="733">
        <v>64905580.800000019</v>
      </c>
      <c r="H187" s="746">
        <f t="shared" si="35"/>
        <v>31249978.342953671</v>
      </c>
      <c r="I187" s="44">
        <f t="shared" si="24"/>
        <v>33655602.457046345</v>
      </c>
      <c r="J187" s="330">
        <f t="shared" si="25"/>
        <v>1.0769800250000845</v>
      </c>
      <c r="K187" s="747">
        <f t="shared" si="36"/>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3599142.1799999997</v>
      </c>
      <c r="G188" s="733">
        <v>26584120.090000004</v>
      </c>
      <c r="H188" s="746">
        <f t="shared" si="35"/>
        <v>343219217.18632066</v>
      </c>
      <c r="I188" s="44">
        <f t="shared" si="24"/>
        <v>-316635097.09632063</v>
      </c>
      <c r="J188" s="330">
        <f t="shared" si="25"/>
        <v>-0.92254477966608572</v>
      </c>
      <c r="K188" s="747">
        <f t="shared" si="36"/>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7421318.379999998</v>
      </c>
      <c r="G189" s="733">
        <v>140283388.41999996</v>
      </c>
      <c r="H189" s="746">
        <f t="shared" si="35"/>
        <v>17805247.842403807</v>
      </c>
      <c r="I189" s="44">
        <f t="shared" si="24"/>
        <v>122478140.57759616</v>
      </c>
      <c r="J189" s="330">
        <f t="shared" si="25"/>
        <v>6.8787663986294127</v>
      </c>
      <c r="K189" s="747">
        <f t="shared" si="36"/>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4238840.28</v>
      </c>
      <c r="G190" s="733">
        <v>32044712.310000002</v>
      </c>
      <c r="H190" s="746">
        <f t="shared" si="35"/>
        <v>64591049.751445524</v>
      </c>
      <c r="I190" s="44">
        <f t="shared" si="24"/>
        <v>-32546337.441445522</v>
      </c>
      <c r="J190" s="330">
        <f t="shared" si="25"/>
        <v>-0.50388308545360261</v>
      </c>
      <c r="K190" s="747">
        <f t="shared" si="36"/>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769029279.16259539</v>
      </c>
      <c r="F196" s="443">
        <f t="shared" si="37"/>
        <v>69185023.090000004</v>
      </c>
      <c r="G196" s="441">
        <f t="shared" si="37"/>
        <v>607138626.38999987</v>
      </c>
      <c r="H196" s="443">
        <f t="shared" si="37"/>
        <v>576771959.37194657</v>
      </c>
      <c r="I196" s="44">
        <f t="shared" si="24"/>
        <v>30366667.018053293</v>
      </c>
      <c r="J196" s="330">
        <f t="shared" si="25"/>
        <v>5.2649346981292047E-2</v>
      </c>
      <c r="K196" s="442">
        <f t="shared" si="37"/>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2839072.6500000008</v>
      </c>
      <c r="G197" s="733">
        <v>27740713.080000002</v>
      </c>
      <c r="H197" s="746"/>
      <c r="I197" s="44">
        <f t="shared" si="24"/>
        <v>27740713.080000002</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32533924.799999997</v>
      </c>
      <c r="G198" s="733">
        <v>264945153.84</v>
      </c>
      <c r="H198" s="746">
        <f t="shared" ref="H198:H200" si="38">E198/12*9</f>
        <v>576593710.62194657</v>
      </c>
      <c r="I198" s="44">
        <f>G198-H198</f>
        <v>-311648556.78194654</v>
      </c>
      <c r="J198" s="330">
        <f t="shared" ref="J198:J261" si="39">IF(I198=0,"",I198/H198)</f>
        <v>-0.54049940372361116</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23216953.359999999</v>
      </c>
      <c r="G199" s="733">
        <v>224656525.27999994</v>
      </c>
      <c r="H199" s="746">
        <f t="shared" si="38"/>
        <v>2803248.75</v>
      </c>
      <c r="I199" s="44">
        <f t="shared" ref="I199:I261" si="40">G199-H199</f>
        <v>221853276.52999994</v>
      </c>
      <c r="J199" s="330">
        <f t="shared" si="39"/>
        <v>79.141487722058187</v>
      </c>
      <c r="K199" s="747">
        <f t="shared" ref="K199:K200" si="41">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10595072.280000003</v>
      </c>
      <c r="G200" s="733">
        <v>89796234.189999968</v>
      </c>
      <c r="H200" s="746">
        <f t="shared" si="38"/>
        <v>-2625000</v>
      </c>
      <c r="I200" s="44">
        <f t="shared" si="40"/>
        <v>92421234.189999968</v>
      </c>
      <c r="J200" s="330">
        <f t="shared" si="39"/>
        <v>-35.208089215238083</v>
      </c>
      <c r="K200" s="747">
        <f t="shared" si="41"/>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40"/>
        <v>0</v>
      </c>
      <c r="J201" s="330" t="str">
        <f t="shared" si="39"/>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40"/>
        <v>0</v>
      </c>
      <c r="J202" s="330" t="str">
        <f t="shared" si="39"/>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40"/>
        <v>0</v>
      </c>
      <c r="J203" s="330" t="str">
        <f t="shared" si="39"/>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40"/>
        <v>0</v>
      </c>
      <c r="J204" s="330" t="str">
        <f t="shared" si="39"/>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40"/>
        <v>0</v>
      </c>
      <c r="J205" s="330" t="str">
        <f t="shared" si="39"/>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40"/>
        <v>0</v>
      </c>
      <c r="J206" s="330" t="str">
        <f t="shared" si="39"/>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2">SUM(C208:C217)</f>
        <v>0</v>
      </c>
      <c r="D207" s="444">
        <f t="shared" si="42"/>
        <v>200548950.39124021</v>
      </c>
      <c r="E207" s="441">
        <f t="shared" si="42"/>
        <v>215358953.39108872</v>
      </c>
      <c r="F207" s="443">
        <f t="shared" si="42"/>
        <v>10746521.279999997</v>
      </c>
      <c r="G207" s="441">
        <f t="shared" si="42"/>
        <v>95642229.980000004</v>
      </c>
      <c r="H207" s="443">
        <f t="shared" si="42"/>
        <v>161519215.04331651</v>
      </c>
      <c r="I207" s="44">
        <f t="shared" si="40"/>
        <v>-65876985.063316509</v>
      </c>
      <c r="J207" s="330">
        <f t="shared" si="39"/>
        <v>-0.40785850182375827</v>
      </c>
      <c r="K207" s="442">
        <f t="shared" si="42"/>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3938340.1199999969</v>
      </c>
      <c r="G208" s="384">
        <v>40865575.910000011</v>
      </c>
      <c r="H208" s="472">
        <f t="shared" ref="H208:H212" si="43">E208/12*9</f>
        <v>34896780.04340408</v>
      </c>
      <c r="I208" s="44">
        <f t="shared" si="40"/>
        <v>5968795.8665959314</v>
      </c>
      <c r="J208" s="330">
        <f t="shared" si="39"/>
        <v>0.17104145021896103</v>
      </c>
      <c r="K208" s="395">
        <f t="shared" ref="K208:K212" si="44">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2617378.8099999996</v>
      </c>
      <c r="G209" s="384">
        <v>22478027.920000002</v>
      </c>
      <c r="H209" s="472">
        <f t="shared" si="43"/>
        <v>8180741.5718270531</v>
      </c>
      <c r="I209" s="44">
        <f t="shared" si="40"/>
        <v>14297286.348172948</v>
      </c>
      <c r="J209" s="330">
        <f t="shared" si="39"/>
        <v>1.7476760783411289</v>
      </c>
      <c r="K209" s="395">
        <f t="shared" si="44"/>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1326601.8500000003</v>
      </c>
      <c r="G210" s="384">
        <v>9050041</v>
      </c>
      <c r="H210" s="472">
        <f t="shared" si="43"/>
        <v>87823620.218799904</v>
      </c>
      <c r="I210" s="44">
        <f t="shared" si="40"/>
        <v>-78773579.218799904</v>
      </c>
      <c r="J210" s="330">
        <f t="shared" si="39"/>
        <v>-0.89695208444547003</v>
      </c>
      <c r="K210" s="395">
        <f t="shared" si="44"/>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1946456.5700000003</v>
      </c>
      <c r="G211" s="384">
        <v>18286386.459999997</v>
      </c>
      <c r="H211" s="472">
        <f t="shared" si="43"/>
        <v>22497684.33221481</v>
      </c>
      <c r="I211" s="44">
        <f t="shared" si="40"/>
        <v>-4211297.8722148128</v>
      </c>
      <c r="J211" s="330">
        <f t="shared" si="39"/>
        <v>-0.1871880594477266</v>
      </c>
      <c r="K211" s="395">
        <f t="shared" si="44"/>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917743.92999999993</v>
      </c>
      <c r="G212" s="384">
        <v>4962198.6899999995</v>
      </c>
      <c r="H212" s="472">
        <f t="shared" si="43"/>
        <v>8120388.8770706728</v>
      </c>
      <c r="I212" s="44">
        <f t="shared" si="40"/>
        <v>-3158190.1870706733</v>
      </c>
      <c r="J212" s="330">
        <f t="shared" si="39"/>
        <v>-0.38892105228954876</v>
      </c>
      <c r="K212" s="395">
        <f t="shared" si="44"/>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40"/>
        <v>0</v>
      </c>
      <c r="J213" s="330" t="str">
        <f t="shared" si="39"/>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40"/>
        <v>0</v>
      </c>
      <c r="J214" s="330" t="str">
        <f t="shared" si="39"/>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40"/>
        <v>0</v>
      </c>
      <c r="J215" s="330" t="str">
        <f t="shared" si="39"/>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40"/>
        <v>0</v>
      </c>
      <c r="J216" s="330" t="str">
        <f t="shared" si="39"/>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40"/>
        <v>0</v>
      </c>
      <c r="J217" s="330" t="str">
        <f t="shared" si="39"/>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5">SUM(C219:C228)</f>
        <v>0</v>
      </c>
      <c r="D218" s="444">
        <f t="shared" si="45"/>
        <v>3393288719.277081</v>
      </c>
      <c r="E218" s="441">
        <f t="shared" si="45"/>
        <v>3407283654.0811782</v>
      </c>
      <c r="F218" s="443">
        <f t="shared" si="45"/>
        <v>276376839.97000009</v>
      </c>
      <c r="G218" s="441">
        <f t="shared" si="45"/>
        <v>2680740821.9200006</v>
      </c>
      <c r="H218" s="443">
        <f t="shared" si="45"/>
        <v>2555462740.5608835</v>
      </c>
      <c r="I218" s="44">
        <f t="shared" si="40"/>
        <v>125278081.35911703</v>
      </c>
      <c r="J218" s="330">
        <f t="shared" si="39"/>
        <v>4.9023638408290972E-2</v>
      </c>
      <c r="K218" s="442">
        <f t="shared" si="45"/>
        <v>3407283654.0811782</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149625630.64000005</v>
      </c>
      <c r="G219" s="384">
        <v>1637040978.0300004</v>
      </c>
      <c r="H219" s="472">
        <f t="shared" ref="H219:H223" si="46">E219/12*9</f>
        <v>1402007024.6066403</v>
      </c>
      <c r="I219" s="44">
        <f t="shared" si="40"/>
        <v>235033953.42336011</v>
      </c>
      <c r="J219" s="330">
        <f t="shared" si="39"/>
        <v>0.16764106691213143</v>
      </c>
      <c r="K219" s="395">
        <f t="shared" ref="K219:K223" si="47">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745873.55</v>
      </c>
      <c r="G220" s="384">
        <v>10470669.369999997</v>
      </c>
      <c r="H220" s="472">
        <f t="shared" si="46"/>
        <v>42391985.101765305</v>
      </c>
      <c r="I220" s="44">
        <f t="shared" si="40"/>
        <v>-31921315.731765307</v>
      </c>
      <c r="J220" s="330">
        <f t="shared" si="39"/>
        <v>-0.75300356081782138</v>
      </c>
      <c r="K220" s="395">
        <f t="shared" si="47"/>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99518846.953450099</v>
      </c>
      <c r="F221" s="472">
        <v>22045364.259999983</v>
      </c>
      <c r="G221" s="384">
        <v>194376422.91000003</v>
      </c>
      <c r="H221" s="472">
        <f t="shared" si="46"/>
        <v>74639135.215087578</v>
      </c>
      <c r="I221" s="44">
        <f t="shared" si="40"/>
        <v>119737287.69491245</v>
      </c>
      <c r="J221" s="330">
        <f t="shared" si="39"/>
        <v>1.6042159029558092</v>
      </c>
      <c r="K221" s="395">
        <f t="shared" si="47"/>
        <v>99518846.953450099</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103763458.86</v>
      </c>
      <c r="G222" s="384">
        <v>837492965.28999996</v>
      </c>
      <c r="H222" s="472">
        <f t="shared" si="46"/>
        <v>1021240616.4869775</v>
      </c>
      <c r="I222" s="44">
        <f t="shared" si="40"/>
        <v>-183747651.1969775</v>
      </c>
      <c r="J222" s="330">
        <f t="shared" si="39"/>
        <v>-0.17992591386451245</v>
      </c>
      <c r="K222" s="395">
        <f t="shared" si="47"/>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196512.66000000003</v>
      </c>
      <c r="G223" s="384">
        <v>1359786.3200000003</v>
      </c>
      <c r="H223" s="472">
        <f t="shared" si="46"/>
        <v>15183979.150412645</v>
      </c>
      <c r="I223" s="44">
        <f t="shared" si="40"/>
        <v>-13824192.830412645</v>
      </c>
      <c r="J223" s="330">
        <f t="shared" si="39"/>
        <v>-0.91044598345862149</v>
      </c>
      <c r="K223" s="395">
        <f t="shared" si="47"/>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40"/>
        <v>0</v>
      </c>
      <c r="J224" s="330" t="str">
        <f t="shared" si="39"/>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40"/>
        <v>0</v>
      </c>
      <c r="J225" s="330" t="str">
        <f t="shared" si="39"/>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40"/>
        <v>0</v>
      </c>
      <c r="J226" s="330" t="str">
        <f t="shared" si="39"/>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40"/>
        <v>0</v>
      </c>
      <c r="J227" s="330" t="str">
        <f t="shared" si="39"/>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40"/>
        <v>0</v>
      </c>
      <c r="J228" s="330" t="str">
        <f t="shared" si="39"/>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8">SUM(C230:C239)</f>
        <v>0</v>
      </c>
      <c r="D229" s="444">
        <f t="shared" si="48"/>
        <v>296205168.59786338</v>
      </c>
      <c r="E229" s="441">
        <f t="shared" si="48"/>
        <v>388790375.15482336</v>
      </c>
      <c r="F229" s="443">
        <f t="shared" si="48"/>
        <v>24976668.749999996</v>
      </c>
      <c r="G229" s="441">
        <f t="shared" si="48"/>
        <v>180023849.88</v>
      </c>
      <c r="H229" s="443">
        <f t="shared" si="48"/>
        <v>291592781.36611754</v>
      </c>
      <c r="I229" s="44">
        <f t="shared" si="40"/>
        <v>-111568931.48611754</v>
      </c>
      <c r="J229" s="330">
        <f t="shared" si="39"/>
        <v>-0.38261897624287899</v>
      </c>
      <c r="K229" s="442">
        <f t="shared" si="48"/>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330062570.15482336</v>
      </c>
      <c r="F230" s="472">
        <v>11224544.18</v>
      </c>
      <c r="G230" s="384">
        <v>68568744.570000023</v>
      </c>
      <c r="H230" s="472">
        <f>E230/12*9</f>
        <v>247546927.61611754</v>
      </c>
      <c r="I230" s="44">
        <f t="shared" si="40"/>
        <v>-178978183.04611751</v>
      </c>
      <c r="J230" s="330">
        <f t="shared" si="39"/>
        <v>-0.72300708705893235</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787694.72</v>
      </c>
      <c r="G231" s="384">
        <v>7956313.1700000018</v>
      </c>
      <c r="H231" s="742"/>
      <c r="I231" s="44">
        <f t="shared" si="40"/>
        <v>7956313.1700000018</v>
      </c>
      <c r="J231" s="330" t="e">
        <f t="shared" si="39"/>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6233928.0499999998</v>
      </c>
      <c r="G232" s="384">
        <v>44682235.600000016</v>
      </c>
      <c r="H232" s="742">
        <f t="shared" ref="H232:H233" si="49">E232/12*9</f>
        <v>42735050.25</v>
      </c>
      <c r="I232" s="44">
        <f t="shared" si="40"/>
        <v>1947185.3500000164</v>
      </c>
      <c r="J232" s="330">
        <f t="shared" si="39"/>
        <v>4.556412917754827E-2</v>
      </c>
      <c r="K232" s="395">
        <f t="shared" ref="K232:K233" si="50">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6578990.299999997</v>
      </c>
      <c r="G233" s="384">
        <v>57353749.249999978</v>
      </c>
      <c r="H233" s="742">
        <f t="shared" si="49"/>
        <v>1310803.5</v>
      </c>
      <c r="I233" s="44">
        <f t="shared" si="40"/>
        <v>56042945.749999978</v>
      </c>
      <c r="J233" s="330">
        <f t="shared" si="39"/>
        <v>42.754650678000154</v>
      </c>
      <c r="K233" s="395">
        <f t="shared" si="50"/>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151511.5</v>
      </c>
      <c r="G234" s="384">
        <v>1462807.29</v>
      </c>
      <c r="H234" s="742"/>
      <c r="I234" s="44">
        <f t="shared" si="40"/>
        <v>1462807.29</v>
      </c>
      <c r="J234" s="330" t="e">
        <f t="shared" si="39"/>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40"/>
        <v>0</v>
      </c>
      <c r="J235" s="330" t="str">
        <f t="shared" si="39"/>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40"/>
        <v>0</v>
      </c>
      <c r="J236" s="330" t="str">
        <f t="shared" si="39"/>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40"/>
        <v>0</v>
      </c>
      <c r="J237" s="330" t="str">
        <f t="shared" si="39"/>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40"/>
        <v>0</v>
      </c>
      <c r="J238" s="330" t="str">
        <f t="shared" si="39"/>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40"/>
        <v>0</v>
      </c>
      <c r="J239" s="330" t="str">
        <f t="shared" si="39"/>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51">SUM(C241:C250)</f>
        <v>0</v>
      </c>
      <c r="D240" s="444">
        <f t="shared" si="51"/>
        <v>0</v>
      </c>
      <c r="E240" s="441">
        <f t="shared" si="51"/>
        <v>0</v>
      </c>
      <c r="F240" s="443">
        <f t="shared" si="51"/>
        <v>0</v>
      </c>
      <c r="G240" s="441">
        <f t="shared" si="51"/>
        <v>0</v>
      </c>
      <c r="H240" s="443">
        <f t="shared" si="51"/>
        <v>0</v>
      </c>
      <c r="I240" s="44">
        <f t="shared" si="40"/>
        <v>0</v>
      </c>
      <c r="J240" s="330" t="str">
        <f t="shared" si="39"/>
        <v/>
      </c>
      <c r="K240" s="442">
        <f t="shared" si="5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40"/>
        <v>0</v>
      </c>
      <c r="J241" s="330" t="str">
        <f t="shared" si="39"/>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40"/>
        <v>0</v>
      </c>
      <c r="J242" s="330" t="str">
        <f t="shared" si="39"/>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40"/>
        <v>0</v>
      </c>
      <c r="J243" s="330" t="str">
        <f t="shared" si="39"/>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40"/>
        <v>0</v>
      </c>
      <c r="J244" s="330" t="str">
        <f t="shared" si="39"/>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40"/>
        <v>0</v>
      </c>
      <c r="J245" s="330" t="str">
        <f t="shared" si="39"/>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40"/>
        <v>0</v>
      </c>
      <c r="J246" s="330" t="str">
        <f t="shared" si="39"/>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40"/>
        <v>0</v>
      </c>
      <c r="J247" s="330" t="str">
        <f t="shared" si="39"/>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40"/>
        <v>0</v>
      </c>
      <c r="J248" s="330" t="str">
        <f t="shared" si="39"/>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40"/>
        <v>0</v>
      </c>
      <c r="J249" s="330" t="str">
        <f t="shared" si="39"/>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40"/>
        <v>0</v>
      </c>
      <c r="J250" s="330" t="str">
        <f t="shared" si="39"/>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52">SUM(C252:C261)</f>
        <v>0</v>
      </c>
      <c r="D251" s="444">
        <f t="shared" si="52"/>
        <v>0</v>
      </c>
      <c r="E251" s="441">
        <f t="shared" si="52"/>
        <v>0</v>
      </c>
      <c r="F251" s="443">
        <f t="shared" si="52"/>
        <v>0</v>
      </c>
      <c r="G251" s="441">
        <f t="shared" si="52"/>
        <v>0</v>
      </c>
      <c r="H251" s="443">
        <f t="shared" si="52"/>
        <v>0</v>
      </c>
      <c r="I251" s="44">
        <f t="shared" si="40"/>
        <v>0</v>
      </c>
      <c r="J251" s="330" t="str">
        <f t="shared" si="39"/>
        <v/>
      </c>
      <c r="K251" s="442">
        <f t="shared" si="5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40"/>
        <v>0</v>
      </c>
      <c r="J252" s="330" t="str">
        <f t="shared" si="39"/>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40"/>
        <v>0</v>
      </c>
      <c r="J253" s="330" t="str">
        <f t="shared" si="39"/>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40"/>
        <v>0</v>
      </c>
      <c r="J254" s="330" t="str">
        <f t="shared" si="39"/>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40"/>
        <v>0</v>
      </c>
      <c r="J255" s="330" t="str">
        <f t="shared" si="39"/>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40"/>
        <v>0</v>
      </c>
      <c r="J256" s="330" t="str">
        <f t="shared" si="39"/>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40"/>
        <v>0</v>
      </c>
      <c r="J257" s="330" t="str">
        <f t="shared" si="39"/>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40"/>
        <v>0</v>
      </c>
      <c r="J258" s="330" t="str">
        <f t="shared" si="39"/>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40"/>
        <v>0</v>
      </c>
      <c r="J259" s="330" t="str">
        <f t="shared" si="39"/>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40"/>
        <v>0</v>
      </c>
      <c r="J260" s="330" t="str">
        <f t="shared" si="39"/>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40"/>
        <v>0</v>
      </c>
      <c r="J261" s="330" t="str">
        <f t="shared" si="39"/>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53">SUM(C263:C272)</f>
        <v>0</v>
      </c>
      <c r="D262" s="444">
        <f t="shared" si="53"/>
        <v>0</v>
      </c>
      <c r="E262" s="441">
        <f t="shared" si="53"/>
        <v>0</v>
      </c>
      <c r="F262" s="443">
        <f t="shared" si="53"/>
        <v>0</v>
      </c>
      <c r="G262" s="441">
        <f t="shared" si="53"/>
        <v>0</v>
      </c>
      <c r="H262" s="443">
        <f t="shared" si="53"/>
        <v>0</v>
      </c>
      <c r="I262" s="44">
        <f t="shared" ref="I262:I325" si="54">G262-H262</f>
        <v>0</v>
      </c>
      <c r="J262" s="330" t="str">
        <f t="shared" ref="J262:J325" si="55">IF(I262=0,"",I262/H262)</f>
        <v/>
      </c>
      <c r="K262" s="442">
        <f t="shared" si="5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4"/>
        <v>0</v>
      </c>
      <c r="J263" s="330" t="str">
        <f t="shared" si="5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4"/>
        <v>0</v>
      </c>
      <c r="J264" s="330" t="str">
        <f t="shared" si="5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4"/>
        <v>0</v>
      </c>
      <c r="J265" s="330" t="str">
        <f t="shared" si="5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4"/>
        <v>0</v>
      </c>
      <c r="J266" s="330" t="str">
        <f t="shared" si="5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4"/>
        <v>0</v>
      </c>
      <c r="J267" s="330" t="str">
        <f t="shared" si="5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4"/>
        <v>0</v>
      </c>
      <c r="J268" s="330" t="str">
        <f t="shared" si="5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4"/>
        <v>0</v>
      </c>
      <c r="J269" s="330" t="str">
        <f t="shared" si="5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4"/>
        <v>0</v>
      </c>
      <c r="J270" s="330" t="str">
        <f t="shared" si="5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4"/>
        <v>0</v>
      </c>
      <c r="J271" s="330" t="str">
        <f t="shared" si="5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4"/>
        <v>0</v>
      </c>
      <c r="J272" s="330" t="str">
        <f t="shared" si="5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6">SUM(C274:C283)</f>
        <v>0</v>
      </c>
      <c r="D273" s="444">
        <f t="shared" si="56"/>
        <v>0</v>
      </c>
      <c r="E273" s="441">
        <f t="shared" si="56"/>
        <v>0</v>
      </c>
      <c r="F273" s="443">
        <f t="shared" si="56"/>
        <v>0</v>
      </c>
      <c r="G273" s="441">
        <f t="shared" si="56"/>
        <v>0</v>
      </c>
      <c r="H273" s="443">
        <f t="shared" si="56"/>
        <v>0</v>
      </c>
      <c r="I273" s="44">
        <f t="shared" si="54"/>
        <v>0</v>
      </c>
      <c r="J273" s="330" t="str">
        <f t="shared" si="55"/>
        <v/>
      </c>
      <c r="K273" s="442">
        <f t="shared" si="5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4"/>
        <v>0</v>
      </c>
      <c r="J274" s="330" t="str">
        <f t="shared" si="5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4"/>
        <v>0</v>
      </c>
      <c r="J275" s="330" t="str">
        <f t="shared" si="5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4"/>
        <v>0</v>
      </c>
      <c r="J276" s="330" t="str">
        <f t="shared" si="5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4"/>
        <v>0</v>
      </c>
      <c r="J277" s="330" t="str">
        <f t="shared" si="5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4"/>
        <v>0</v>
      </c>
      <c r="J278" s="330" t="str">
        <f t="shared" si="5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4"/>
        <v>0</v>
      </c>
      <c r="J279" s="330" t="str">
        <f t="shared" si="5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4"/>
        <v>0</v>
      </c>
      <c r="J280" s="330" t="str">
        <f t="shared" si="5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4"/>
        <v>0</v>
      </c>
      <c r="J281" s="330" t="str">
        <f t="shared" si="5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4"/>
        <v>0</v>
      </c>
      <c r="J282" s="330" t="str">
        <f t="shared" si="5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4"/>
        <v>0</v>
      </c>
      <c r="J283" s="330" t="str">
        <f t="shared" si="5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7">SUM(C285:C294)</f>
        <v>0</v>
      </c>
      <c r="D284" s="444">
        <f t="shared" si="57"/>
        <v>0</v>
      </c>
      <c r="E284" s="441">
        <f t="shared" si="57"/>
        <v>0</v>
      </c>
      <c r="F284" s="443">
        <f t="shared" si="57"/>
        <v>0</v>
      </c>
      <c r="G284" s="441">
        <f t="shared" si="57"/>
        <v>0</v>
      </c>
      <c r="H284" s="443">
        <f t="shared" si="57"/>
        <v>0</v>
      </c>
      <c r="I284" s="44">
        <f t="shared" si="54"/>
        <v>0</v>
      </c>
      <c r="J284" s="330" t="str">
        <f t="shared" si="55"/>
        <v/>
      </c>
      <c r="K284" s="442">
        <f t="shared" si="5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4"/>
        <v>0</v>
      </c>
      <c r="J285" s="330" t="str">
        <f t="shared" si="5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4"/>
        <v>0</v>
      </c>
      <c r="J286" s="330" t="str">
        <f t="shared" si="5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4"/>
        <v>0</v>
      </c>
      <c r="J287" s="330" t="str">
        <f t="shared" si="5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4"/>
        <v>0</v>
      </c>
      <c r="J288" s="330" t="str">
        <f t="shared" si="5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4"/>
        <v>0</v>
      </c>
      <c r="J289" s="330" t="str">
        <f t="shared" si="5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4"/>
        <v>0</v>
      </c>
      <c r="J290" s="330" t="str">
        <f t="shared" si="5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4"/>
        <v>0</v>
      </c>
      <c r="J291" s="330" t="str">
        <f t="shared" si="5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4"/>
        <v>0</v>
      </c>
      <c r="J292" s="330" t="str">
        <f t="shared" si="5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4"/>
        <v>0</v>
      </c>
      <c r="J293" s="330" t="str">
        <f t="shared" si="5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4"/>
        <v>0</v>
      </c>
      <c r="J294" s="330" t="str">
        <f t="shared" si="5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8">SUM(C296:C305)</f>
        <v>0</v>
      </c>
      <c r="D295" s="444">
        <f t="shared" si="58"/>
        <v>0</v>
      </c>
      <c r="E295" s="441">
        <f t="shared" si="58"/>
        <v>0</v>
      </c>
      <c r="F295" s="443">
        <f t="shared" si="58"/>
        <v>0</v>
      </c>
      <c r="G295" s="441">
        <f t="shared" si="58"/>
        <v>0</v>
      </c>
      <c r="H295" s="443">
        <f t="shared" si="58"/>
        <v>0</v>
      </c>
      <c r="I295" s="44">
        <f t="shared" si="54"/>
        <v>0</v>
      </c>
      <c r="J295" s="330" t="str">
        <f t="shared" si="55"/>
        <v/>
      </c>
      <c r="K295" s="442">
        <f t="shared" si="5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4"/>
        <v>0</v>
      </c>
      <c r="J296" s="330" t="str">
        <f t="shared" si="5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4"/>
        <v>0</v>
      </c>
      <c r="J297" s="330" t="str">
        <f t="shared" si="5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4"/>
        <v>0</v>
      </c>
      <c r="J298" s="330" t="str">
        <f t="shared" si="5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4"/>
        <v>0</v>
      </c>
      <c r="J299" s="330" t="str">
        <f t="shared" si="5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4"/>
        <v>0</v>
      </c>
      <c r="J300" s="330" t="str">
        <f t="shared" si="5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4"/>
        <v>0</v>
      </c>
      <c r="J301" s="330" t="str">
        <f t="shared" si="5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4"/>
        <v>0</v>
      </c>
      <c r="J302" s="330" t="str">
        <f t="shared" si="5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4"/>
        <v>0</v>
      </c>
      <c r="J303" s="330" t="str">
        <f t="shared" si="5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4"/>
        <v>0</v>
      </c>
      <c r="J304" s="330" t="str">
        <f t="shared" si="5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4"/>
        <v>0</v>
      </c>
      <c r="J305" s="330" t="str">
        <f t="shared" si="5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9">SUM(C307:C316)</f>
        <v>0</v>
      </c>
      <c r="D306" s="444">
        <f t="shared" si="59"/>
        <v>0</v>
      </c>
      <c r="E306" s="441">
        <f t="shared" si="59"/>
        <v>0</v>
      </c>
      <c r="F306" s="443">
        <f t="shared" si="59"/>
        <v>0</v>
      </c>
      <c r="G306" s="441">
        <f t="shared" si="59"/>
        <v>0</v>
      </c>
      <c r="H306" s="443">
        <f t="shared" si="59"/>
        <v>0</v>
      </c>
      <c r="I306" s="44">
        <f t="shared" si="54"/>
        <v>0</v>
      </c>
      <c r="J306" s="330" t="str">
        <f t="shared" si="55"/>
        <v/>
      </c>
      <c r="K306" s="442">
        <f t="shared" si="5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60">SUM(C318:C327)</f>
        <v>0</v>
      </c>
      <c r="D317" s="444">
        <f t="shared" si="60"/>
        <v>0</v>
      </c>
      <c r="E317" s="441">
        <f t="shared" si="60"/>
        <v>0</v>
      </c>
      <c r="F317" s="443">
        <f t="shared" si="60"/>
        <v>0</v>
      </c>
      <c r="G317" s="441">
        <f t="shared" si="60"/>
        <v>0</v>
      </c>
      <c r="H317" s="443">
        <f t="shared" si="60"/>
        <v>0</v>
      </c>
      <c r="I317" s="44">
        <f t="shared" si="54"/>
        <v>0</v>
      </c>
      <c r="J317" s="330" t="str">
        <f t="shared" si="55"/>
        <v/>
      </c>
      <c r="K317" s="442">
        <f t="shared" si="6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61">G326-H326</f>
        <v>0</v>
      </c>
      <c r="J326" s="330" t="str">
        <f t="shared" ref="J326:J341" si="6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61"/>
        <v>0</v>
      </c>
      <c r="J327" s="330" t="str">
        <f t="shared" si="6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63">SUM(C329:C338)</f>
        <v>0</v>
      </c>
      <c r="D328" s="444">
        <f t="shared" si="63"/>
        <v>0</v>
      </c>
      <c r="E328" s="441">
        <f t="shared" si="63"/>
        <v>0</v>
      </c>
      <c r="F328" s="443">
        <f t="shared" si="63"/>
        <v>0</v>
      </c>
      <c r="G328" s="441">
        <f t="shared" si="63"/>
        <v>0</v>
      </c>
      <c r="H328" s="443">
        <f t="shared" si="63"/>
        <v>0</v>
      </c>
      <c r="I328" s="44">
        <f t="shared" si="61"/>
        <v>0</v>
      </c>
      <c r="J328" s="330" t="str">
        <f t="shared" si="62"/>
        <v/>
      </c>
      <c r="K328" s="442">
        <f t="shared" si="6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61"/>
        <v>0</v>
      </c>
      <c r="J329" s="330" t="str">
        <f t="shared" si="6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61"/>
        <v>0</v>
      </c>
      <c r="J330" s="330" t="str">
        <f t="shared" si="6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61"/>
        <v>0</v>
      </c>
      <c r="J331" s="330" t="str">
        <f t="shared" si="6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61"/>
        <v>0</v>
      </c>
      <c r="J332" s="330" t="str">
        <f t="shared" si="6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61"/>
        <v>0</v>
      </c>
      <c r="J333" s="330" t="str">
        <f t="shared" si="6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61"/>
        <v>0</v>
      </c>
      <c r="J334" s="330" t="str">
        <f t="shared" si="6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61"/>
        <v>0</v>
      </c>
      <c r="J335" s="330" t="str">
        <f t="shared" si="6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61"/>
        <v>0</v>
      </c>
      <c r="J336" s="330" t="str">
        <f t="shared" si="6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61"/>
        <v>0</v>
      </c>
      <c r="J337" s="330" t="str">
        <f t="shared" si="6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61"/>
        <v>0</v>
      </c>
      <c r="J338" s="330" t="str">
        <f t="shared" si="62"/>
        <v/>
      </c>
      <c r="K338" s="395"/>
      <c r="L338" s="452">
        <f t="shared" ref="L338:W338" si="64">SUM(L173:L249)</f>
        <v>0</v>
      </c>
      <c r="M338" s="453">
        <f t="shared" si="64"/>
        <v>0</v>
      </c>
      <c r="N338" s="453">
        <f t="shared" si="64"/>
        <v>0</v>
      </c>
      <c r="O338" s="453">
        <f t="shared" si="64"/>
        <v>0</v>
      </c>
      <c r="P338" s="453">
        <f t="shared" si="64"/>
        <v>0</v>
      </c>
      <c r="Q338" s="453">
        <f t="shared" si="64"/>
        <v>0</v>
      </c>
      <c r="R338" s="453">
        <f t="shared" si="64"/>
        <v>0</v>
      </c>
      <c r="S338" s="453">
        <f t="shared" si="64"/>
        <v>0</v>
      </c>
      <c r="T338" s="453">
        <f t="shared" si="64"/>
        <v>0</v>
      </c>
      <c r="U338" s="453">
        <f t="shared" si="64"/>
        <v>0</v>
      </c>
      <c r="V338" s="453">
        <f t="shared" si="64"/>
        <v>0</v>
      </c>
      <c r="W338" s="453">
        <f t="shared" si="64"/>
        <v>0</v>
      </c>
    </row>
    <row r="339" spans="1:24" ht="12.75" customHeight="1" x14ac:dyDescent="0.25">
      <c r="A339" s="447" t="s">
        <v>634</v>
      </c>
      <c r="B339" s="445">
        <v>2</v>
      </c>
      <c r="C339" s="508">
        <f t="shared" ref="C339:H339" si="65">C174+C185+C196+C207+C218+C229+C240+C251+C262++C273+C284+C295+C306+C317+C328</f>
        <v>0</v>
      </c>
      <c r="D339" s="475">
        <f t="shared" si="65"/>
        <v>5516477469.544631</v>
      </c>
      <c r="E339" s="430">
        <f t="shared" si="65"/>
        <v>5673151026.6970739</v>
      </c>
      <c r="F339" s="474">
        <f t="shared" si="65"/>
        <v>421392568.9600001</v>
      </c>
      <c r="G339" s="430">
        <f t="shared" si="65"/>
        <v>3983965003.5300007</v>
      </c>
      <c r="H339" s="474">
        <f t="shared" si="65"/>
        <v>4254863270.0228052</v>
      </c>
      <c r="I339" s="430">
        <f t="shared" si="61"/>
        <v>-270898266.49280453</v>
      </c>
      <c r="J339" s="430">
        <f t="shared" si="62"/>
        <v>-6.3667913467722922E-2</v>
      </c>
      <c r="K339" s="513">
        <f>K174+K185+K196+K207+K218+K229+K240+K251+K262++K273+K284+K295+K306+K317+K328</f>
        <v>5673151026.6970739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1"/>
        <v>0</v>
      </c>
      <c r="J340" s="50" t="str">
        <f t="shared" si="62"/>
        <v/>
      </c>
      <c r="K340" s="194"/>
      <c r="L340" s="480">
        <f t="shared" ref="L340:W340" si="66">L170-L338</f>
        <v>0</v>
      </c>
      <c r="M340" s="481">
        <f t="shared" si="66"/>
        <v>0</v>
      </c>
      <c r="N340" s="481">
        <f t="shared" si="66"/>
        <v>0</v>
      </c>
      <c r="O340" s="481">
        <f t="shared" si="66"/>
        <v>0</v>
      </c>
      <c r="P340" s="481">
        <f t="shared" si="66"/>
        <v>0</v>
      </c>
      <c r="Q340" s="481">
        <f t="shared" si="66"/>
        <v>0</v>
      </c>
      <c r="R340" s="481">
        <f t="shared" si="66"/>
        <v>0</v>
      </c>
      <c r="S340" s="481">
        <f t="shared" si="66"/>
        <v>0</v>
      </c>
      <c r="T340" s="481">
        <f t="shared" si="66"/>
        <v>0</v>
      </c>
      <c r="U340" s="481">
        <f t="shared" si="66"/>
        <v>0</v>
      </c>
      <c r="V340" s="481">
        <f t="shared" si="66"/>
        <v>0</v>
      </c>
      <c r="W340" s="481">
        <f t="shared" si="66"/>
        <v>0</v>
      </c>
    </row>
    <row r="341" spans="1:24" s="486" customFormat="1" ht="11.25" customHeight="1" thickTop="1" x14ac:dyDescent="0.25">
      <c r="A341" s="886" t="str">
        <f>result</f>
        <v>Surplus/ (Deficit) for the year</v>
      </c>
      <c r="B341" s="477">
        <v>2</v>
      </c>
      <c r="C341" s="509">
        <f t="shared" ref="C341:H341" si="67">C171-C339</f>
        <v>0</v>
      </c>
      <c r="D341" s="512">
        <f t="shared" si="67"/>
        <v>927224369.32743359</v>
      </c>
      <c r="E341" s="55">
        <f t="shared" si="67"/>
        <v>921771505.17499065</v>
      </c>
      <c r="F341" s="479">
        <f t="shared" si="67"/>
        <v>138007618.35999995</v>
      </c>
      <c r="G341" s="55">
        <f t="shared" si="67"/>
        <v>685759885.57999897</v>
      </c>
      <c r="H341" s="479">
        <f t="shared" si="67"/>
        <v>691328628.88124275</v>
      </c>
      <c r="I341" s="55">
        <f t="shared" si="61"/>
        <v>-5568743.301243782</v>
      </c>
      <c r="J341" s="55">
        <f t="shared" si="62"/>
        <v>-8.0551319135380214E-3</v>
      </c>
      <c r="K341" s="235">
        <f>K171-K339</f>
        <v>921771505.17499065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G32" sqref="G32"/>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"&amp;S71B&amp; " - "&amp;date</f>
        <v>KZN225 Msunduzi - Table C4 Consolidated Monthly Budget Statement - Financial Performance (revenue and expenditure)  - Q3 Third Quarter</v>
      </c>
      <c r="B1" s="1055"/>
      <c r="C1" s="1055"/>
      <c r="D1" s="1055"/>
      <c r="E1" s="1055"/>
      <c r="F1" s="1055"/>
      <c r="G1" s="1055"/>
      <c r="H1" s="1055"/>
      <c r="I1" s="1055"/>
      <c r="J1" s="1055"/>
      <c r="K1" s="1055"/>
    </row>
    <row r="2" spans="1:11" x14ac:dyDescent="0.25">
      <c r="A2" s="1044" t="str">
        <f>desc</f>
        <v>Description</v>
      </c>
      <c r="B2" s="1053" t="str">
        <f>head27</f>
        <v>Ref</v>
      </c>
      <c r="C2" s="158" t="str">
        <f>Head1</f>
        <v>2019/20</v>
      </c>
      <c r="D2" s="1039" t="str">
        <f>Head2</f>
        <v>Budget Year 2020/21</v>
      </c>
      <c r="E2" s="1040"/>
      <c r="F2" s="1040"/>
      <c r="G2" s="1040"/>
      <c r="H2" s="1040"/>
      <c r="I2" s="1040"/>
      <c r="J2" s="1040"/>
      <c r="K2" s="1041"/>
    </row>
    <row r="3" spans="1:11" ht="25.5" x14ac:dyDescent="0.25">
      <c r="A3" s="1045"/>
      <c r="B3" s="1054"/>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100165168.69</v>
      </c>
      <c r="G6" s="733">
        <v>913041670.25999999</v>
      </c>
      <c r="H6" s="733">
        <f t="shared" ref="H6:H8" si="0">E6/12*9</f>
        <v>952345945.51634979</v>
      </c>
      <c r="I6" s="44">
        <f t="shared" ref="I6:I22" si="1">G6-H6</f>
        <v>-39304275.256349802</v>
      </c>
      <c r="J6" s="330">
        <f t="shared" ref="J6:J22" si="2">IF(I6=0,"",I6/H6)</f>
        <v>-4.1271006026113256E-2</v>
      </c>
      <c r="K6" s="735">
        <f>E6</f>
        <v>1269794594.0217998</v>
      </c>
    </row>
    <row r="7" spans="1:11" ht="11.25" customHeight="1" x14ac:dyDescent="0.25">
      <c r="A7" s="39" t="s">
        <v>834</v>
      </c>
      <c r="B7" s="419"/>
      <c r="C7" s="748"/>
      <c r="D7" s="745">
        <v>2584775677.1378117</v>
      </c>
      <c r="E7" s="733">
        <v>2584775677.1378117</v>
      </c>
      <c r="F7" s="733">
        <v>175100957.37</v>
      </c>
      <c r="G7" s="733">
        <v>1720261511.3199999</v>
      </c>
      <c r="H7" s="733">
        <f t="shared" si="0"/>
        <v>1938581757.8533587</v>
      </c>
      <c r="I7" s="44">
        <f t="shared" si="1"/>
        <v>-218320246.53335881</v>
      </c>
      <c r="J7" s="330">
        <f t="shared" si="2"/>
        <v>-0.11261853963544484</v>
      </c>
      <c r="K7" s="735">
        <f>E7</f>
        <v>2584775677.1378117</v>
      </c>
    </row>
    <row r="8" spans="1:11" ht="11.25" customHeight="1" x14ac:dyDescent="0.25">
      <c r="A8" s="86" t="s">
        <v>835</v>
      </c>
      <c r="B8" s="421"/>
      <c r="C8" s="748"/>
      <c r="D8" s="745">
        <v>722633094.82360029</v>
      </c>
      <c r="E8" s="733">
        <v>722633094.82360029</v>
      </c>
      <c r="F8" s="733">
        <v>56689814.329999998</v>
      </c>
      <c r="G8" s="733">
        <v>577983598.88</v>
      </c>
      <c r="H8" s="733">
        <f t="shared" si="0"/>
        <v>541974821.11770022</v>
      </c>
      <c r="I8" s="44">
        <f t="shared" si="1"/>
        <v>36008777.762299776</v>
      </c>
      <c r="J8" s="330">
        <f t="shared" si="2"/>
        <v>6.6439945841099843E-2</v>
      </c>
      <c r="K8" s="735">
        <f>E8</f>
        <v>722633094.82360029</v>
      </c>
    </row>
    <row r="9" spans="1:11" ht="11.25" customHeight="1" x14ac:dyDescent="0.25">
      <c r="A9" s="86" t="s">
        <v>836</v>
      </c>
      <c r="B9" s="421"/>
      <c r="C9" s="748"/>
      <c r="D9" s="745">
        <v>152021749.3608</v>
      </c>
      <c r="E9" s="733">
        <v>152021749.3608</v>
      </c>
      <c r="F9" s="733">
        <v>13881073.65</v>
      </c>
      <c r="G9" s="733">
        <v>118170515.47</v>
      </c>
      <c r="H9" s="733">
        <f>E9/12*9</f>
        <v>114016312.02059999</v>
      </c>
      <c r="I9" s="44">
        <f t="shared" si="1"/>
        <v>4154203.4494000077</v>
      </c>
      <c r="J9" s="330">
        <f t="shared" si="2"/>
        <v>3.6435167703454951E-2</v>
      </c>
      <c r="K9" s="735">
        <f>E9</f>
        <v>152021749.3608</v>
      </c>
    </row>
    <row r="10" spans="1:11" ht="11.25" customHeight="1" x14ac:dyDescent="0.25">
      <c r="A10" s="517" t="s">
        <v>72</v>
      </c>
      <c r="B10" s="421"/>
      <c r="C10" s="748"/>
      <c r="D10" s="745">
        <v>116333080.9707</v>
      </c>
      <c r="E10" s="733">
        <v>116333080.9707</v>
      </c>
      <c r="F10" s="733">
        <v>8943440.6099999994</v>
      </c>
      <c r="G10" s="733">
        <v>80203759.939999998</v>
      </c>
      <c r="H10" s="733">
        <f>E10/12*9</f>
        <v>87249810.728024989</v>
      </c>
      <c r="I10" s="44">
        <f t="shared" si="1"/>
        <v>-7046050.7880249918</v>
      </c>
      <c r="J10" s="330">
        <f t="shared" si="2"/>
        <v>-8.0757204276223973E-2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2034278.24</v>
      </c>
      <c r="G12" s="733">
        <v>8969876.7100000009</v>
      </c>
      <c r="H12" s="733">
        <f t="shared" ref="H12:H14" si="3">E12/12*9</f>
        <v>21809098.220249996</v>
      </c>
      <c r="I12" s="44">
        <f t="shared" si="1"/>
        <v>-12839221.510249995</v>
      </c>
      <c r="J12" s="330">
        <f t="shared" si="2"/>
        <v>-0.58870941753697237</v>
      </c>
      <c r="K12" s="735">
        <f>E12</f>
        <v>29078797.626999993</v>
      </c>
    </row>
    <row r="13" spans="1:11" ht="11.25" customHeight="1" x14ac:dyDescent="0.25">
      <c r="A13" s="86" t="s">
        <v>838</v>
      </c>
      <c r="B13" s="421"/>
      <c r="C13" s="748"/>
      <c r="D13" s="745">
        <v>15260422.42725</v>
      </c>
      <c r="E13" s="733">
        <v>15369322.42725</v>
      </c>
      <c r="F13" s="733">
        <v>648954.51</v>
      </c>
      <c r="G13" s="733">
        <v>5433647.0099999998</v>
      </c>
      <c r="H13" s="733">
        <f t="shared" si="3"/>
        <v>11526991.8204375</v>
      </c>
      <c r="I13" s="44">
        <f t="shared" si="1"/>
        <v>-6093344.8104375005</v>
      </c>
      <c r="J13" s="330">
        <f t="shared" si="2"/>
        <v>-0.5286153495514696</v>
      </c>
      <c r="K13" s="735">
        <f>E13</f>
        <v>15369322.42725</v>
      </c>
    </row>
    <row r="14" spans="1:11" ht="11.25" customHeight="1" x14ac:dyDescent="0.25">
      <c r="A14" s="86" t="s">
        <v>839</v>
      </c>
      <c r="B14" s="421"/>
      <c r="C14" s="748"/>
      <c r="D14" s="745">
        <v>202457793.88559997</v>
      </c>
      <c r="E14" s="733">
        <v>202457793.88559997</v>
      </c>
      <c r="F14" s="733">
        <v>16099136.67</v>
      </c>
      <c r="G14" s="733">
        <v>141681521.63999999</v>
      </c>
      <c r="H14" s="733">
        <f t="shared" si="3"/>
        <v>151843345.41419998</v>
      </c>
      <c r="I14" s="44">
        <f t="shared" si="1"/>
        <v>-10161823.774199992</v>
      </c>
      <c r="J14" s="330">
        <f t="shared" si="2"/>
        <v>-6.6923076190665162E-2</v>
      </c>
      <c r="K14" s="735">
        <f>E14</f>
        <v>202457793.88559997</v>
      </c>
    </row>
    <row r="15" spans="1:11" ht="11.25" customHeight="1" x14ac:dyDescent="0.25">
      <c r="A15" s="86" t="s">
        <v>921</v>
      </c>
      <c r="B15" s="421"/>
      <c r="C15" s="748"/>
      <c r="D15" s="745"/>
      <c r="E15" s="733">
        <v>0</v>
      </c>
      <c r="F15" s="733"/>
      <c r="G15" s="733"/>
      <c r="H15" s="733"/>
      <c r="I15" s="44">
        <f t="shared" si="1"/>
        <v>0</v>
      </c>
      <c r="J15" s="330" t="str">
        <f t="shared" si="2"/>
        <v/>
      </c>
      <c r="K15" s="735"/>
    </row>
    <row r="16" spans="1:11" ht="11.25" customHeight="1" x14ac:dyDescent="0.25">
      <c r="A16" s="86" t="s">
        <v>1117</v>
      </c>
      <c r="B16" s="421"/>
      <c r="C16" s="748"/>
      <c r="D16" s="745">
        <v>1798551.4436999999</v>
      </c>
      <c r="E16" s="733">
        <v>1798551.4436999999</v>
      </c>
      <c r="F16" s="733">
        <v>62586.95</v>
      </c>
      <c r="G16" s="733">
        <v>479598.67</v>
      </c>
      <c r="H16" s="733">
        <f t="shared" ref="H16:H20" si="4">E16/12*9</f>
        <v>1348913.582775</v>
      </c>
      <c r="I16" s="44">
        <f t="shared" si="1"/>
        <v>-869314.91277500009</v>
      </c>
      <c r="J16" s="330">
        <f t="shared" si="2"/>
        <v>-0.64445560032588289</v>
      </c>
      <c r="K16" s="735">
        <f>E16</f>
        <v>1798551.4436999999</v>
      </c>
    </row>
    <row r="17" spans="1:11" ht="11.25" customHeight="1" x14ac:dyDescent="0.25">
      <c r="A17" s="86" t="s">
        <v>840</v>
      </c>
      <c r="B17" s="421"/>
      <c r="C17" s="748"/>
      <c r="D17" s="745">
        <v>1119569.0055</v>
      </c>
      <c r="E17" s="733">
        <v>1119569.0055</v>
      </c>
      <c r="F17" s="733">
        <v>113092.71</v>
      </c>
      <c r="G17" s="733">
        <v>456633.8</v>
      </c>
      <c r="H17" s="733">
        <f t="shared" si="4"/>
        <v>839676.75412499998</v>
      </c>
      <c r="I17" s="44">
        <f t="shared" si="1"/>
        <v>-383042.95412499999</v>
      </c>
      <c r="J17" s="330">
        <f t="shared" si="2"/>
        <v>-0.45617906205365499</v>
      </c>
      <c r="K17" s="735">
        <f>E17</f>
        <v>1119569.0055</v>
      </c>
    </row>
    <row r="18" spans="1:11" ht="11.25" customHeight="1" x14ac:dyDescent="0.25">
      <c r="A18" s="86" t="s">
        <v>580</v>
      </c>
      <c r="B18" s="421"/>
      <c r="C18" s="748"/>
      <c r="D18" s="745">
        <v>601902.02599999995</v>
      </c>
      <c r="E18" s="733">
        <v>601902.02599999995</v>
      </c>
      <c r="F18" s="733">
        <v>380500</v>
      </c>
      <c r="G18" s="733">
        <v>1397800</v>
      </c>
      <c r="H18" s="733">
        <f t="shared" si="4"/>
        <v>451426.51949999999</v>
      </c>
      <c r="I18" s="44">
        <f t="shared" si="1"/>
        <v>946373.48050000006</v>
      </c>
      <c r="J18" s="330">
        <f t="shared" si="2"/>
        <v>2.0964064795045787</v>
      </c>
      <c r="K18" s="735">
        <f>E18</f>
        <v>601902.02599999995</v>
      </c>
    </row>
    <row r="19" spans="1:11" ht="11.25" customHeight="1" x14ac:dyDescent="0.25">
      <c r="A19" s="518" t="s">
        <v>1118</v>
      </c>
      <c r="B19" s="421"/>
      <c r="C19" s="748"/>
      <c r="D19" s="745">
        <v>675483240</v>
      </c>
      <c r="E19" s="733">
        <v>819982787</v>
      </c>
      <c r="F19" s="733">
        <v>156240288.65000001</v>
      </c>
      <c r="G19" s="733">
        <v>734264386.21000004</v>
      </c>
      <c r="H19" s="733">
        <f t="shared" si="4"/>
        <v>614987090.25</v>
      </c>
      <c r="I19" s="44">
        <f t="shared" si="1"/>
        <v>119277295.96000004</v>
      </c>
      <c r="J19" s="330">
        <f t="shared" si="2"/>
        <v>0.19395089401228294</v>
      </c>
      <c r="K19" s="735">
        <f>E19</f>
        <v>819982787</v>
      </c>
    </row>
    <row r="20" spans="1:11" ht="11.25" customHeight="1" x14ac:dyDescent="0.25">
      <c r="A20" s="86" t="s">
        <v>453</v>
      </c>
      <c r="B20" s="421"/>
      <c r="C20" s="748"/>
      <c r="D20" s="745">
        <v>146451785.14229998</v>
      </c>
      <c r="E20" s="733">
        <v>146451785.14229998</v>
      </c>
      <c r="F20" s="733">
        <v>6810054.2200000007</v>
      </c>
      <c r="G20" s="733">
        <v>59843496.159999996</v>
      </c>
      <c r="H20" s="733">
        <f t="shared" si="4"/>
        <v>109838838.85672499</v>
      </c>
      <c r="I20" s="44">
        <f t="shared" si="1"/>
        <v>-49995342.696724996</v>
      </c>
      <c r="J20" s="330">
        <f t="shared" si="2"/>
        <v>-0.45516998556348071</v>
      </c>
      <c r="K20" s="735">
        <f>E20</f>
        <v>146451785.14229998</v>
      </c>
    </row>
    <row r="21" spans="1:11" ht="11.25" customHeight="1" x14ac:dyDescent="0.25">
      <c r="A21" s="990" t="s">
        <v>1369</v>
      </c>
      <c r="B21" s="419"/>
      <c r="C21" s="748"/>
      <c r="D21" s="745"/>
      <c r="E21" s="733"/>
      <c r="F21" s="733"/>
      <c r="G21" s="733"/>
      <c r="H21" s="733"/>
      <c r="I21" s="44">
        <f t="shared" si="1"/>
        <v>0</v>
      </c>
      <c r="J21" s="330" t="str">
        <f t="shared" si="2"/>
        <v/>
      </c>
      <c r="K21" s="735"/>
    </row>
    <row r="22" spans="1:11" ht="24.75" customHeight="1" x14ac:dyDescent="0.25">
      <c r="A22" s="586" t="s">
        <v>134</v>
      </c>
      <c r="B22" s="587"/>
      <c r="C22" s="522">
        <f t="shared" ref="C22:H22" si="5">SUM(C6:C10)+SUM(C12:C21)</f>
        <v>0</v>
      </c>
      <c r="D22" s="523">
        <f t="shared" si="5"/>
        <v>5917810257.8720617</v>
      </c>
      <c r="E22" s="524">
        <f t="shared" si="5"/>
        <v>6062418704.8720617</v>
      </c>
      <c r="F22" s="524">
        <f t="shared" si="5"/>
        <v>537169346.60000002</v>
      </c>
      <c r="G22" s="524">
        <f t="shared" si="5"/>
        <v>4362188016.0699997</v>
      </c>
      <c r="H22" s="524">
        <f t="shared" si="5"/>
        <v>4546814028.6540461</v>
      </c>
      <c r="I22" s="524">
        <f t="shared" si="1"/>
        <v>-184626012.58404636</v>
      </c>
      <c r="J22" s="525">
        <f t="shared" si="2"/>
        <v>-4.0605578196190178E-2</v>
      </c>
      <c r="K22" s="526">
        <f>SUM(K6:K10)+SUM(K12:K21)</f>
        <v>6062418704.8720617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1474657970.2495086</v>
      </c>
      <c r="F25" s="733">
        <v>106639899.91999997</v>
      </c>
      <c r="G25" s="733">
        <v>1022274013.5300012</v>
      </c>
      <c r="H25" s="733">
        <f t="shared" ref="H25:H35" si="6">E25/12*9</f>
        <v>1105993477.6871314</v>
      </c>
      <c r="I25" s="44">
        <f t="shared" ref="I25:I36" si="7">G25-H25</f>
        <v>-83719464.157130241</v>
      </c>
      <c r="J25" s="330">
        <f t="shared" ref="J25:J41" si="8">IF(I25=0,"",I25/H25)</f>
        <v>-7.5696164440504227E-2</v>
      </c>
      <c r="K25" s="735">
        <f t="shared" ref="K25:K35" si="9">E25</f>
        <v>1474657970.2495086</v>
      </c>
    </row>
    <row r="26" spans="1:11" ht="12.75" customHeight="1" x14ac:dyDescent="0.25">
      <c r="A26" s="39" t="s">
        <v>477</v>
      </c>
      <c r="B26" s="419"/>
      <c r="C26" s="748"/>
      <c r="D26" s="745">
        <v>53650401.115479976</v>
      </c>
      <c r="E26" s="733">
        <v>53650401.439999998</v>
      </c>
      <c r="F26" s="733">
        <v>3997359.1</v>
      </c>
      <c r="G26" s="733">
        <v>39550378.029999994</v>
      </c>
      <c r="H26" s="733">
        <f t="shared" si="6"/>
        <v>40237801.079999998</v>
      </c>
      <c r="I26" s="44">
        <f t="shared" si="7"/>
        <v>-687423.05000000447</v>
      </c>
      <c r="J26" s="330">
        <f t="shared" si="8"/>
        <v>-1.7084011341307732E-2</v>
      </c>
      <c r="K26" s="735">
        <f t="shared" si="9"/>
        <v>53650401.439999998</v>
      </c>
    </row>
    <row r="27" spans="1:11" ht="12.75" customHeight="1" x14ac:dyDescent="0.25">
      <c r="A27" s="86" t="s">
        <v>611</v>
      </c>
      <c r="B27" s="421"/>
      <c r="C27" s="748"/>
      <c r="D27" s="745">
        <v>123904143.27200001</v>
      </c>
      <c r="E27" s="733">
        <v>123904143.27200001</v>
      </c>
      <c r="F27" s="733">
        <v>559600.28</v>
      </c>
      <c r="G27" s="733">
        <v>82054508</v>
      </c>
      <c r="H27" s="733">
        <f t="shared" si="6"/>
        <v>92928107.454000011</v>
      </c>
      <c r="I27" s="44">
        <f t="shared" si="7"/>
        <v>-10873599.454000011</v>
      </c>
      <c r="J27" s="330">
        <f t="shared" si="8"/>
        <v>-0.11701087810684739</v>
      </c>
      <c r="K27" s="735">
        <f t="shared" si="9"/>
        <v>123904143.27200001</v>
      </c>
    </row>
    <row r="28" spans="1:11" ht="12.75" customHeight="1" x14ac:dyDescent="0.25">
      <c r="A28" s="86" t="s">
        <v>664</v>
      </c>
      <c r="B28" s="421"/>
      <c r="C28" s="748"/>
      <c r="D28" s="745">
        <v>489941448.27473986</v>
      </c>
      <c r="E28" s="733">
        <v>482441449.27473998</v>
      </c>
      <c r="F28" s="733">
        <v>36057058.489999942</v>
      </c>
      <c r="G28" s="733">
        <v>317277298.43000007</v>
      </c>
      <c r="H28" s="733">
        <f t="shared" si="6"/>
        <v>361831086.95605499</v>
      </c>
      <c r="I28" s="44">
        <f t="shared" si="7"/>
        <v>-44553788.526054919</v>
      </c>
      <c r="J28" s="330">
        <f t="shared" si="8"/>
        <v>-0.12313421961852065</v>
      </c>
      <c r="K28" s="735">
        <f t="shared" si="9"/>
        <v>482441449.27473998</v>
      </c>
    </row>
    <row r="29" spans="1:11" ht="12.75" customHeight="1" x14ac:dyDescent="0.25">
      <c r="A29" s="86" t="s">
        <v>452</v>
      </c>
      <c r="B29" s="421"/>
      <c r="C29" s="748"/>
      <c r="D29" s="745">
        <v>31793212.220000003</v>
      </c>
      <c r="E29" s="733">
        <v>36505334.219999969</v>
      </c>
      <c r="F29" s="733">
        <v>2879298.91</v>
      </c>
      <c r="G29" s="733">
        <v>27849273.010000002</v>
      </c>
      <c r="H29" s="733">
        <f t="shared" si="6"/>
        <v>27379000.664999977</v>
      </c>
      <c r="I29" s="44">
        <f t="shared" si="7"/>
        <v>470272.34500002488</v>
      </c>
      <c r="J29" s="330">
        <f t="shared" si="8"/>
        <v>1.7176388238347898E-2</v>
      </c>
      <c r="K29" s="735">
        <f t="shared" si="9"/>
        <v>36505334.219999969</v>
      </c>
    </row>
    <row r="30" spans="1:11" ht="12.75" customHeight="1" x14ac:dyDescent="0.25">
      <c r="A30" s="86" t="s">
        <v>844</v>
      </c>
      <c r="B30" s="421"/>
      <c r="C30" s="748"/>
      <c r="D30" s="745">
        <v>2608224084.5041752</v>
      </c>
      <c r="E30" s="733">
        <v>2551671974.5041752</v>
      </c>
      <c r="F30" s="733">
        <v>192520364.57999998</v>
      </c>
      <c r="G30" s="733">
        <v>1961626542.9300003</v>
      </c>
      <c r="H30" s="733">
        <f t="shared" si="6"/>
        <v>1913753980.8781314</v>
      </c>
      <c r="I30" s="44">
        <f t="shared" si="7"/>
        <v>47872562.051868916</v>
      </c>
      <c r="J30" s="330">
        <f t="shared" si="8"/>
        <v>2.5015003250262322E-2</v>
      </c>
      <c r="K30" s="735">
        <f t="shared" si="9"/>
        <v>2551671974.5041752</v>
      </c>
    </row>
    <row r="31" spans="1:11" ht="12.75" customHeight="1" x14ac:dyDescent="0.25">
      <c r="A31" s="86" t="s">
        <v>920</v>
      </c>
      <c r="B31" s="421"/>
      <c r="C31" s="748"/>
      <c r="D31" s="745">
        <v>46613414.686963424</v>
      </c>
      <c r="E31" s="733">
        <v>66137657.143800952</v>
      </c>
      <c r="F31" s="733">
        <v>5450652.1099999994</v>
      </c>
      <c r="G31" s="733">
        <v>28707880.570000004</v>
      </c>
      <c r="H31" s="733">
        <f t="shared" si="6"/>
        <v>49603242.857850716</v>
      </c>
      <c r="I31" s="44">
        <f t="shared" si="7"/>
        <v>-20895362.287850711</v>
      </c>
      <c r="J31" s="330">
        <f t="shared" si="8"/>
        <v>-0.42124992407716338</v>
      </c>
      <c r="K31" s="735">
        <f t="shared" si="9"/>
        <v>66137657.143800952</v>
      </c>
    </row>
    <row r="32" spans="1:11" ht="12.75" customHeight="1" x14ac:dyDescent="0.25">
      <c r="A32" s="86" t="s">
        <v>845</v>
      </c>
      <c r="B32" s="421"/>
      <c r="C32" s="748"/>
      <c r="D32" s="745">
        <v>464722594.2633999</v>
      </c>
      <c r="E32" s="733">
        <v>636216030.0508498</v>
      </c>
      <c r="F32" s="733">
        <v>57345218.710000031</v>
      </c>
      <c r="G32" s="733">
        <v>359204769.03999978</v>
      </c>
      <c r="H32" s="733">
        <f t="shared" si="6"/>
        <v>477162022.53813732</v>
      </c>
      <c r="I32" s="44">
        <f t="shared" si="7"/>
        <v>-117957253.49813753</v>
      </c>
      <c r="J32" s="330">
        <f t="shared" si="8"/>
        <v>-0.24720587122733509</v>
      </c>
      <c r="K32" s="735">
        <f t="shared" si="9"/>
        <v>636216030.0508498</v>
      </c>
    </row>
    <row r="33" spans="1:12" ht="12.75" customHeight="1" x14ac:dyDescent="0.25">
      <c r="A33" s="517" t="s">
        <v>1118</v>
      </c>
      <c r="B33" s="421"/>
      <c r="C33" s="748"/>
      <c r="D33" s="745">
        <v>25080461.44304001</v>
      </c>
      <c r="E33" s="733">
        <v>59680462</v>
      </c>
      <c r="F33" s="733">
        <v>2628957.9500000002</v>
      </c>
      <c r="G33" s="733">
        <v>34111917.270000003</v>
      </c>
      <c r="H33" s="733">
        <f t="shared" si="6"/>
        <v>44760346.5</v>
      </c>
      <c r="I33" s="44">
        <f t="shared" si="7"/>
        <v>-10648429.229999997</v>
      </c>
      <c r="J33" s="330">
        <f t="shared" si="8"/>
        <v>-0.23789872203067053</v>
      </c>
      <c r="K33" s="735">
        <f t="shared" si="9"/>
        <v>59680462</v>
      </c>
    </row>
    <row r="34" spans="1:12" ht="12.75" customHeight="1" x14ac:dyDescent="0.25">
      <c r="A34" s="86" t="s">
        <v>434</v>
      </c>
      <c r="B34" s="421"/>
      <c r="C34" s="748"/>
      <c r="D34" s="745">
        <v>194223408.19064996</v>
      </c>
      <c r="E34" s="733">
        <v>188215605.26623628</v>
      </c>
      <c r="F34" s="733">
        <v>13314158.909999993</v>
      </c>
      <c r="G34" s="733">
        <v>111308422.71999985</v>
      </c>
      <c r="H34" s="733">
        <f t="shared" si="6"/>
        <v>141161703.9496772</v>
      </c>
      <c r="I34" s="44">
        <f t="shared" si="7"/>
        <v>-29853281.229677349</v>
      </c>
      <c r="J34" s="330">
        <f t="shared" si="8"/>
        <v>-0.21148286252140849</v>
      </c>
      <c r="K34" s="735">
        <f t="shared" si="9"/>
        <v>188215605.26623628</v>
      </c>
    </row>
    <row r="35" spans="1:12" ht="12.75" customHeight="1" x14ac:dyDescent="0.25">
      <c r="A35" s="990" t="s">
        <v>1370</v>
      </c>
      <c r="B35" s="419"/>
      <c r="C35" s="748"/>
      <c r="D35" s="745"/>
      <c r="E35" s="733">
        <v>70000</v>
      </c>
      <c r="F35" s="733"/>
      <c r="G35" s="733"/>
      <c r="H35" s="733">
        <f t="shared" si="6"/>
        <v>52500</v>
      </c>
      <c r="I35" s="44">
        <f t="shared" si="7"/>
        <v>-52500</v>
      </c>
      <c r="J35" s="330">
        <f t="shared" si="8"/>
        <v>-1</v>
      </c>
      <c r="K35" s="735">
        <f t="shared" si="9"/>
        <v>70000</v>
      </c>
    </row>
    <row r="36" spans="1:12" ht="12.75" customHeight="1" x14ac:dyDescent="0.25">
      <c r="A36" s="92" t="s">
        <v>488</v>
      </c>
      <c r="B36" s="422"/>
      <c r="C36" s="243">
        <f t="shared" ref="C36:K36" si="10">SUM(C25:C35)</f>
        <v>0</v>
      </c>
      <c r="D36" s="74">
        <f>SUM(D25:D35)</f>
        <v>5516477469.5446281</v>
      </c>
      <c r="E36" s="73">
        <f>SUM(E25:E35)</f>
        <v>5673151027.4213114</v>
      </c>
      <c r="F36" s="73">
        <f t="shared" si="10"/>
        <v>421392568.95999986</v>
      </c>
      <c r="G36" s="73">
        <f t="shared" si="10"/>
        <v>3983965003.5300012</v>
      </c>
      <c r="H36" s="73">
        <f t="shared" si="10"/>
        <v>4254863270.5659828</v>
      </c>
      <c r="I36" s="73">
        <f t="shared" si="7"/>
        <v>-270898267.03598166</v>
      </c>
      <c r="J36" s="331">
        <f t="shared" si="8"/>
        <v>-6.3667913587255348E-2</v>
      </c>
      <c r="K36" s="145">
        <f t="shared" si="10"/>
        <v>5673151027.4213114</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401332788.32743359</v>
      </c>
      <c r="E38" s="50">
        <f t="shared" si="11"/>
        <v>389267677.45075035</v>
      </c>
      <c r="F38" s="50">
        <f t="shared" si="11"/>
        <v>115776777.64000016</v>
      </c>
      <c r="G38" s="50">
        <f t="shared" si="11"/>
        <v>378223012.53999853</v>
      </c>
      <c r="H38" s="50">
        <f t="shared" si="11"/>
        <v>291950758.08806324</v>
      </c>
      <c r="I38" s="102">
        <f>I22-I36</f>
        <v>86272254.451935291</v>
      </c>
      <c r="J38" s="102">
        <f t="shared" si="8"/>
        <v>0.29550275881082783</v>
      </c>
      <c r="K38" s="194">
        <f>K22-K36</f>
        <v>389267677.45075035</v>
      </c>
    </row>
    <row r="39" spans="1:12" ht="19.899999999999999" customHeight="1" x14ac:dyDescent="0.25">
      <c r="A39" s="937" t="s">
        <v>1119</v>
      </c>
      <c r="B39" s="419"/>
      <c r="C39" s="748"/>
      <c r="D39" s="745">
        <v>525891580.99999982</v>
      </c>
      <c r="E39" s="733">
        <v>526485334.99999982</v>
      </c>
      <c r="F39" s="733">
        <v>22230840.719999999</v>
      </c>
      <c r="G39" s="733">
        <v>307536873.04000002</v>
      </c>
      <c r="H39" s="733">
        <f>E39/12*9</f>
        <v>394864001.24999982</v>
      </c>
      <c r="I39" s="47">
        <f>G39-H39</f>
        <v>-87327128.2099998</v>
      </c>
      <c r="J39" s="102">
        <f t="shared" si="8"/>
        <v>-0.2211574819014977</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927224369.32743335</v>
      </c>
      <c r="E42" s="254">
        <f t="shared" si="12"/>
        <v>915753012.45075011</v>
      </c>
      <c r="F42" s="254">
        <f t="shared" si="12"/>
        <v>138007618.36000016</v>
      </c>
      <c r="G42" s="254">
        <f t="shared" si="12"/>
        <v>685759885.57999849</v>
      </c>
      <c r="H42" s="254">
        <f t="shared" si="12"/>
        <v>686814759.338063</v>
      </c>
      <c r="I42" s="329"/>
      <c r="J42" s="329"/>
      <c r="K42" s="255">
        <f>K38+SUM(K39:K41)</f>
        <v>915753012.45075011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927224369.32743335</v>
      </c>
      <c r="E44" s="50">
        <f t="shared" si="13"/>
        <v>915753012.45075011</v>
      </c>
      <c r="F44" s="50">
        <f t="shared" si="13"/>
        <v>138007618.36000016</v>
      </c>
      <c r="G44" s="50">
        <f t="shared" si="13"/>
        <v>685759885.57999849</v>
      </c>
      <c r="H44" s="50">
        <f t="shared" si="13"/>
        <v>686814759.338063</v>
      </c>
      <c r="I44" s="327"/>
      <c r="J44" s="327"/>
      <c r="K44" s="194">
        <f>K42-K43</f>
        <v>915753012.45075011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927224369.32743335</v>
      </c>
      <c r="E46" s="528">
        <f t="shared" si="14"/>
        <v>915753012.45075011</v>
      </c>
      <c r="F46" s="528">
        <f t="shared" si="14"/>
        <v>138007618.36000016</v>
      </c>
      <c r="G46" s="528">
        <f t="shared" si="14"/>
        <v>685759885.57999849</v>
      </c>
      <c r="H46" s="528">
        <f t="shared" si="14"/>
        <v>686814759.338063</v>
      </c>
      <c r="I46" s="273"/>
      <c r="J46" s="273"/>
      <c r="K46" s="529">
        <f>SUM(K44:K45)</f>
        <v>915753012.45075011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927224369.32743335</v>
      </c>
      <c r="E48" s="76">
        <f t="shared" si="15"/>
        <v>915753012.45075011</v>
      </c>
      <c r="F48" s="76">
        <f t="shared" si="15"/>
        <v>138007618.36000016</v>
      </c>
      <c r="G48" s="76">
        <f t="shared" si="15"/>
        <v>685759885.57999849</v>
      </c>
      <c r="H48" s="76">
        <f t="shared" si="15"/>
        <v>686814759.338063</v>
      </c>
      <c r="I48" s="334"/>
      <c r="J48" s="334"/>
      <c r="K48" s="234">
        <f>K46+K47</f>
        <v>915753012.45075011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6588904039.8720617</v>
      </c>
      <c r="F53" s="62">
        <f t="shared" si="16"/>
        <v>559400187.32000005</v>
      </c>
      <c r="G53" s="62">
        <f t="shared" si="16"/>
        <v>4669724889.1099997</v>
      </c>
      <c r="H53" s="62">
        <f t="shared" si="16"/>
        <v>4941678029.9040461</v>
      </c>
      <c r="I53" s="62"/>
      <c r="J53" s="62"/>
      <c r="K53" s="62">
        <f>K22+SUM(K39:K41)</f>
        <v>6588904039.8720617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activeCell="R28" sqref="R28"/>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6" t="str">
        <f>muni&amp; " - "&amp;S71D&amp; " - "&amp;date</f>
        <v>KZN225 Msunduzi - Table C5 Consolidated Monthly Budget Statement - Capital Expenditure (municipal vote, functional classification and funding  - Q3 Third Quarter</v>
      </c>
      <c r="B1" s="1046"/>
      <c r="C1" s="1046"/>
      <c r="D1" s="1046"/>
      <c r="E1" s="1046"/>
      <c r="F1" s="1046"/>
      <c r="G1" s="1046"/>
      <c r="H1" s="1046"/>
      <c r="I1" s="1046"/>
      <c r="J1" s="1046"/>
      <c r="K1" s="1046"/>
    </row>
    <row r="2" spans="1:12" x14ac:dyDescent="0.25">
      <c r="A2" s="1044" t="str">
        <f>Vdesc</f>
        <v>Vote Description</v>
      </c>
      <c r="B2" s="1053" t="str">
        <f>head27</f>
        <v>Ref</v>
      </c>
      <c r="C2" s="139" t="str">
        <f>Head1</f>
        <v>2019/20</v>
      </c>
      <c r="D2" s="245" t="str">
        <f>Head2</f>
        <v>Budget Year 2020/21</v>
      </c>
      <c r="E2" s="229"/>
      <c r="F2" s="229"/>
      <c r="G2" s="229"/>
      <c r="H2" s="229"/>
      <c r="I2" s="229"/>
      <c r="J2" s="229"/>
      <c r="K2" s="230"/>
    </row>
    <row r="3" spans="1:12" ht="25.5" x14ac:dyDescent="0.25">
      <c r="A3" s="1045"/>
      <c r="B3" s="1054"/>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1725000</v>
      </c>
      <c r="I6" s="44">
        <f>G6-H6</f>
        <v>-1725000</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837894.08</v>
      </c>
      <c r="G7" s="408">
        <f>'C5C'!G12</f>
        <v>1199440.5699999998</v>
      </c>
      <c r="H7" s="408">
        <f>'C5C'!H12</f>
        <v>3540000</v>
      </c>
      <c r="I7" s="44">
        <f>G7-H7</f>
        <v>-2340559.4300000002</v>
      </c>
      <c r="J7" s="330">
        <f>IF(I7=0,"",I7/H7)</f>
        <v>-0.66117498022598875</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374147.91000000003</v>
      </c>
      <c r="G8" s="408">
        <f>'C5C'!G18</f>
        <v>4702377.6499999994</v>
      </c>
      <c r="H8" s="408">
        <f>'C5C'!H18</f>
        <v>34590030</v>
      </c>
      <c r="I8" s="44">
        <f t="shared" ref="I8:I17" si="0">G8-H8</f>
        <v>-29887652.350000001</v>
      </c>
      <c r="J8" s="330">
        <f t="shared" ref="J8:J17" si="1">IF(I8=0,"",I8/H8)</f>
        <v>-0.86405395861177348</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0</v>
      </c>
      <c r="G9" s="408">
        <f>'C5C'!G23</f>
        <v>0</v>
      </c>
      <c r="H9" s="408">
        <f>'C5C'!H23</f>
        <v>1477500</v>
      </c>
      <c r="I9" s="44">
        <f t="shared" si="0"/>
        <v>-1477500</v>
      </c>
      <c r="J9" s="330">
        <f t="shared" si="1"/>
        <v>-1</v>
      </c>
      <c r="K9" s="642">
        <f>'C5C'!K23</f>
        <v>1970000</v>
      </c>
      <c r="L9" s="697"/>
    </row>
    <row r="10" spans="1:12" ht="13.5" customHeight="1" x14ac:dyDescent="0.25">
      <c r="A10" s="407" t="str">
        <f>'Org structure'!A6</f>
        <v>Vote 5 - Infrastructure Services</v>
      </c>
      <c r="B10" s="419"/>
      <c r="C10" s="648">
        <f>'C5C'!C29</f>
        <v>0</v>
      </c>
      <c r="D10" s="670">
        <f>'C5C'!D29</f>
        <v>168455000</v>
      </c>
      <c r="E10" s="408">
        <f>'C5C'!E29</f>
        <v>7780000</v>
      </c>
      <c r="F10" s="408">
        <f>'C5C'!F29</f>
        <v>13055822.52</v>
      </c>
      <c r="G10" s="408">
        <f>'C5C'!G29</f>
        <v>136066149.65000001</v>
      </c>
      <c r="H10" s="408">
        <f>'C5C'!H29</f>
        <v>5835000</v>
      </c>
      <c r="I10" s="44">
        <f t="shared" si="0"/>
        <v>130231149.65000001</v>
      </c>
      <c r="J10" s="330">
        <f t="shared" si="1"/>
        <v>22.318963093401887</v>
      </c>
      <c r="K10" s="642">
        <f>'C5C'!K29</f>
        <v>7780000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441321.89</v>
      </c>
      <c r="G11" s="408">
        <f>'C5C'!G35</f>
        <v>1435041.48</v>
      </c>
      <c r="H11" s="408">
        <f>'C5C'!H35</f>
        <v>239632148.83499998</v>
      </c>
      <c r="I11" s="44">
        <f t="shared" si="0"/>
        <v>-238197107.35499999</v>
      </c>
      <c r="J11" s="330">
        <f t="shared" si="1"/>
        <v>-0.99401148181921073</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14709186.4</v>
      </c>
      <c r="G21" s="430">
        <f t="shared" si="2"/>
        <v>143403009.34999999</v>
      </c>
      <c r="H21" s="430">
        <f t="shared" si="2"/>
        <v>286799678.83499998</v>
      </c>
      <c r="I21" s="430">
        <f t="shared" si="2"/>
        <v>-143396669.48499998</v>
      </c>
      <c r="J21" s="431">
        <f>IF(I21=0,"",I21/H21)</f>
        <v>-0.4999889472243732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1142694.8500000001</v>
      </c>
      <c r="H24" s="44">
        <f>'C5C'!H149</f>
        <v>1125000</v>
      </c>
      <c r="I24" s="44">
        <f>'C5C'!I149</f>
        <v>17694.850000000093</v>
      </c>
      <c r="J24" s="330">
        <f>IF(I24=0,"",I24/H24)</f>
        <v>1.5728755555555637E-2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119445.04</v>
      </c>
      <c r="G25" s="44">
        <f>'C5C'!G160</f>
        <v>125883.62999999999</v>
      </c>
      <c r="H25" s="44">
        <f>'C5C'!H160</f>
        <v>20935812</v>
      </c>
      <c r="I25" s="44">
        <f>'C5C'!I160</f>
        <v>-20809928.370000001</v>
      </c>
      <c r="J25" s="330">
        <f t="shared" ref="J25:J39" si="3">IF(I25=0,"",I25/H25)</f>
        <v>-0.99398716276206533</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401487.81</v>
      </c>
      <c r="G26" s="44">
        <f>'C5C'!G171</f>
        <v>18778123.649999999</v>
      </c>
      <c r="H26" s="44">
        <f>'C5C'!H171</f>
        <v>14343570</v>
      </c>
      <c r="I26" s="44">
        <f>'C5C'!I171</f>
        <v>4434553.6499999985</v>
      </c>
      <c r="J26" s="330">
        <f t="shared" si="3"/>
        <v>0.30916666143784277</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0</v>
      </c>
      <c r="G27" s="44">
        <f>'C5C'!G182</f>
        <v>0</v>
      </c>
      <c r="H27" s="44">
        <f>'C5C'!H182</f>
        <v>397500</v>
      </c>
      <c r="I27" s="44">
        <f>'C5C'!I182</f>
        <v>-397500</v>
      </c>
      <c r="J27" s="330">
        <f t="shared" si="3"/>
        <v>-1</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12807395.02</v>
      </c>
      <c r="G28" s="44">
        <f>'C5C'!G193</f>
        <v>111440618.13999999</v>
      </c>
      <c r="H28" s="44">
        <f>'C5C'!H193</f>
        <v>232592983.5</v>
      </c>
      <c r="I28" s="44">
        <f>'C5C'!I193</f>
        <v>-121152365.36000001</v>
      </c>
      <c r="J28" s="330">
        <f t="shared" si="3"/>
        <v>-0.52087712852266677</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2088029.68</v>
      </c>
      <c r="G29" s="44">
        <f>'C5C'!G204</f>
        <v>41238893.570000008</v>
      </c>
      <c r="H29" s="44">
        <f>'C5C'!H204</f>
        <v>4198225.5</v>
      </c>
      <c r="I29" s="44">
        <f>'C5C'!I204</f>
        <v>37040668.070000008</v>
      </c>
      <c r="J29" s="330">
        <f t="shared" si="3"/>
        <v>8.8229343731059728</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15416357.549999999</v>
      </c>
      <c r="G39" s="161">
        <f t="shared" si="4"/>
        <v>172726213.83999997</v>
      </c>
      <c r="H39" s="161">
        <f t="shared" si="4"/>
        <v>273593091</v>
      </c>
      <c r="I39" s="73">
        <f t="shared" si="4"/>
        <v>-100866877.16000001</v>
      </c>
      <c r="J39" s="331">
        <f t="shared" si="3"/>
        <v>-0.36867479654301655</v>
      </c>
      <c r="K39" s="263">
        <f>SUM(K24:K38)</f>
        <v>364790788</v>
      </c>
      <c r="L39" s="100"/>
    </row>
    <row r="40" spans="1:12" ht="12.75" customHeight="1" x14ac:dyDescent="0.25">
      <c r="A40" s="92" t="s">
        <v>761</v>
      </c>
      <c r="B40" s="422"/>
      <c r="C40" s="243">
        <f t="shared" ref="C40:I40" si="5">C39+C21</f>
        <v>0</v>
      </c>
      <c r="D40" s="260">
        <f t="shared" si="5"/>
        <v>580891581</v>
      </c>
      <c r="E40" s="73">
        <f t="shared" si="5"/>
        <v>747190359.77999997</v>
      </c>
      <c r="F40" s="73">
        <f t="shared" si="5"/>
        <v>30125543.949999999</v>
      </c>
      <c r="G40" s="73">
        <f t="shared" si="5"/>
        <v>316129223.18999994</v>
      </c>
      <c r="H40" s="73">
        <f t="shared" si="5"/>
        <v>560392769.83500004</v>
      </c>
      <c r="I40" s="73">
        <f t="shared" si="5"/>
        <v>-244263546.64499998</v>
      </c>
      <c r="J40" s="331">
        <f>IF(I40=0,"",I40/H40)</f>
        <v>-0.43587919008469728</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837894.07</v>
      </c>
      <c r="G43" s="637">
        <f t="shared" si="6"/>
        <v>3087368.7</v>
      </c>
      <c r="H43" s="637">
        <f t="shared" si="6"/>
        <v>29200812</v>
      </c>
      <c r="I43" s="44">
        <f t="shared" ref="I43:I62" si="7">G43-H43</f>
        <v>-26113443.300000001</v>
      </c>
      <c r="J43" s="330">
        <f>IF(I43=0,"",I43/H43)</f>
        <v>-0.89427113533692149</v>
      </c>
      <c r="K43" s="641">
        <f>SUM(K44:K46)</f>
        <v>38934416</v>
      </c>
      <c r="L43" s="100"/>
    </row>
    <row r="44" spans="1:12" ht="12.75" customHeight="1" x14ac:dyDescent="0.25">
      <c r="A44" s="416" t="s">
        <v>108</v>
      </c>
      <c r="B44" s="419"/>
      <c r="C44" s="735"/>
      <c r="D44" s="753">
        <v>5000000</v>
      </c>
      <c r="E44" s="733">
        <v>3800000</v>
      </c>
      <c r="F44" s="733"/>
      <c r="G44" s="733">
        <v>1880833.29</v>
      </c>
      <c r="H44" s="733">
        <f>E44/12*9</f>
        <v>2850000</v>
      </c>
      <c r="I44" s="44">
        <f t="shared" si="7"/>
        <v>-969166.71</v>
      </c>
      <c r="J44" s="330">
        <f t="shared" ref="J44:J63" si="8">IF(I44=0,"",I44/H44)</f>
        <v>-0.34005849473684208</v>
      </c>
      <c r="K44" s="735">
        <f>E44</f>
        <v>3800000</v>
      </c>
      <c r="L44" s="100"/>
    </row>
    <row r="45" spans="1:12" ht="12.75" customHeight="1" x14ac:dyDescent="0.25">
      <c r="A45" s="416" t="s">
        <v>1123</v>
      </c>
      <c r="B45" s="419"/>
      <c r="C45" s="754"/>
      <c r="D45" s="755">
        <v>27500000</v>
      </c>
      <c r="E45" s="756">
        <v>35134416</v>
      </c>
      <c r="F45" s="756">
        <v>837894.07</v>
      </c>
      <c r="G45" s="756">
        <v>1206535.4099999999</v>
      </c>
      <c r="H45" s="756">
        <f>E45/12*9</f>
        <v>26350812</v>
      </c>
      <c r="I45" s="44">
        <f t="shared" si="7"/>
        <v>-25144276.59</v>
      </c>
      <c r="J45" s="330">
        <f t="shared" si="8"/>
        <v>-0.95421259086816757</v>
      </c>
      <c r="K45" s="754">
        <f>E45</f>
        <v>35134416</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3304987.3</v>
      </c>
      <c r="G47" s="637">
        <f t="shared" si="9"/>
        <v>49732150.579999998</v>
      </c>
      <c r="H47" s="637">
        <f t="shared" si="9"/>
        <v>241564156.33499998</v>
      </c>
      <c r="I47" s="44">
        <f t="shared" si="7"/>
        <v>-191832005.755</v>
      </c>
      <c r="J47" s="330">
        <f t="shared" si="8"/>
        <v>-0.79412446227729383</v>
      </c>
      <c r="K47" s="641">
        <f>SUM(K48:K52)</f>
        <v>322085541.77999997</v>
      </c>
      <c r="L47" s="100"/>
    </row>
    <row r="48" spans="1:12" ht="12.75" customHeight="1" x14ac:dyDescent="0.25">
      <c r="A48" s="416" t="s">
        <v>110</v>
      </c>
      <c r="B48" s="419"/>
      <c r="C48" s="735"/>
      <c r="D48" s="753">
        <v>45972000</v>
      </c>
      <c r="E48" s="733">
        <v>37482375</v>
      </c>
      <c r="F48" s="733">
        <v>525547.91</v>
      </c>
      <c r="G48" s="733">
        <v>8393378.7699999996</v>
      </c>
      <c r="H48" s="733">
        <f>E48/12*9</f>
        <v>28111781.25</v>
      </c>
      <c r="I48" s="44">
        <f t="shared" si="7"/>
        <v>-19718402.48</v>
      </c>
      <c r="J48" s="330">
        <f t="shared" si="8"/>
        <v>-0.70142842620476065</v>
      </c>
      <c r="K48" s="735">
        <f>E48</f>
        <v>37482375</v>
      </c>
      <c r="L48" s="100"/>
    </row>
    <row r="49" spans="1:12" ht="12.75" customHeight="1" x14ac:dyDescent="0.25">
      <c r="A49" s="416" t="s">
        <v>111</v>
      </c>
      <c r="B49" s="419"/>
      <c r="C49" s="735"/>
      <c r="D49" s="753"/>
      <c r="E49" s="733">
        <v>0</v>
      </c>
      <c r="F49" s="733">
        <v>250087.81</v>
      </c>
      <c r="G49" s="733">
        <v>890340.17999999993</v>
      </c>
      <c r="H49" s="733"/>
      <c r="I49" s="44">
        <f t="shared" si="7"/>
        <v>890340.17999999993</v>
      </c>
      <c r="J49" s="330" t="e">
        <f t="shared" si="8"/>
        <v>#DIV/0!</v>
      </c>
      <c r="K49" s="735"/>
      <c r="L49" s="100"/>
    </row>
    <row r="50" spans="1:12" ht="12.75" customHeight="1" x14ac:dyDescent="0.25">
      <c r="A50" s="416" t="s">
        <v>112</v>
      </c>
      <c r="B50" s="419"/>
      <c r="C50" s="735"/>
      <c r="D50" s="753"/>
      <c r="E50" s="733">
        <v>0</v>
      </c>
      <c r="F50" s="733">
        <v>15457</v>
      </c>
      <c r="G50" s="733">
        <v>185009</v>
      </c>
      <c r="H50" s="733"/>
      <c r="I50" s="44">
        <f t="shared" si="7"/>
        <v>185009</v>
      </c>
      <c r="J50" s="330" t="e">
        <f t="shared" si="8"/>
        <v>#DIV/0!</v>
      </c>
      <c r="K50" s="735"/>
      <c r="L50" s="100"/>
    </row>
    <row r="51" spans="1:12" ht="12.75" customHeight="1" x14ac:dyDescent="0.25">
      <c r="A51" s="416" t="s">
        <v>711</v>
      </c>
      <c r="B51" s="419"/>
      <c r="C51" s="735"/>
      <c r="D51" s="753">
        <v>278902092</v>
      </c>
      <c r="E51" s="733">
        <v>284603166.77999997</v>
      </c>
      <c r="F51" s="733">
        <v>2513894.58</v>
      </c>
      <c r="G51" s="733">
        <v>40263422.630000003</v>
      </c>
      <c r="H51" s="733">
        <f>E51/12*9</f>
        <v>213452375.08499998</v>
      </c>
      <c r="I51" s="44">
        <f t="shared" si="7"/>
        <v>-173188952.45499998</v>
      </c>
      <c r="J51" s="330">
        <f t="shared" si="8"/>
        <v>-0.81137046325220563</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6696646.4600000009</v>
      </c>
      <c r="G53" s="637">
        <f t="shared" si="10"/>
        <v>137922271.76999998</v>
      </c>
      <c r="H53" s="637">
        <f t="shared" si="10"/>
        <v>148399252.5</v>
      </c>
      <c r="I53" s="44">
        <f t="shared" si="7"/>
        <v>-10476980.730000019</v>
      </c>
      <c r="J53" s="330">
        <f t="shared" si="8"/>
        <v>-7.0599956222825444E-2</v>
      </c>
      <c r="K53" s="641">
        <f>SUM(K54:K56)</f>
        <v>197865670</v>
      </c>
      <c r="L53" s="100"/>
    </row>
    <row r="54" spans="1:12" ht="12.75" customHeight="1" x14ac:dyDescent="0.25">
      <c r="A54" s="416" t="s">
        <v>114</v>
      </c>
      <c r="B54" s="419"/>
      <c r="C54" s="735"/>
      <c r="D54" s="753">
        <v>13936064</v>
      </c>
      <c r="E54" s="733">
        <v>37856365</v>
      </c>
      <c r="F54" s="733"/>
      <c r="G54" s="733"/>
      <c r="H54" s="733">
        <f t="shared" ref="H54:H55" si="11">E54/12*9</f>
        <v>28392273.75</v>
      </c>
      <c r="I54" s="44">
        <f t="shared" si="7"/>
        <v>-28392273.75</v>
      </c>
      <c r="J54" s="330">
        <f t="shared" si="8"/>
        <v>-1</v>
      </c>
      <c r="K54" s="735">
        <f t="shared" ref="K54:K55" si="12">E54</f>
        <v>37856365</v>
      </c>
      <c r="L54" s="100"/>
    </row>
    <row r="55" spans="1:12" ht="12.75" customHeight="1" x14ac:dyDescent="0.25">
      <c r="A55" s="416" t="s">
        <v>115</v>
      </c>
      <c r="B55" s="419"/>
      <c r="C55" s="735"/>
      <c r="D55" s="753">
        <v>90636000</v>
      </c>
      <c r="E55" s="733">
        <v>160009305</v>
      </c>
      <c r="F55" s="733">
        <v>6696646.4600000009</v>
      </c>
      <c r="G55" s="733">
        <v>137922271.76999998</v>
      </c>
      <c r="H55" s="733">
        <f t="shared" si="11"/>
        <v>120006978.75</v>
      </c>
      <c r="I55" s="44">
        <f t="shared" si="7"/>
        <v>17915293.019999981</v>
      </c>
      <c r="J55" s="330">
        <f t="shared" si="8"/>
        <v>0.149285426619408</v>
      </c>
      <c r="K55" s="735">
        <f t="shared" si="12"/>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185657098</v>
      </c>
      <c r="F57" s="637">
        <f t="shared" si="13"/>
        <v>19286016.119999997</v>
      </c>
      <c r="G57" s="637">
        <f t="shared" si="13"/>
        <v>123907161.94999999</v>
      </c>
      <c r="H57" s="637">
        <f t="shared" si="13"/>
        <v>139242823.5</v>
      </c>
      <c r="I57" s="44">
        <f t="shared" si="7"/>
        <v>-15335661.550000012</v>
      </c>
      <c r="J57" s="330">
        <f t="shared" si="8"/>
        <v>-0.11013610012008994</v>
      </c>
      <c r="K57" s="641">
        <f>SUM(K58:K61)</f>
        <v>185657098</v>
      </c>
      <c r="L57" s="100"/>
    </row>
    <row r="58" spans="1:12" ht="12.75" customHeight="1" x14ac:dyDescent="0.25">
      <c r="A58" s="416" t="s">
        <v>1191</v>
      </c>
      <c r="B58" s="419"/>
      <c r="C58" s="735"/>
      <c r="D58" s="753">
        <v>12500000</v>
      </c>
      <c r="E58" s="733">
        <v>16134330</v>
      </c>
      <c r="F58" s="733">
        <v>8267586.0299999993</v>
      </c>
      <c r="G58" s="733">
        <v>11224619.68</v>
      </c>
      <c r="H58" s="733">
        <f t="shared" ref="H58:H62" si="14">E58/12*9</f>
        <v>12100747.5</v>
      </c>
      <c r="I58" s="44">
        <f t="shared" si="7"/>
        <v>-876127.8200000003</v>
      </c>
      <c r="J58" s="330">
        <f t="shared" si="8"/>
        <v>-7.2402785034560907E-2</v>
      </c>
      <c r="K58" s="735">
        <f t="shared" ref="K58:K62" si="15">E58</f>
        <v>16134330</v>
      </c>
      <c r="L58" s="100"/>
    </row>
    <row r="59" spans="1:12" ht="12.75" customHeight="1" x14ac:dyDescent="0.25">
      <c r="A59" s="416" t="s">
        <v>1195</v>
      </c>
      <c r="B59" s="419"/>
      <c r="C59" s="735"/>
      <c r="D59" s="753">
        <v>59255000</v>
      </c>
      <c r="E59" s="733">
        <v>68660397</v>
      </c>
      <c r="F59" s="733">
        <v>4788236.49</v>
      </c>
      <c r="G59" s="733">
        <v>47303571.409999996</v>
      </c>
      <c r="H59" s="733">
        <f t="shared" si="14"/>
        <v>51495297.75</v>
      </c>
      <c r="I59" s="44">
        <f t="shared" si="7"/>
        <v>-4191726.3400000036</v>
      </c>
      <c r="J59" s="330">
        <f t="shared" si="8"/>
        <v>-8.1400176776334959E-2</v>
      </c>
      <c r="K59" s="735">
        <f t="shared" si="15"/>
        <v>68660397</v>
      </c>
      <c r="L59" s="100"/>
    </row>
    <row r="60" spans="1:12" ht="12.75" customHeight="1" x14ac:dyDescent="0.25">
      <c r="A60" s="416" t="s">
        <v>118</v>
      </c>
      <c r="B60" s="419"/>
      <c r="C60" s="754"/>
      <c r="D60" s="755">
        <v>27514000</v>
      </c>
      <c r="E60" s="756">
        <v>73099946</v>
      </c>
      <c r="F60" s="756">
        <v>6230193.5999999996</v>
      </c>
      <c r="G60" s="756">
        <v>51182188.50999999</v>
      </c>
      <c r="H60" s="756">
        <f t="shared" si="14"/>
        <v>54824959.5</v>
      </c>
      <c r="I60" s="44">
        <f t="shared" si="7"/>
        <v>-3642770.9900000095</v>
      </c>
      <c r="J60" s="330">
        <f t="shared" si="8"/>
        <v>-6.6443660391577841E-2</v>
      </c>
      <c r="K60" s="754">
        <f t="shared" si="15"/>
        <v>73099946</v>
      </c>
      <c r="L60" s="100"/>
    </row>
    <row r="61" spans="1:12" ht="12.75" customHeight="1" x14ac:dyDescent="0.25">
      <c r="A61" s="416" t="s">
        <v>119</v>
      </c>
      <c r="B61" s="419"/>
      <c r="C61" s="735"/>
      <c r="D61" s="753">
        <v>4500000</v>
      </c>
      <c r="E61" s="733">
        <v>27762425</v>
      </c>
      <c r="F61" s="733"/>
      <c r="G61" s="733">
        <v>14196782.35</v>
      </c>
      <c r="H61" s="733">
        <f t="shared" si="14"/>
        <v>20821818.75</v>
      </c>
      <c r="I61" s="44">
        <f t="shared" si="7"/>
        <v>-6625036.4000000004</v>
      </c>
      <c r="J61" s="330">
        <f t="shared" si="8"/>
        <v>-0.31817760396170963</v>
      </c>
      <c r="K61" s="735">
        <f t="shared" si="15"/>
        <v>27762425</v>
      </c>
      <c r="L61" s="100"/>
    </row>
    <row r="62" spans="1:12" ht="12.75" customHeight="1" x14ac:dyDescent="0.25">
      <c r="A62" s="414" t="s">
        <v>718</v>
      </c>
      <c r="B62" s="419"/>
      <c r="C62" s="735"/>
      <c r="D62" s="753">
        <v>2500000</v>
      </c>
      <c r="E62" s="733">
        <v>2647634</v>
      </c>
      <c r="F62" s="733"/>
      <c r="G62" s="733">
        <v>1480270.14</v>
      </c>
      <c r="H62" s="733">
        <f t="shared" si="14"/>
        <v>1985725.5</v>
      </c>
      <c r="I62" s="44">
        <f t="shared" si="7"/>
        <v>-505455.3600000001</v>
      </c>
      <c r="J62" s="330">
        <f t="shared" si="8"/>
        <v>-0.25454442721312692</v>
      </c>
      <c r="K62" s="735">
        <f t="shared" si="15"/>
        <v>2647634</v>
      </c>
      <c r="L62" s="100"/>
    </row>
    <row r="63" spans="1:12" ht="12.75" customHeight="1" x14ac:dyDescent="0.25">
      <c r="A63" s="537" t="s">
        <v>1213</v>
      </c>
      <c r="B63" s="539">
        <v>3</v>
      </c>
      <c r="C63" s="540">
        <f>C43+C47+C53+C57+C62</f>
        <v>0</v>
      </c>
      <c r="D63" s="541">
        <f t="shared" ref="D63:I63" si="16">D43+D47+D53+D57+D62</f>
        <v>568215156</v>
      </c>
      <c r="E63" s="478">
        <f t="shared" si="16"/>
        <v>747190359.77999997</v>
      </c>
      <c r="F63" s="478">
        <f t="shared" si="16"/>
        <v>30125543.949999996</v>
      </c>
      <c r="G63" s="478">
        <f t="shared" si="16"/>
        <v>316129223.13999999</v>
      </c>
      <c r="H63" s="478">
        <f t="shared" si="16"/>
        <v>560392769.83500004</v>
      </c>
      <c r="I63" s="478">
        <f t="shared" si="16"/>
        <v>-244263546.69500005</v>
      </c>
      <c r="J63" s="542">
        <f t="shared" si="8"/>
        <v>-0.43587919017392052</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17682476.23</v>
      </c>
      <c r="G66" s="733">
        <v>233980300.15999997</v>
      </c>
      <c r="H66" s="733">
        <f t="shared" ref="H66:H67" si="17">E66/12*9</f>
        <v>231089625.58499998</v>
      </c>
      <c r="I66" s="44">
        <f t="shared" ref="I66:I74" si="18">G66-H66</f>
        <v>2890674.5749999881</v>
      </c>
      <c r="J66" s="330">
        <f t="shared" ref="J66:J74" si="19">IF(I66=0,"",I66/H66)</f>
        <v>1.2508889430593381E-2</v>
      </c>
      <c r="K66" s="735">
        <f t="shared" ref="K66:K67" si="20">E66</f>
        <v>308119500.77999997</v>
      </c>
      <c r="L66" s="100"/>
    </row>
    <row r="67" spans="1:12" ht="12.75" customHeight="1" x14ac:dyDescent="0.25">
      <c r="A67" s="107" t="s">
        <v>603</v>
      </c>
      <c r="B67" s="169"/>
      <c r="C67" s="748"/>
      <c r="D67" s="753">
        <v>270624156</v>
      </c>
      <c r="E67" s="733">
        <v>340486443</v>
      </c>
      <c r="F67" s="733">
        <v>2665294.5699999998</v>
      </c>
      <c r="G67" s="733">
        <v>42322441.720000006</v>
      </c>
      <c r="H67" s="733">
        <f t="shared" si="17"/>
        <v>255364832.25</v>
      </c>
      <c r="I67" s="44">
        <f t="shared" si="18"/>
        <v>-213042390.53</v>
      </c>
      <c r="J67" s="330">
        <f t="shared" si="19"/>
        <v>-0.83426675730130806</v>
      </c>
      <c r="K67" s="735">
        <f t="shared" si="20"/>
        <v>340486443</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648605943.77999997</v>
      </c>
      <c r="F70" s="50">
        <f t="shared" si="21"/>
        <v>20347770.800000001</v>
      </c>
      <c r="G70" s="50">
        <f t="shared" si="21"/>
        <v>276302741.88</v>
      </c>
      <c r="H70" s="50">
        <f t="shared" si="21"/>
        <v>486454457.83499998</v>
      </c>
      <c r="I70" s="50">
        <f t="shared" si="18"/>
        <v>-210151715.95499998</v>
      </c>
      <c r="J70" s="146">
        <f t="shared" si="19"/>
        <v>-0.43200696914217845</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98584414</v>
      </c>
      <c r="F73" s="751">
        <v>9777773.1500000004</v>
      </c>
      <c r="G73" s="751">
        <v>39826481.30999995</v>
      </c>
      <c r="H73" s="751">
        <f>E73/12*9</f>
        <v>73938310.5</v>
      </c>
      <c r="I73" s="99">
        <f t="shared" si="18"/>
        <v>-34111829.19000005</v>
      </c>
      <c r="J73" s="335">
        <f t="shared" si="19"/>
        <v>-0.46135526980968883</v>
      </c>
      <c r="K73" s="752">
        <f>E73</f>
        <v>98584414</v>
      </c>
      <c r="L73" s="100"/>
    </row>
    <row r="74" spans="1:12" ht="12.75" customHeight="1" x14ac:dyDescent="0.25">
      <c r="A74" s="538" t="s">
        <v>892</v>
      </c>
      <c r="B74" s="119"/>
      <c r="C74" s="244">
        <f t="shared" ref="C74:H74" si="22">+C70+C72+C73</f>
        <v>0</v>
      </c>
      <c r="D74" s="265">
        <f t="shared" si="22"/>
        <v>580891580.99999988</v>
      </c>
      <c r="E74" s="76">
        <f t="shared" si="22"/>
        <v>747190357.77999997</v>
      </c>
      <c r="F74" s="76">
        <f t="shared" si="22"/>
        <v>30125543.950000003</v>
      </c>
      <c r="G74" s="76">
        <f t="shared" si="22"/>
        <v>316129223.18999994</v>
      </c>
      <c r="H74" s="76">
        <f t="shared" si="22"/>
        <v>560392768.33500004</v>
      </c>
      <c r="I74" s="76">
        <f t="shared" si="18"/>
        <v>-244263545.1450001</v>
      </c>
      <c r="J74" s="333">
        <f t="shared" si="19"/>
        <v>-0.43587918857471863</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6" t="s">
        <v>143</v>
      </c>
      <c r="B77" s="1056"/>
      <c r="C77" s="1056"/>
      <c r="D77" s="1056"/>
      <c r="E77" s="1056"/>
      <c r="F77" s="1056"/>
      <c r="G77" s="1056"/>
      <c r="H77" s="1056"/>
      <c r="I77" s="1056"/>
      <c r="J77" s="1056"/>
      <c r="K77" s="1056"/>
    </row>
    <row r="78" spans="1:12" ht="12" customHeight="1" x14ac:dyDescent="0.25">
      <c r="A78" s="1056" t="s">
        <v>1215</v>
      </c>
      <c r="B78" s="1056"/>
      <c r="C78" s="1056"/>
      <c r="D78" s="1056"/>
      <c r="E78" s="1056"/>
      <c r="F78" s="1056"/>
      <c r="G78" s="1056"/>
      <c r="H78" s="1056"/>
      <c r="I78" s="1056"/>
      <c r="J78" s="1056"/>
      <c r="K78" s="1056"/>
    </row>
    <row r="79" spans="1:12" ht="12" customHeight="1" x14ac:dyDescent="0.25">
      <c r="A79" s="1057" t="s">
        <v>524</v>
      </c>
      <c r="B79" s="1056"/>
      <c r="C79" s="1056"/>
      <c r="D79" s="1056"/>
      <c r="E79" s="1056"/>
      <c r="F79" s="1056"/>
      <c r="G79" s="1056"/>
      <c r="H79" s="1056"/>
      <c r="I79" s="1056"/>
      <c r="J79" s="1056"/>
      <c r="K79" s="1056"/>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2</v>
      </c>
      <c r="F86" s="693">
        <f t="shared" si="23"/>
        <v>0</v>
      </c>
      <c r="G86" s="693">
        <f t="shared" si="23"/>
        <v>0</v>
      </c>
      <c r="H86" s="693">
        <f t="shared" si="23"/>
        <v>1.5</v>
      </c>
      <c r="I86" s="693"/>
      <c r="J86" s="693"/>
      <c r="K86" s="693">
        <f t="shared" si="23"/>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48" activePane="bottomRight" state="frozen"/>
      <selection pane="topRight"/>
      <selection pane="bottomLeft"/>
      <selection pane="bottomRight" activeCell="G204" sqref="G204:H204"/>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6" t="str">
        <f>muni&amp; " - "&amp;S71D&amp; " - "&amp;"A"&amp; " - "&amp;date</f>
        <v>KZN225 Msunduzi - Table C5 Consolidated Monthly Budget Statement - Capital Expenditure (municipal vote, functional classification and funding  - A - Q3 Third Quarter</v>
      </c>
      <c r="B1" s="1046"/>
      <c r="C1" s="1046"/>
      <c r="D1" s="1046"/>
      <c r="E1" s="1046"/>
      <c r="F1" s="1046"/>
      <c r="G1" s="1046"/>
      <c r="H1" s="1046"/>
      <c r="I1" s="1046"/>
      <c r="J1" s="1046"/>
      <c r="K1" s="1046"/>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1725000</v>
      </c>
      <c r="I7" s="50">
        <f t="shared" ref="I7:I43" si="1">G7-H7</f>
        <v>-1725000</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E9/12*9</f>
        <v>1725000</v>
      </c>
      <c r="I9" s="44">
        <f t="shared" si="1"/>
        <v>-1725000</v>
      </c>
      <c r="J9" s="330">
        <f t="shared" si="2"/>
        <v>-1</v>
      </c>
      <c r="K9" s="743">
        <f t="shared" ref="K9" si="3">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4720000</v>
      </c>
      <c r="F12" s="443">
        <f t="shared" si="4"/>
        <v>837894.08</v>
      </c>
      <c r="G12" s="441">
        <f t="shared" si="4"/>
        <v>1199440.5699999998</v>
      </c>
      <c r="H12" s="443">
        <f t="shared" si="4"/>
        <v>3540000</v>
      </c>
      <c r="I12" s="44">
        <f t="shared" si="1"/>
        <v>-2340559.4300000002</v>
      </c>
      <c r="J12" s="330">
        <f t="shared" si="2"/>
        <v>-0.66117498022598875</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v>24309.25</v>
      </c>
      <c r="H13" s="742"/>
      <c r="I13" s="44">
        <f t="shared" si="1"/>
        <v>24309.25</v>
      </c>
      <c r="J13" s="330" t="e">
        <f t="shared" si="2"/>
        <v>#DIV/0!</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v>837894.08</v>
      </c>
      <c r="G14" s="741">
        <v>1175131.3199999998</v>
      </c>
      <c r="H14" s="742">
        <f>E14/12*9</f>
        <v>3540000</v>
      </c>
      <c r="I14" s="44">
        <f t="shared" si="1"/>
        <v>-2364868.6800000002</v>
      </c>
      <c r="J14" s="330">
        <f t="shared" si="2"/>
        <v>-0.66804200000000002</v>
      </c>
      <c r="K14" s="743">
        <f t="shared" ref="K14" si="5">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46120040</v>
      </c>
      <c r="F18" s="443">
        <f t="shared" si="6"/>
        <v>374147.91000000003</v>
      </c>
      <c r="G18" s="441">
        <f t="shared" si="6"/>
        <v>4702377.6499999994</v>
      </c>
      <c r="H18" s="443">
        <f t="shared" si="6"/>
        <v>34590030</v>
      </c>
      <c r="I18" s="44">
        <f t="shared" si="1"/>
        <v>-29887652.350000001</v>
      </c>
      <c r="J18" s="330">
        <f t="shared" si="2"/>
        <v>-0.86405395861177348</v>
      </c>
      <c r="K18" s="442">
        <f>SUM(K19:K22)</f>
        <v>46120040</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v>1303169.95</v>
      </c>
      <c r="H20" s="742"/>
      <c r="I20" s="44">
        <f t="shared" si="1"/>
        <v>1303169.95</v>
      </c>
      <c r="J20" s="330" t="e">
        <f t="shared" si="2"/>
        <v>#DIV/0!</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23320040</v>
      </c>
      <c r="F21" s="742">
        <v>374147.91000000003</v>
      </c>
      <c r="G21" s="741">
        <v>3399207.6999999997</v>
      </c>
      <c r="H21" s="742">
        <f t="shared" ref="H21:H22" si="7">E21/12*9</f>
        <v>17490030</v>
      </c>
      <c r="I21" s="44">
        <f t="shared" si="1"/>
        <v>-14090822.300000001</v>
      </c>
      <c r="J21" s="330">
        <f t="shared" si="2"/>
        <v>-0.80564883536506227</v>
      </c>
      <c r="K21" s="743">
        <f t="shared" ref="K21:K22" si="8">E21</f>
        <v>23320040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22800000</v>
      </c>
      <c r="F22" s="742"/>
      <c r="G22" s="741"/>
      <c r="H22" s="742">
        <f t="shared" si="7"/>
        <v>17100000</v>
      </c>
      <c r="I22" s="44">
        <f t="shared" si="1"/>
        <v>-17100000</v>
      </c>
      <c r="J22" s="330">
        <f t="shared" si="2"/>
        <v>-1</v>
      </c>
      <c r="K22" s="743">
        <f t="shared" si="8"/>
        <v>22800000</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1970000</v>
      </c>
      <c r="F23" s="443">
        <f t="shared" si="9"/>
        <v>0</v>
      </c>
      <c r="G23" s="441">
        <f t="shared" si="9"/>
        <v>0</v>
      </c>
      <c r="H23" s="443">
        <f t="shared" si="9"/>
        <v>1477500</v>
      </c>
      <c r="I23" s="44">
        <f t="shared" si="1"/>
        <v>-1477500</v>
      </c>
      <c r="J23" s="330">
        <f t="shared" si="2"/>
        <v>-1</v>
      </c>
      <c r="K23" s="442">
        <f>SUM(K24:K28)</f>
        <v>1970000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v>1970000</v>
      </c>
      <c r="F25" s="742"/>
      <c r="G25" s="741"/>
      <c r="H25" s="742">
        <f>E25/12*9</f>
        <v>1477500</v>
      </c>
      <c r="I25" s="44">
        <f t="shared" si="1"/>
        <v>-1477500</v>
      </c>
      <c r="J25" s="330">
        <f t="shared" si="2"/>
        <v>-1</v>
      </c>
      <c r="K25" s="743">
        <f t="shared" ref="K25" si="10">E25</f>
        <v>1970000</v>
      </c>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1">SUM(C30:C34)</f>
        <v>0</v>
      </c>
      <c r="D29" s="444">
        <f t="shared" si="11"/>
        <v>168455000</v>
      </c>
      <c r="E29" s="441">
        <f t="shared" si="11"/>
        <v>7780000</v>
      </c>
      <c r="F29" s="443">
        <f t="shared" si="11"/>
        <v>13055822.52</v>
      </c>
      <c r="G29" s="441">
        <f t="shared" si="11"/>
        <v>136066149.65000001</v>
      </c>
      <c r="H29" s="443">
        <f t="shared" si="11"/>
        <v>5835000</v>
      </c>
      <c r="I29" s="44">
        <f t="shared" si="1"/>
        <v>130231149.65000001</v>
      </c>
      <c r="J29" s="330">
        <f t="shared" si="2"/>
        <v>22.318963093401887</v>
      </c>
      <c r="K29" s="442">
        <f>SUM(K30:K34)</f>
        <v>7780000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v>7780000</v>
      </c>
      <c r="F30" s="742">
        <v>8267586.0299999993</v>
      </c>
      <c r="G30" s="741">
        <v>11224619.68</v>
      </c>
      <c r="H30" s="742">
        <f>E30/12*9</f>
        <v>5835000</v>
      </c>
      <c r="I30" s="44">
        <f t="shared" si="1"/>
        <v>5389619.6799999997</v>
      </c>
      <c r="J30" s="330">
        <f t="shared" si="2"/>
        <v>0.92367089631533839</v>
      </c>
      <c r="K30" s="743">
        <f t="shared" ref="K30" si="12">E30</f>
        <v>7780000</v>
      </c>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c r="F32" s="742"/>
      <c r="G32" s="741">
        <v>77537958.560000002</v>
      </c>
      <c r="H32" s="742"/>
      <c r="I32" s="44">
        <f t="shared" si="1"/>
        <v>77537958.560000002</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4788236.49</v>
      </c>
      <c r="G33" s="741">
        <v>47303571.409999996</v>
      </c>
      <c r="H33" s="742"/>
      <c r="I33" s="44">
        <f t="shared" si="1"/>
        <v>47303571.409999996</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0</v>
      </c>
      <c r="D35" s="444">
        <f t="shared" si="13"/>
        <v>300600156</v>
      </c>
      <c r="E35" s="441">
        <f t="shared" si="13"/>
        <v>319509531.77999997</v>
      </c>
      <c r="F35" s="443">
        <f t="shared" si="13"/>
        <v>441321.89</v>
      </c>
      <c r="G35" s="441">
        <f t="shared" si="13"/>
        <v>1435041.48</v>
      </c>
      <c r="H35" s="443">
        <f t="shared" si="13"/>
        <v>239632148.83499998</v>
      </c>
      <c r="I35" s="44">
        <f t="shared" si="1"/>
        <v>-238197107.35499999</v>
      </c>
      <c r="J35" s="330">
        <f t="shared" si="2"/>
        <v>-0.99401148181921073</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c r="G36" s="741"/>
      <c r="H36" s="742">
        <f t="shared" ref="H36:H38" si="14">E36/12*9</f>
        <v>1875000</v>
      </c>
      <c r="I36" s="44">
        <f t="shared" si="1"/>
        <v>-1875000</v>
      </c>
      <c r="J36" s="330">
        <f t="shared" si="2"/>
        <v>-1</v>
      </c>
      <c r="K36" s="743">
        <f t="shared" ref="K36:K39" si="15">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c r="G37" s="741"/>
      <c r="H37" s="742">
        <f t="shared" si="14"/>
        <v>15168223.5</v>
      </c>
      <c r="I37" s="44">
        <f t="shared" si="1"/>
        <v>-15168223.5</v>
      </c>
      <c r="J37" s="330">
        <f t="shared" si="2"/>
        <v>-1</v>
      </c>
      <c r="K37" s="743">
        <f t="shared" si="15"/>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441321.89</v>
      </c>
      <c r="G38" s="741">
        <v>1435041.48</v>
      </c>
      <c r="H38" s="742">
        <f t="shared" si="14"/>
        <v>209514875.08499998</v>
      </c>
      <c r="I38" s="44">
        <f t="shared" si="1"/>
        <v>-208079833.60499999</v>
      </c>
      <c r="J38" s="330">
        <f t="shared" si="2"/>
        <v>-0.99315064632323702</v>
      </c>
      <c r="K38" s="743">
        <f t="shared" si="15"/>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c r="G39" s="741"/>
      <c r="H39" s="742">
        <f>E39/12*9</f>
        <v>13074050.25</v>
      </c>
      <c r="I39" s="44">
        <f t="shared" si="1"/>
        <v>-13074050.25</v>
      </c>
      <c r="J39" s="330">
        <f t="shared" si="2"/>
        <v>-1</v>
      </c>
      <c r="K39" s="743">
        <f t="shared" si="15"/>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14709186.4</v>
      </c>
      <c r="G145" s="448">
        <f>G7+G12+G18+G23+G29+G35+G46+G57+G68+G79+G90+G101+G112+G123+G134</f>
        <v>143403009.34999999</v>
      </c>
      <c r="H145" s="450">
        <f>H7+H12+H18+H23+H29+H35+H46+H57+H68+H79+H90+H101+H112+H123+H134</f>
        <v>286799678.83499998</v>
      </c>
      <c r="I145" s="514">
        <f t="shared" si="24"/>
        <v>-143396669.48499998</v>
      </c>
      <c r="J145" s="515">
        <f t="shared" si="25"/>
        <v>-0.4999889472243732</v>
      </c>
      <c r="K145" s="449">
        <f>K7+K12+K18+K23+K29+K35+K46+K57+K68+K79+K90+K101+K112+K123+K134</f>
        <v>382399571.77999997</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1500000</v>
      </c>
      <c r="F149" s="470">
        <f t="shared" si="30"/>
        <v>0</v>
      </c>
      <c r="G149" s="468">
        <f t="shared" si="30"/>
        <v>1142694.8500000001</v>
      </c>
      <c r="H149" s="470">
        <f t="shared" si="30"/>
        <v>1125000</v>
      </c>
      <c r="I149" s="44">
        <f t="shared" si="24"/>
        <v>17694.850000000093</v>
      </c>
      <c r="J149" s="330">
        <f t="shared" si="25"/>
        <v>1.5728755555555637E-2</v>
      </c>
      <c r="K149" s="469">
        <f t="shared" si="30"/>
        <v>1500000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v>1310000</v>
      </c>
      <c r="F151" s="746"/>
      <c r="G151" s="733">
        <v>1142694.8500000001</v>
      </c>
      <c r="H151" s="746">
        <f t="shared" ref="H151:H152" si="31">E151/12*9</f>
        <v>982500</v>
      </c>
      <c r="I151" s="44">
        <f t="shared" si="24"/>
        <v>160194.85000000009</v>
      </c>
      <c r="J151" s="330">
        <f t="shared" si="25"/>
        <v>0.16304819338422402</v>
      </c>
      <c r="K151" s="747">
        <f t="shared" ref="K151:K152" si="32">E151</f>
        <v>1310000</v>
      </c>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v>190000</v>
      </c>
      <c r="F152" s="746"/>
      <c r="G152" s="733"/>
      <c r="H152" s="746">
        <f t="shared" si="31"/>
        <v>142500</v>
      </c>
      <c r="I152" s="44">
        <f t="shared" si="24"/>
        <v>-142500</v>
      </c>
      <c r="J152" s="330">
        <f t="shared" si="25"/>
        <v>-1</v>
      </c>
      <c r="K152" s="747">
        <f t="shared" si="32"/>
        <v>190000</v>
      </c>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3">SUM(E161:E170)</f>
        <v>27914416</v>
      </c>
      <c r="F160" s="443">
        <f t="shared" si="33"/>
        <v>119445.04</v>
      </c>
      <c r="G160" s="441">
        <f t="shared" si="33"/>
        <v>125883.62999999999</v>
      </c>
      <c r="H160" s="443">
        <f t="shared" si="33"/>
        <v>20935812</v>
      </c>
      <c r="I160" s="44">
        <f t="shared" si="24"/>
        <v>-20809928.370000001</v>
      </c>
      <c r="J160" s="330">
        <f t="shared" si="25"/>
        <v>-0.99398716276206533</v>
      </c>
      <c r="K160" s="442">
        <f t="shared" si="33"/>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34">E161/12*9</f>
        <v>10125000</v>
      </c>
      <c r="I161" s="44">
        <f t="shared" si="24"/>
        <v>-10125000</v>
      </c>
      <c r="J161" s="330">
        <f t="shared" si="25"/>
        <v>-1</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119445.04</v>
      </c>
      <c r="G162" s="733">
        <v>125883.62999999999</v>
      </c>
      <c r="H162" s="746">
        <f t="shared" si="34"/>
        <v>10409562</v>
      </c>
      <c r="I162" s="44">
        <f t="shared" si="24"/>
        <v>-10283678.369999999</v>
      </c>
      <c r="J162" s="330">
        <f t="shared" si="25"/>
        <v>-0.98790692346133291</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v>0</v>
      </c>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v>0</v>
      </c>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c r="H165" s="746">
        <f>E165/12*9</f>
        <v>401250</v>
      </c>
      <c r="I165" s="44">
        <f t="shared" si="24"/>
        <v>-401250</v>
      </c>
      <c r="J165" s="330">
        <f t="shared" si="25"/>
        <v>-1</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5">SUM(C172:C181)</f>
        <v>0</v>
      </c>
      <c r="D171" s="444">
        <f t="shared" si="35"/>
        <v>13700000</v>
      </c>
      <c r="E171" s="441">
        <f t="shared" si="35"/>
        <v>19124760</v>
      </c>
      <c r="F171" s="443">
        <f t="shared" si="35"/>
        <v>401487.81</v>
      </c>
      <c r="G171" s="441">
        <f t="shared" si="35"/>
        <v>18778123.649999999</v>
      </c>
      <c r="H171" s="443">
        <f t="shared" si="35"/>
        <v>14343570</v>
      </c>
      <c r="I171" s="44">
        <f t="shared" si="24"/>
        <v>4434553.6499999985</v>
      </c>
      <c r="J171" s="330">
        <f t="shared" si="25"/>
        <v>0.30916666143784277</v>
      </c>
      <c r="K171" s="442">
        <f t="shared" si="35"/>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0</v>
      </c>
      <c r="F172" s="746"/>
      <c r="G172" s="733"/>
      <c r="H172" s="746">
        <f>E172/12*9</f>
        <v>0</v>
      </c>
      <c r="I172" s="44">
        <f t="shared" si="24"/>
        <v>0</v>
      </c>
      <c r="J172" s="330" t="str">
        <f t="shared" si="25"/>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36">E173/12*9</f>
        <v>1500000</v>
      </c>
      <c r="I173" s="44">
        <f t="shared" ref="I173:I236" si="37">G173-H173</f>
        <v>-1500000</v>
      </c>
      <c r="J173" s="330">
        <f t="shared" ref="J173:J236" si="38">IF(I173=0,"",I173/H173)</f>
        <v>-1</v>
      </c>
      <c r="K173" s="747">
        <f t="shared" ref="K173:K175" si="39">E173</f>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v>401487.81</v>
      </c>
      <c r="G174" s="384">
        <v>4581341.3</v>
      </c>
      <c r="H174" s="472">
        <f t="shared" si="36"/>
        <v>9121751.25</v>
      </c>
      <c r="I174" s="44">
        <f t="shared" si="37"/>
        <v>-4540409.95</v>
      </c>
      <c r="J174" s="330">
        <f t="shared" si="38"/>
        <v>-0.49775638751385598</v>
      </c>
      <c r="K174" s="395">
        <f t="shared" si="39"/>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c r="G175" s="384">
        <v>14196782.35</v>
      </c>
      <c r="H175" s="472">
        <f t="shared" si="36"/>
        <v>3721818.75</v>
      </c>
      <c r="I175" s="44">
        <f t="shared" si="37"/>
        <v>10474963.6</v>
      </c>
      <c r="J175" s="330">
        <f t="shared" si="38"/>
        <v>2.8144744017961649</v>
      </c>
      <c r="K175" s="395">
        <f t="shared" si="39"/>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7"/>
        <v>0</v>
      </c>
      <c r="J176" s="330" t="str">
        <f t="shared" si="38"/>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7"/>
        <v>0</v>
      </c>
      <c r="J177" s="330" t="str">
        <f t="shared" si="38"/>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7"/>
        <v>0</v>
      </c>
      <c r="J178" s="330" t="str">
        <f t="shared" si="38"/>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7"/>
        <v>0</v>
      </c>
      <c r="J179" s="330" t="str">
        <f t="shared" si="38"/>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7"/>
        <v>0</v>
      </c>
      <c r="J180" s="330" t="str">
        <f t="shared" si="38"/>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7"/>
        <v>0</v>
      </c>
      <c r="J181" s="330" t="str">
        <f t="shared" si="38"/>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0">SUM(C183:C192)</f>
        <v>0</v>
      </c>
      <c r="D182" s="444">
        <f t="shared" si="40"/>
        <v>0</v>
      </c>
      <c r="E182" s="441">
        <f t="shared" si="40"/>
        <v>530000</v>
      </c>
      <c r="F182" s="443">
        <f t="shared" si="40"/>
        <v>0</v>
      </c>
      <c r="G182" s="441">
        <f t="shared" si="40"/>
        <v>0</v>
      </c>
      <c r="H182" s="443">
        <f t="shared" si="40"/>
        <v>397500</v>
      </c>
      <c r="I182" s="44">
        <f t="shared" si="37"/>
        <v>-397500</v>
      </c>
      <c r="J182" s="330">
        <f t="shared" si="38"/>
        <v>-1</v>
      </c>
      <c r="K182" s="442">
        <f t="shared" si="40"/>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7"/>
        <v>0</v>
      </c>
      <c r="J183" s="330" t="str">
        <f t="shared" si="38"/>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c r="G184" s="384"/>
      <c r="H184" s="472">
        <f>E184/12*9</f>
        <v>397500</v>
      </c>
      <c r="I184" s="44">
        <f t="shared" si="37"/>
        <v>-397500</v>
      </c>
      <c r="J184" s="330">
        <f t="shared" si="38"/>
        <v>-1</v>
      </c>
      <c r="K184" s="395">
        <f t="shared" ref="K184" si="41">E184</f>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7"/>
        <v>0</v>
      </c>
      <c r="J185" s="330" t="str">
        <f t="shared" si="38"/>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7"/>
        <v>0</v>
      </c>
      <c r="J186" s="330" t="str">
        <f t="shared" si="38"/>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7"/>
        <v>0</v>
      </c>
      <c r="J187" s="330" t="str">
        <f t="shared" si="38"/>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7"/>
        <v>0</v>
      </c>
      <c r="J188" s="330" t="str">
        <f t="shared" si="38"/>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7"/>
        <v>0</v>
      </c>
      <c r="J189" s="330" t="str">
        <f t="shared" si="38"/>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7"/>
        <v>0</v>
      </c>
      <c r="J190" s="330" t="str">
        <f t="shared" si="38"/>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7"/>
        <v>0</v>
      </c>
      <c r="J191" s="330" t="str">
        <f t="shared" si="38"/>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7"/>
        <v>0</v>
      </c>
      <c r="J192" s="330" t="str">
        <f t="shared" si="38"/>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2">SUM(C194:C203)</f>
        <v>0</v>
      </c>
      <c r="D193" s="444">
        <f t="shared" si="42"/>
        <v>33000000</v>
      </c>
      <c r="E193" s="441">
        <f t="shared" si="42"/>
        <v>310123978</v>
      </c>
      <c r="F193" s="443">
        <f t="shared" si="42"/>
        <v>12807395.02</v>
      </c>
      <c r="G193" s="441">
        <f t="shared" si="42"/>
        <v>111440618.13999999</v>
      </c>
      <c r="H193" s="443">
        <f t="shared" si="42"/>
        <v>232592983.5</v>
      </c>
      <c r="I193" s="44">
        <f t="shared" si="37"/>
        <v>-121152365.36000001</v>
      </c>
      <c r="J193" s="330">
        <f t="shared" si="38"/>
        <v>-0.52087712852266677</v>
      </c>
      <c r="K193" s="442">
        <f t="shared" si="42"/>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c r="G194" s="384"/>
      <c r="H194" s="472">
        <f>E194/12*9</f>
        <v>6265747.5</v>
      </c>
      <c r="I194" s="44">
        <f t="shared" si="37"/>
        <v>-6265747.5</v>
      </c>
      <c r="J194" s="330">
        <f t="shared" si="38"/>
        <v>-1</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v>0</v>
      </c>
      <c r="F195" s="472"/>
      <c r="G195" s="384"/>
      <c r="H195" s="472"/>
      <c r="I195" s="44">
        <f t="shared" si="37"/>
        <v>0</v>
      </c>
      <c r="J195" s="330" t="str">
        <f t="shared" si="38"/>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6577201.4200000009</v>
      </c>
      <c r="G196" s="384">
        <v>60258429.629999988</v>
      </c>
      <c r="H196" s="472">
        <f t="shared" ref="H196:H197" si="43">E196/12*9</f>
        <v>120006978.75</v>
      </c>
      <c r="I196" s="44">
        <f t="shared" si="37"/>
        <v>-59748549.120000012</v>
      </c>
      <c r="J196" s="330">
        <f t="shared" si="38"/>
        <v>-0.49787562142089187</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v>6230193.5999999996</v>
      </c>
      <c r="G197" s="384">
        <v>51182188.50999999</v>
      </c>
      <c r="H197" s="472">
        <f t="shared" si="43"/>
        <v>106320257.25</v>
      </c>
      <c r="I197" s="44">
        <f t="shared" si="37"/>
        <v>-55138068.74000001</v>
      </c>
      <c r="J197" s="330">
        <f t="shared" si="38"/>
        <v>-0.51860360542910566</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7"/>
        <v>0</v>
      </c>
      <c r="J198" s="330" t="str">
        <f t="shared" si="38"/>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7"/>
        <v>0</v>
      </c>
      <c r="J199" s="330" t="str">
        <f t="shared" si="38"/>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7"/>
        <v>0</v>
      </c>
      <c r="J200" s="330" t="str">
        <f t="shared" si="38"/>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7"/>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7"/>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7"/>
        <v>0</v>
      </c>
      <c r="J203" s="330" t="str">
        <f t="shared" si="38"/>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4">SUM(C205:C214)</f>
        <v>0</v>
      </c>
      <c r="D204" s="444">
        <f t="shared" si="44"/>
        <v>10024000</v>
      </c>
      <c r="E204" s="441">
        <f t="shared" si="44"/>
        <v>5597634</v>
      </c>
      <c r="F204" s="443">
        <f t="shared" si="44"/>
        <v>2088029.68</v>
      </c>
      <c r="G204" s="441">
        <f t="shared" si="44"/>
        <v>41238893.570000008</v>
      </c>
      <c r="H204" s="443">
        <f t="shared" si="44"/>
        <v>4198225.5</v>
      </c>
      <c r="I204" s="44">
        <f t="shared" si="37"/>
        <v>37040668.070000008</v>
      </c>
      <c r="J204" s="330">
        <f t="shared" si="38"/>
        <v>8.8229343731059728</v>
      </c>
      <c r="K204" s="442">
        <f t="shared" si="44"/>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15457</v>
      </c>
      <c r="G205" s="384">
        <v>185009</v>
      </c>
      <c r="H205" s="472">
        <f>E205/12*9</f>
        <v>110725.5</v>
      </c>
      <c r="I205" s="44">
        <f t="shared" si="37"/>
        <v>74283.5</v>
      </c>
      <c r="J205" s="330">
        <f t="shared" si="38"/>
        <v>0.67087978830531358</v>
      </c>
      <c r="K205" s="395">
        <f t="shared" ref="K205:K206" si="45">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0</v>
      </c>
      <c r="F206" s="472"/>
      <c r="G206" s="384">
        <v>745233.29</v>
      </c>
      <c r="H206" s="472"/>
      <c r="I206" s="44">
        <f t="shared" si="37"/>
        <v>745233.29</v>
      </c>
      <c r="J206" s="330" t="e">
        <f t="shared" si="38"/>
        <v>#DIV/0!</v>
      </c>
      <c r="K206" s="395">
        <f t="shared" si="45"/>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v>2072572.69</v>
      </c>
      <c r="G207" s="384">
        <v>38828381.150000006</v>
      </c>
      <c r="H207" s="472">
        <f>E207/12*9</f>
        <v>3937500</v>
      </c>
      <c r="I207" s="44">
        <f t="shared" si="37"/>
        <v>34890881.150000006</v>
      </c>
      <c r="J207" s="330">
        <f t="shared" si="38"/>
        <v>8.8611761650793675</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c r="H208" s="472">
        <f>E208/12*9</f>
        <v>150000</v>
      </c>
      <c r="I208" s="44">
        <f t="shared" si="37"/>
        <v>-150000</v>
      </c>
      <c r="J208" s="330">
        <f t="shared" si="38"/>
        <v>-1</v>
      </c>
      <c r="K208" s="395">
        <f>E208</f>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v>-0.01</v>
      </c>
      <c r="G209" s="384">
        <v>1480270.13</v>
      </c>
      <c r="H209" s="472"/>
      <c r="I209" s="44">
        <f t="shared" si="37"/>
        <v>1480270.13</v>
      </c>
      <c r="J209" s="330" t="e">
        <f t="shared" si="38"/>
        <v>#DIV/0!</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7"/>
        <v>0</v>
      </c>
      <c r="J210" s="330" t="str">
        <f t="shared" si="38"/>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7"/>
        <v>0</v>
      </c>
      <c r="J211" s="330" t="str">
        <f t="shared" si="38"/>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7"/>
        <v>0</v>
      </c>
      <c r="J212" s="330" t="str">
        <f t="shared" si="38"/>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7"/>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7"/>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6">SUM(C216:C225)</f>
        <v>0</v>
      </c>
      <c r="D215" s="444">
        <f t="shared" si="46"/>
        <v>0</v>
      </c>
      <c r="E215" s="441">
        <f t="shared" si="46"/>
        <v>0</v>
      </c>
      <c r="F215" s="443">
        <f t="shared" si="46"/>
        <v>0</v>
      </c>
      <c r="G215" s="441">
        <f t="shared" si="46"/>
        <v>0</v>
      </c>
      <c r="H215" s="443">
        <f t="shared" si="46"/>
        <v>0</v>
      </c>
      <c r="I215" s="44">
        <f t="shared" si="37"/>
        <v>0</v>
      </c>
      <c r="J215" s="330" t="str">
        <f t="shared" si="38"/>
        <v/>
      </c>
      <c r="K215" s="442">
        <f t="shared" si="46"/>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7"/>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7"/>
        <v>0</v>
      </c>
      <c r="J217" s="330" t="str">
        <f t="shared" si="38"/>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7"/>
        <v>0</v>
      </c>
      <c r="J218" s="330" t="str">
        <f t="shared" si="38"/>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7"/>
        <v>0</v>
      </c>
      <c r="J219" s="330" t="str">
        <f t="shared" si="38"/>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7"/>
        <v>0</v>
      </c>
      <c r="J220" s="330" t="str">
        <f t="shared" si="38"/>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7"/>
        <v>0</v>
      </c>
      <c r="J221" s="330" t="str">
        <f t="shared" si="38"/>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7"/>
        <v>0</v>
      </c>
      <c r="J222" s="330" t="str">
        <f t="shared" si="38"/>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7"/>
        <v>0</v>
      </c>
      <c r="J223" s="330" t="str">
        <f t="shared" si="38"/>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7"/>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7"/>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7">SUM(C227:C236)</f>
        <v>0</v>
      </c>
      <c r="D226" s="444">
        <f t="shared" si="47"/>
        <v>0</v>
      </c>
      <c r="E226" s="441">
        <f t="shared" si="47"/>
        <v>0</v>
      </c>
      <c r="F226" s="443">
        <f t="shared" si="47"/>
        <v>0</v>
      </c>
      <c r="G226" s="441">
        <f t="shared" si="47"/>
        <v>0</v>
      </c>
      <c r="H226" s="443">
        <f t="shared" si="47"/>
        <v>0</v>
      </c>
      <c r="I226" s="44">
        <f t="shared" si="37"/>
        <v>0</v>
      </c>
      <c r="J226" s="330" t="str">
        <f t="shared" si="38"/>
        <v/>
      </c>
      <c r="K226" s="442">
        <f t="shared" si="47"/>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7"/>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7"/>
        <v>0</v>
      </c>
      <c r="J228" s="330" t="str">
        <f t="shared" si="38"/>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7"/>
        <v>0</v>
      </c>
      <c r="J229" s="330" t="str">
        <f t="shared" si="38"/>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7"/>
        <v>0</v>
      </c>
      <c r="J230" s="330" t="str">
        <f t="shared" si="38"/>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7"/>
        <v>0</v>
      </c>
      <c r="J231" s="330" t="str">
        <f t="shared" si="38"/>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7"/>
        <v>0</v>
      </c>
      <c r="J232" s="330" t="str">
        <f t="shared" si="38"/>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7"/>
        <v>0</v>
      </c>
      <c r="J233" s="330" t="str">
        <f t="shared" si="38"/>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7"/>
        <v>0</v>
      </c>
      <c r="J234" s="330" t="str">
        <f t="shared" si="38"/>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7"/>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7"/>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8">SUM(C238:C247)</f>
        <v>0</v>
      </c>
      <c r="D237" s="444">
        <f t="shared" si="48"/>
        <v>0</v>
      </c>
      <c r="E237" s="441">
        <f t="shared" si="48"/>
        <v>0</v>
      </c>
      <c r="F237" s="443">
        <f t="shared" si="48"/>
        <v>0</v>
      </c>
      <c r="G237" s="441">
        <f t="shared" si="48"/>
        <v>0</v>
      </c>
      <c r="H237" s="443">
        <f t="shared" si="48"/>
        <v>0</v>
      </c>
      <c r="I237" s="44">
        <f t="shared" ref="I237:I300" si="49">G237-H237</f>
        <v>0</v>
      </c>
      <c r="J237" s="330" t="str">
        <f t="shared" ref="J237:J300" si="50">IF(I237=0,"",I237/H237)</f>
        <v/>
      </c>
      <c r="K237" s="442">
        <f t="shared" si="48"/>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9"/>
        <v>0</v>
      </c>
      <c r="J238" s="330" t="str">
        <f t="shared" si="50"/>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9"/>
        <v>0</v>
      </c>
      <c r="J239" s="330" t="str">
        <f t="shared" si="50"/>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9"/>
        <v>0</v>
      </c>
      <c r="J240" s="330" t="str">
        <f t="shared" si="50"/>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9"/>
        <v>0</v>
      </c>
      <c r="J241" s="330" t="str">
        <f t="shared" si="50"/>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9"/>
        <v>0</v>
      </c>
      <c r="J242" s="330" t="str">
        <f t="shared" si="50"/>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9"/>
        <v>0</v>
      </c>
      <c r="J243" s="330" t="str">
        <f t="shared" si="50"/>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9"/>
        <v>0</v>
      </c>
      <c r="J244" s="330" t="str">
        <f t="shared" si="50"/>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9"/>
        <v>0</v>
      </c>
      <c r="J245" s="330" t="str">
        <f t="shared" si="50"/>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9"/>
        <v>0</v>
      </c>
      <c r="J246" s="330" t="str">
        <f t="shared" si="50"/>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9"/>
        <v>0</v>
      </c>
      <c r="J247" s="330" t="str">
        <f t="shared" si="50"/>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1">SUM(C249:C258)</f>
        <v>0</v>
      </c>
      <c r="D248" s="444">
        <f t="shared" si="51"/>
        <v>0</v>
      </c>
      <c r="E248" s="441">
        <f t="shared" si="51"/>
        <v>0</v>
      </c>
      <c r="F248" s="443">
        <f t="shared" si="51"/>
        <v>0</v>
      </c>
      <c r="G248" s="441">
        <f t="shared" si="51"/>
        <v>0</v>
      </c>
      <c r="H248" s="443">
        <f t="shared" si="51"/>
        <v>0</v>
      </c>
      <c r="I248" s="44">
        <f t="shared" si="49"/>
        <v>0</v>
      </c>
      <c r="J248" s="330" t="str">
        <f t="shared" si="50"/>
        <v/>
      </c>
      <c r="K248" s="442">
        <f t="shared" si="51"/>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9"/>
        <v>0</v>
      </c>
      <c r="J249" s="330" t="str">
        <f t="shared" si="50"/>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9"/>
        <v>0</v>
      </c>
      <c r="J250" s="330" t="str">
        <f t="shared" si="50"/>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9"/>
        <v>0</v>
      </c>
      <c r="J251" s="330" t="str">
        <f t="shared" si="50"/>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9"/>
        <v>0</v>
      </c>
      <c r="J252" s="330" t="str">
        <f t="shared" si="50"/>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9"/>
        <v>0</v>
      </c>
      <c r="J253" s="330" t="str">
        <f t="shared" si="50"/>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9"/>
        <v>0</v>
      </c>
      <c r="J254" s="330" t="str">
        <f t="shared" si="50"/>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9"/>
        <v>0</v>
      </c>
      <c r="J255" s="330" t="str">
        <f t="shared" si="50"/>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9"/>
        <v>0</v>
      </c>
      <c r="J256" s="330" t="str">
        <f t="shared" si="50"/>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9"/>
        <v>0</v>
      </c>
      <c r="J257" s="330" t="str">
        <f t="shared" si="50"/>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9"/>
        <v>0</v>
      </c>
      <c r="J258" s="330" t="str">
        <f t="shared" si="50"/>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2">SUM(C260:C269)</f>
        <v>0</v>
      </c>
      <c r="D259" s="444">
        <f t="shared" si="52"/>
        <v>0</v>
      </c>
      <c r="E259" s="441">
        <f t="shared" si="52"/>
        <v>0</v>
      </c>
      <c r="F259" s="443">
        <f t="shared" si="52"/>
        <v>0</v>
      </c>
      <c r="G259" s="441">
        <f t="shared" si="52"/>
        <v>0</v>
      </c>
      <c r="H259" s="443">
        <f t="shared" si="52"/>
        <v>0</v>
      </c>
      <c r="I259" s="44">
        <f t="shared" si="49"/>
        <v>0</v>
      </c>
      <c r="J259" s="330" t="str">
        <f t="shared" si="50"/>
        <v/>
      </c>
      <c r="K259" s="442">
        <f t="shared" si="52"/>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9"/>
        <v>0</v>
      </c>
      <c r="J260" s="330" t="str">
        <f t="shared" si="50"/>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9"/>
        <v>0</v>
      </c>
      <c r="J261" s="330" t="str">
        <f t="shared" si="50"/>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9"/>
        <v>0</v>
      </c>
      <c r="J262" s="330" t="str">
        <f t="shared" si="50"/>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9"/>
        <v>0</v>
      </c>
      <c r="J263" s="330" t="str">
        <f t="shared" si="50"/>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9"/>
        <v>0</v>
      </c>
      <c r="J264" s="330" t="str">
        <f t="shared" si="50"/>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9"/>
        <v>0</v>
      </c>
      <c r="J265" s="330" t="str">
        <f t="shared" si="50"/>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9"/>
        <v>0</v>
      </c>
      <c r="J266" s="330" t="str">
        <f t="shared" si="50"/>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9"/>
        <v>0</v>
      </c>
      <c r="J267" s="330" t="str">
        <f t="shared" si="50"/>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9"/>
        <v>0</v>
      </c>
      <c r="J268" s="330" t="str">
        <f t="shared" si="50"/>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9"/>
        <v>0</v>
      </c>
      <c r="J269" s="330" t="str">
        <f t="shared" si="50"/>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3">SUM(C271:C280)</f>
        <v>0</v>
      </c>
      <c r="D270" s="444">
        <f t="shared" si="53"/>
        <v>0</v>
      </c>
      <c r="E270" s="441">
        <f t="shared" si="53"/>
        <v>0</v>
      </c>
      <c r="F270" s="443">
        <f t="shared" si="53"/>
        <v>0</v>
      </c>
      <c r="G270" s="441">
        <f t="shared" si="53"/>
        <v>0</v>
      </c>
      <c r="H270" s="443">
        <f t="shared" si="53"/>
        <v>0</v>
      </c>
      <c r="I270" s="44">
        <f t="shared" si="49"/>
        <v>0</v>
      </c>
      <c r="J270" s="330" t="str">
        <f t="shared" si="50"/>
        <v/>
      </c>
      <c r="K270" s="442">
        <f t="shared" si="53"/>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9"/>
        <v>0</v>
      </c>
      <c r="J271" s="330" t="str">
        <f t="shared" si="50"/>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9"/>
        <v>0</v>
      </c>
      <c r="J272" s="330" t="str">
        <f t="shared" si="50"/>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9"/>
        <v>0</v>
      </c>
      <c r="J273" s="330" t="str">
        <f t="shared" si="50"/>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9"/>
        <v>0</v>
      </c>
      <c r="J274" s="330" t="str">
        <f t="shared" si="50"/>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9"/>
        <v>0</v>
      </c>
      <c r="J275" s="330" t="str">
        <f t="shared" si="50"/>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9"/>
        <v>0</v>
      </c>
      <c r="J276" s="330" t="str">
        <f t="shared" si="50"/>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9"/>
        <v>0</v>
      </c>
      <c r="J277" s="330" t="str">
        <f t="shared" si="50"/>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9"/>
        <v>0</v>
      </c>
      <c r="J278" s="330" t="str">
        <f t="shared" si="50"/>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9"/>
        <v>0</v>
      </c>
      <c r="J279" s="330" t="str">
        <f t="shared" si="50"/>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9"/>
        <v>0</v>
      </c>
      <c r="J280" s="330" t="str">
        <f t="shared" si="50"/>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4">SUM(C282:C291)</f>
        <v>0</v>
      </c>
      <c r="D281" s="444">
        <f t="shared" si="54"/>
        <v>0</v>
      </c>
      <c r="E281" s="441">
        <f t="shared" si="54"/>
        <v>0</v>
      </c>
      <c r="F281" s="443">
        <f t="shared" si="54"/>
        <v>0</v>
      </c>
      <c r="G281" s="441">
        <f t="shared" si="54"/>
        <v>0</v>
      </c>
      <c r="H281" s="443">
        <f t="shared" si="54"/>
        <v>0</v>
      </c>
      <c r="I281" s="44">
        <f t="shared" si="49"/>
        <v>0</v>
      </c>
      <c r="J281" s="330" t="str">
        <f t="shared" si="50"/>
        <v/>
      </c>
      <c r="K281" s="442">
        <f t="shared" si="54"/>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9"/>
        <v>0</v>
      </c>
      <c r="J282" s="330" t="str">
        <f t="shared" si="50"/>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9"/>
        <v>0</v>
      </c>
      <c r="J283" s="330" t="str">
        <f t="shared" si="50"/>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9"/>
        <v>0</v>
      </c>
      <c r="J284" s="330" t="str">
        <f t="shared" si="50"/>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9"/>
        <v>0</v>
      </c>
      <c r="J285" s="330" t="str">
        <f t="shared" si="50"/>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9"/>
        <v>0</v>
      </c>
      <c r="J286" s="330" t="str">
        <f t="shared" si="50"/>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9"/>
        <v>0</v>
      </c>
      <c r="J287" s="330" t="str">
        <f t="shared" si="50"/>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9"/>
        <v>0</v>
      </c>
      <c r="J288" s="330" t="str">
        <f t="shared" si="50"/>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9"/>
        <v>0</v>
      </c>
      <c r="J289" s="330" t="str">
        <f t="shared" si="50"/>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9"/>
        <v>0</v>
      </c>
      <c r="J290" s="330" t="str">
        <f t="shared" si="50"/>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9"/>
        <v>0</v>
      </c>
      <c r="J291" s="330" t="str">
        <f t="shared" si="50"/>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5">SUM(C293:C302)</f>
        <v>0</v>
      </c>
      <c r="D292" s="444">
        <f t="shared" si="55"/>
        <v>0</v>
      </c>
      <c r="E292" s="441">
        <f t="shared" si="55"/>
        <v>0</v>
      </c>
      <c r="F292" s="443">
        <f t="shared" si="55"/>
        <v>0</v>
      </c>
      <c r="G292" s="441">
        <f t="shared" si="55"/>
        <v>0</v>
      </c>
      <c r="H292" s="443">
        <f t="shared" si="55"/>
        <v>0</v>
      </c>
      <c r="I292" s="44">
        <f t="shared" si="49"/>
        <v>0</v>
      </c>
      <c r="J292" s="330" t="str">
        <f t="shared" si="50"/>
        <v/>
      </c>
      <c r="K292" s="442">
        <f t="shared" si="55"/>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9"/>
        <v>0</v>
      </c>
      <c r="J293" s="330" t="str">
        <f t="shared" si="50"/>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9"/>
        <v>0</v>
      </c>
      <c r="J294" s="330" t="str">
        <f t="shared" si="50"/>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9"/>
        <v>0</v>
      </c>
      <c r="J295" s="330" t="str">
        <f t="shared" si="50"/>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9"/>
        <v>0</v>
      </c>
      <c r="J296" s="330" t="str">
        <f t="shared" si="50"/>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9"/>
        <v>0</v>
      </c>
      <c r="J297" s="330" t="str">
        <f t="shared" si="50"/>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9"/>
        <v>0</v>
      </c>
      <c r="J298" s="330" t="str">
        <f t="shared" si="50"/>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9"/>
        <v>0</v>
      </c>
      <c r="J299" s="330" t="str">
        <f t="shared" si="50"/>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9"/>
        <v>0</v>
      </c>
      <c r="J300" s="330" t="str">
        <f t="shared" si="50"/>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6">G301-H301</f>
        <v>0</v>
      </c>
      <c r="J301" s="330" t="str">
        <f t="shared" ref="J301:J316" si="57">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6"/>
        <v>0</v>
      </c>
      <c r="J302" s="330" t="str">
        <f t="shared" si="57"/>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8">SUM(C304:C313)</f>
        <v>0</v>
      </c>
      <c r="D303" s="444">
        <f t="shared" si="58"/>
        <v>0</v>
      </c>
      <c r="E303" s="441">
        <f t="shared" si="58"/>
        <v>0</v>
      </c>
      <c r="F303" s="443">
        <f t="shared" si="58"/>
        <v>0</v>
      </c>
      <c r="G303" s="441">
        <f t="shared" si="58"/>
        <v>0</v>
      </c>
      <c r="H303" s="443">
        <f t="shared" si="58"/>
        <v>0</v>
      </c>
      <c r="I303" s="44">
        <f t="shared" si="56"/>
        <v>0</v>
      </c>
      <c r="J303" s="330" t="str">
        <f t="shared" si="57"/>
        <v/>
      </c>
      <c r="K303" s="442">
        <f t="shared" si="58"/>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6"/>
        <v>0</v>
      </c>
      <c r="J304" s="330" t="str">
        <f t="shared" si="57"/>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6"/>
        <v>0</v>
      </c>
      <c r="J305" s="330" t="str">
        <f t="shared" si="57"/>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6"/>
        <v>0</v>
      </c>
      <c r="J306" s="330" t="str">
        <f t="shared" si="57"/>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6"/>
        <v>0</v>
      </c>
      <c r="J307" s="330" t="str">
        <f t="shared" si="57"/>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6"/>
        <v>0</v>
      </c>
      <c r="J308" s="330" t="str">
        <f t="shared" si="57"/>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6"/>
        <v>0</v>
      </c>
      <c r="J309" s="330" t="str">
        <f t="shared" si="57"/>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6"/>
        <v>0</v>
      </c>
      <c r="J310" s="330" t="str">
        <f t="shared" si="57"/>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6"/>
        <v>0</v>
      </c>
      <c r="J311" s="330" t="str">
        <f t="shared" si="57"/>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6"/>
        <v>0</v>
      </c>
      <c r="J312" s="330" t="str">
        <f t="shared" si="57"/>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6"/>
        <v>0</v>
      </c>
      <c r="J313" s="330" t="str">
        <f t="shared" si="57"/>
        <v/>
      </c>
      <c r="K313" s="395"/>
      <c r="L313" s="452">
        <f t="shared" ref="L313:W313" si="59">SUM(L148:L224)</f>
        <v>0</v>
      </c>
      <c r="M313" s="453">
        <f t="shared" si="59"/>
        <v>0</v>
      </c>
      <c r="N313" s="453">
        <f t="shared" si="59"/>
        <v>0</v>
      </c>
      <c r="O313" s="453">
        <f t="shared" si="59"/>
        <v>0</v>
      </c>
      <c r="P313" s="453">
        <f t="shared" si="59"/>
        <v>0</v>
      </c>
      <c r="Q313" s="453">
        <f t="shared" si="59"/>
        <v>0</v>
      </c>
      <c r="R313" s="453">
        <f t="shared" si="59"/>
        <v>0</v>
      </c>
      <c r="S313" s="453">
        <f t="shared" si="59"/>
        <v>0</v>
      </c>
      <c r="T313" s="453">
        <f t="shared" si="59"/>
        <v>0</v>
      </c>
      <c r="U313" s="453">
        <f t="shared" si="59"/>
        <v>0</v>
      </c>
      <c r="V313" s="453">
        <f t="shared" si="59"/>
        <v>0</v>
      </c>
      <c r="W313" s="453">
        <f t="shared" si="59"/>
        <v>0</v>
      </c>
    </row>
    <row r="314" spans="1:23" ht="12.75" customHeight="1" x14ac:dyDescent="0.25">
      <c r="A314" s="711" t="s">
        <v>799</v>
      </c>
      <c r="B314" s="712"/>
      <c r="C314" s="508">
        <f>C149+C160+C171+C182+C193+C204+C215+C226+C237+C259+C270+C281+C292+C303+C248</f>
        <v>0</v>
      </c>
      <c r="D314" s="475">
        <f t="shared" ref="D314:K314" si="60">D149+D160+D171+D182+D193+D204+D215+D226+D237+D259+D270+D281+D292+D303+D248</f>
        <v>71724000</v>
      </c>
      <c r="E314" s="430">
        <f t="shared" si="60"/>
        <v>364790788</v>
      </c>
      <c r="F314" s="474">
        <f t="shared" si="60"/>
        <v>15416357.549999999</v>
      </c>
      <c r="G314" s="430">
        <f t="shared" si="60"/>
        <v>172726213.83999997</v>
      </c>
      <c r="H314" s="474">
        <f t="shared" si="60"/>
        <v>273593091</v>
      </c>
      <c r="I314" s="430">
        <f t="shared" si="56"/>
        <v>-100866877.16000003</v>
      </c>
      <c r="J314" s="430">
        <f t="shared" si="57"/>
        <v>-0.3686747965430166</v>
      </c>
      <c r="K314" s="513">
        <f t="shared" si="60"/>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6"/>
        <v>0</v>
      </c>
      <c r="J315" s="50" t="str">
        <f t="shared" si="57"/>
        <v/>
      </c>
      <c r="K315" s="194"/>
      <c r="L315" s="480">
        <f t="shared" ref="L315:W315" si="61">L144-L313</f>
        <v>0</v>
      </c>
      <c r="M315" s="481">
        <f t="shared" si="61"/>
        <v>0</v>
      </c>
      <c r="N315" s="481">
        <f t="shared" si="61"/>
        <v>0</v>
      </c>
      <c r="O315" s="481">
        <f t="shared" si="61"/>
        <v>0</v>
      </c>
      <c r="P315" s="481">
        <f t="shared" si="61"/>
        <v>0</v>
      </c>
      <c r="Q315" s="481">
        <f t="shared" si="61"/>
        <v>0</v>
      </c>
      <c r="R315" s="481">
        <f t="shared" si="61"/>
        <v>0</v>
      </c>
      <c r="S315" s="481">
        <f t="shared" si="61"/>
        <v>0</v>
      </c>
      <c r="T315" s="481">
        <f t="shared" si="61"/>
        <v>0</v>
      </c>
      <c r="U315" s="481">
        <f t="shared" si="61"/>
        <v>0</v>
      </c>
      <c r="V315" s="481">
        <f t="shared" si="61"/>
        <v>0</v>
      </c>
      <c r="W315" s="481">
        <f t="shared" si="61"/>
        <v>0</v>
      </c>
    </row>
    <row r="316" spans="1:23" s="486" customFormat="1" ht="13.5" customHeight="1" thickTop="1" x14ac:dyDescent="0.25">
      <c r="A316" s="53" t="s">
        <v>761</v>
      </c>
      <c r="B316" s="477"/>
      <c r="C316" s="509">
        <f>C145+C314</f>
        <v>0</v>
      </c>
      <c r="D316" s="512">
        <f t="shared" ref="D316:K316" si="62">D145+D314</f>
        <v>580891581</v>
      </c>
      <c r="E316" s="55">
        <f t="shared" si="62"/>
        <v>747190359.77999997</v>
      </c>
      <c r="F316" s="479">
        <f t="shared" si="62"/>
        <v>30125543.949999999</v>
      </c>
      <c r="G316" s="55">
        <f t="shared" si="62"/>
        <v>316129223.18999994</v>
      </c>
      <c r="H316" s="479">
        <f t="shared" si="62"/>
        <v>560392769.83500004</v>
      </c>
      <c r="I316" s="55">
        <f t="shared" si="56"/>
        <v>-244263546.6450001</v>
      </c>
      <c r="J316" s="55">
        <f t="shared" si="57"/>
        <v>-0.43587919008469744</v>
      </c>
      <c r="K316" s="235">
        <f t="shared" si="62"/>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J30" sqref="J30"/>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9" t="str">
        <f>muni&amp; " - "&amp;S71E&amp; " - "&amp;date</f>
        <v>KZN225 Msunduzi - Table C6 Consolidated Monthly Budget Statement - Financial Position  - Q3 Third Quarter</v>
      </c>
      <c r="B1" s="1059"/>
      <c r="C1" s="1059"/>
      <c r="D1" s="1059"/>
      <c r="E1" s="1059"/>
      <c r="F1" s="1059"/>
      <c r="G1" s="1059"/>
    </row>
    <row r="2" spans="1:8" x14ac:dyDescent="0.25">
      <c r="A2" s="1044" t="str">
        <f>desc</f>
        <v>Description</v>
      </c>
      <c r="B2" s="1037" t="str">
        <f>head27</f>
        <v>Ref</v>
      </c>
      <c r="C2" s="140" t="str">
        <f>Head1</f>
        <v>2019/20</v>
      </c>
      <c r="D2" s="245" t="str">
        <f>Head2</f>
        <v>Budget Year 2020/21</v>
      </c>
      <c r="E2" s="229"/>
      <c r="F2" s="229"/>
      <c r="G2" s="230"/>
    </row>
    <row r="3" spans="1:8" ht="25.5" x14ac:dyDescent="0.25">
      <c r="A3" s="1045"/>
      <c r="B3" s="1048"/>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219655439.85161698</v>
      </c>
      <c r="F7" s="733">
        <v>-144301128.81999999</v>
      </c>
      <c r="G7" s="735">
        <f>E7</f>
        <v>219655439.85161698</v>
      </c>
    </row>
    <row r="8" spans="1:8" ht="12.75" customHeight="1" x14ac:dyDescent="0.25">
      <c r="A8" s="39" t="s">
        <v>590</v>
      </c>
      <c r="B8" s="169"/>
      <c r="C8" s="748"/>
      <c r="D8" s="753">
        <v>16771734.260000002</v>
      </c>
      <c r="E8" s="733">
        <v>67212254.891475201</v>
      </c>
      <c r="F8" s="733">
        <v>608605131.9799999</v>
      </c>
      <c r="G8" s="735">
        <f t="shared" ref="G8:G10" si="0">E8</f>
        <v>67212254.891475201</v>
      </c>
    </row>
    <row r="9" spans="1:8" ht="12.75" customHeight="1" x14ac:dyDescent="0.25">
      <c r="A9" s="39" t="s">
        <v>588</v>
      </c>
      <c r="B9" s="169"/>
      <c r="C9" s="748"/>
      <c r="D9" s="753">
        <v>2485904793.8587079</v>
      </c>
      <c r="E9" s="733">
        <v>2165986452.8837075</v>
      </c>
      <c r="F9" s="733">
        <v>2279688602.0499978</v>
      </c>
      <c r="G9" s="735">
        <f t="shared" si="0"/>
        <v>2165986452.8837075</v>
      </c>
    </row>
    <row r="10" spans="1:8" ht="12.75" customHeight="1" x14ac:dyDescent="0.25">
      <c r="A10" s="39" t="s">
        <v>589</v>
      </c>
      <c r="B10" s="169"/>
      <c r="C10" s="748"/>
      <c r="D10" s="753">
        <v>67823549.673443094</v>
      </c>
      <c r="E10" s="733">
        <v>67823549.673443094</v>
      </c>
      <c r="F10" s="733">
        <v>16516034.200000005</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173496047.05902392</v>
      </c>
      <c r="F12" s="733">
        <v>370113511.47999996</v>
      </c>
      <c r="G12" s="735">
        <f>E12</f>
        <v>173496047.05902392</v>
      </c>
    </row>
    <row r="13" spans="1:8" ht="12.75" customHeight="1" x14ac:dyDescent="0.25">
      <c r="A13" s="92" t="s">
        <v>632</v>
      </c>
      <c r="B13" s="233"/>
      <c r="C13" s="243">
        <f>SUM(C7:C12)</f>
        <v>0</v>
      </c>
      <c r="D13" s="260">
        <f>SUM(D7:D12)</f>
        <v>2972344764.6444831</v>
      </c>
      <c r="E13" s="73">
        <f>SUM(E7:E12)</f>
        <v>2694173744.3592668</v>
      </c>
      <c r="F13" s="73">
        <f>SUM(F7:F12)</f>
        <v>3130622150.8899975</v>
      </c>
      <c r="G13" s="145">
        <f>SUM(G7:G12)</f>
        <v>2694173744.3592668</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-822424.13000000082</v>
      </c>
      <c r="G16" s="733"/>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 t="shared" ref="G18:G24" si="1">E18</f>
        <v>782332533.60000002</v>
      </c>
      <c r="H18" s="39"/>
    </row>
    <row r="19" spans="1:8" ht="12.75" customHeight="1" x14ac:dyDescent="0.25">
      <c r="A19" s="39" t="s">
        <v>278</v>
      </c>
      <c r="B19" s="169"/>
      <c r="C19" s="748"/>
      <c r="D19" s="753"/>
      <c r="E19" s="733">
        <v>0</v>
      </c>
      <c r="F19" s="733"/>
      <c r="G19" s="735"/>
      <c r="H19" s="39"/>
    </row>
    <row r="20" spans="1:8" ht="12.75" customHeight="1" x14ac:dyDescent="0.25">
      <c r="A20" s="39" t="s">
        <v>584</v>
      </c>
      <c r="B20" s="169"/>
      <c r="C20" s="748"/>
      <c r="D20" s="753">
        <v>7111997635.7252645</v>
      </c>
      <c r="E20" s="733">
        <v>7285796412.2295036</v>
      </c>
      <c r="F20" s="733">
        <v>6679921671.0600004</v>
      </c>
      <c r="G20" s="735">
        <f t="shared" si="1"/>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22837815.969999999</v>
      </c>
      <c r="G23" s="735">
        <f t="shared" si="1"/>
        <v>46132727.226800002</v>
      </c>
      <c r="H23" s="39"/>
    </row>
    <row r="24" spans="1:8" ht="12.75" customHeight="1" x14ac:dyDescent="0.25">
      <c r="A24" s="39" t="s">
        <v>795</v>
      </c>
      <c r="B24" s="169"/>
      <c r="C24" s="748"/>
      <c r="D24" s="753">
        <v>395927434.26520002</v>
      </c>
      <c r="E24" s="733">
        <v>395927434.26520002</v>
      </c>
      <c r="F24" s="733">
        <v>73100000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7483734312.8500004</v>
      </c>
      <c r="G25" s="145">
        <f>SUM(G16:G20)+SUM(G22:G24)</f>
        <v>8511254429.0807037</v>
      </c>
      <c r="H25" s="39"/>
    </row>
    <row r="26" spans="1:8" ht="12.75" customHeight="1" x14ac:dyDescent="0.25">
      <c r="A26" s="92" t="s">
        <v>778</v>
      </c>
      <c r="B26" s="233"/>
      <c r="C26" s="243">
        <f>C13+C25</f>
        <v>0</v>
      </c>
      <c r="D26" s="260">
        <f>D13+D25</f>
        <v>11312770417.220949</v>
      </c>
      <c r="E26" s="73">
        <f>E13+E25</f>
        <v>11205428173.43997</v>
      </c>
      <c r="F26" s="73">
        <f>F13+F25</f>
        <v>10614356463.739998</v>
      </c>
      <c r="G26" s="145">
        <f>G13+G25</f>
        <v>11205428173.43997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398904726.38999999</v>
      </c>
      <c r="G31" s="735">
        <f t="shared" ref="G31:G34" si="2">E31</f>
        <v>85380595.876948789</v>
      </c>
    </row>
    <row r="32" spans="1:8" ht="12.75" customHeight="1" x14ac:dyDescent="0.25">
      <c r="A32" s="39" t="s">
        <v>583</v>
      </c>
      <c r="B32" s="169"/>
      <c r="C32" s="748"/>
      <c r="D32" s="753">
        <v>114344430.65218705</v>
      </c>
      <c r="E32" s="733">
        <v>114344430.65218705</v>
      </c>
      <c r="F32" s="733">
        <v>124891084.39</v>
      </c>
      <c r="G32" s="735">
        <f t="shared" si="2"/>
        <v>114344430.65218705</v>
      </c>
    </row>
    <row r="33" spans="1:7" ht="12.75" customHeight="1" x14ac:dyDescent="0.25">
      <c r="A33" s="39" t="s">
        <v>787</v>
      </c>
      <c r="B33" s="169"/>
      <c r="C33" s="748"/>
      <c r="D33" s="753">
        <v>1101595513.0999999</v>
      </c>
      <c r="E33" s="733">
        <v>1005724626.099849</v>
      </c>
      <c r="F33" s="733">
        <v>866653827.61000001</v>
      </c>
      <c r="G33" s="735">
        <f t="shared" si="2"/>
        <v>1005724626.099849</v>
      </c>
    </row>
    <row r="34" spans="1:7" ht="12.75" customHeight="1" x14ac:dyDescent="0.25">
      <c r="A34" s="39" t="s">
        <v>546</v>
      </c>
      <c r="B34" s="169"/>
      <c r="C34" s="748"/>
      <c r="D34" s="753">
        <v>140397811.785</v>
      </c>
      <c r="E34" s="733">
        <v>140397811.785</v>
      </c>
      <c r="F34" s="733">
        <v>39036244</v>
      </c>
      <c r="G34" s="735">
        <f t="shared" si="2"/>
        <v>140397811.785</v>
      </c>
    </row>
    <row r="35" spans="1:7" ht="12.75" customHeight="1" x14ac:dyDescent="0.25">
      <c r="A35" s="92" t="s">
        <v>459</v>
      </c>
      <c r="B35" s="233"/>
      <c r="C35" s="243">
        <f>SUM(C30:C34)</f>
        <v>0</v>
      </c>
      <c r="D35" s="260">
        <f>SUM(D30:D34)</f>
        <v>1441718351.4141357</v>
      </c>
      <c r="E35" s="73">
        <f>SUM(E30:E34)</f>
        <v>1345847464.413985</v>
      </c>
      <c r="F35" s="73">
        <f>SUM(F30:F34)</f>
        <v>1429485882.3899999</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531179839.63999999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2245983717.6799998</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8767715757.0954189</v>
      </c>
      <c r="F43" s="76">
        <f>F26-F41</f>
        <v>8368372746.0599976</v>
      </c>
      <c r="G43" s="234">
        <f>G26-G41</f>
        <v>8767715757.0954189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8538802498.9995632</v>
      </c>
      <c r="F46" s="733">
        <v>8176318223.7999973</v>
      </c>
      <c r="G46" s="735">
        <f t="shared" ref="G46:G47" si="4">E46</f>
        <v>8538802498.9995632</v>
      </c>
    </row>
    <row r="47" spans="1:7" ht="12.75" customHeight="1" x14ac:dyDescent="0.25">
      <c r="A47" s="39" t="s">
        <v>902</v>
      </c>
      <c r="B47" s="169"/>
      <c r="C47" s="748"/>
      <c r="D47" s="753">
        <v>228913258</v>
      </c>
      <c r="E47" s="733">
        <v>228913258.09585571</v>
      </c>
      <c r="F47" s="733">
        <v>192054522.25999999</v>
      </c>
      <c r="G47" s="735">
        <f t="shared" si="4"/>
        <v>228913258.09585571</v>
      </c>
    </row>
    <row r="48" spans="1:7" ht="12.75" customHeight="1" x14ac:dyDescent="0.25">
      <c r="A48" s="53" t="s">
        <v>626</v>
      </c>
      <c r="B48" s="236">
        <v>2</v>
      </c>
      <c r="C48" s="112">
        <f>SUM(C46:C47)</f>
        <v>0</v>
      </c>
      <c r="D48" s="271">
        <f>SUM(D46:D47)</f>
        <v>8779187113.8762474</v>
      </c>
      <c r="E48" s="55">
        <f>SUM(E46:E47)</f>
        <v>8767715757.0954189</v>
      </c>
      <c r="F48" s="55">
        <f>SUM(F46:F47)</f>
        <v>8368372746.0599976</v>
      </c>
      <c r="G48" s="235">
        <f>SUM(G46:G47)</f>
        <v>8767715757.0954189</v>
      </c>
    </row>
    <row r="49" spans="1:7" ht="12.75" customHeight="1" x14ac:dyDescent="0.25">
      <c r="A49" s="78" t="str">
        <f>head27a</f>
        <v>References</v>
      </c>
      <c r="B49" s="58"/>
      <c r="C49" s="49"/>
      <c r="D49" s="49"/>
      <c r="E49" s="49"/>
      <c r="F49" s="49"/>
      <c r="G49" s="49"/>
    </row>
    <row r="50" spans="1:7" ht="13.5" customHeight="1" x14ac:dyDescent="0.25">
      <c r="A50" s="1058" t="s">
        <v>145</v>
      </c>
      <c r="B50" s="1058"/>
      <c r="C50" s="1058"/>
      <c r="D50" s="1058"/>
      <c r="E50" s="1058"/>
      <c r="F50" s="1058"/>
      <c r="G50" s="1058"/>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P32" sqref="P32"/>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"&amp;S71F&amp; " - "&amp;date</f>
        <v>KZN225 Msunduzi - Table C7 Consolidated Monthly Budget Statement - Cash Flow  - Q3 Third Quarter</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1041231567.0978758</v>
      </c>
      <c r="F7" s="733">
        <v>72091424.269999996</v>
      </c>
      <c r="G7" s="733">
        <v>137200485.66999972</v>
      </c>
      <c r="H7" s="733">
        <f>E7/12*9</f>
        <v>780923675.32340682</v>
      </c>
      <c r="I7" s="44">
        <f t="shared" ref="I7:I13" si="0">G7-H7</f>
        <v>-643723189.6534071</v>
      </c>
      <c r="J7" s="330">
        <f>IF(I7=0,"",I7/H7)</f>
        <v>-0.82430999340213318</v>
      </c>
      <c r="K7" s="735">
        <f>E7</f>
        <v>1041231567.0978758</v>
      </c>
    </row>
    <row r="8" spans="1:11" ht="12.75" customHeight="1" x14ac:dyDescent="0.25">
      <c r="A8" s="518" t="s">
        <v>962</v>
      </c>
      <c r="B8" s="169"/>
      <c r="C8" s="748"/>
      <c r="D8" s="745">
        <v>3039399061.9489746</v>
      </c>
      <c r="E8" s="733">
        <v>2932126153.8801875</v>
      </c>
      <c r="F8" s="733">
        <v>218966797.37000099</v>
      </c>
      <c r="G8" s="733">
        <v>405761038.22000301</v>
      </c>
      <c r="H8" s="733">
        <f t="shared" ref="H8:H12" si="1">E8/12*9</f>
        <v>2199094615.4101405</v>
      </c>
      <c r="I8" s="44">
        <f t="shared" si="0"/>
        <v>-1793333577.1901374</v>
      </c>
      <c r="J8" s="330">
        <f>IF(I8=0,"",I8/H8)</f>
        <v>-0.81548723034623638</v>
      </c>
      <c r="K8" s="735">
        <f t="shared" ref="K8:K12" si="2">E8</f>
        <v>2932126153.8801875</v>
      </c>
    </row>
    <row r="9" spans="1:11" ht="12.75" customHeight="1" x14ac:dyDescent="0.25">
      <c r="A9" s="518" t="s">
        <v>453</v>
      </c>
      <c r="B9" s="169"/>
      <c r="C9" s="748"/>
      <c r="D9" s="745">
        <v>152193014.45782498</v>
      </c>
      <c r="E9" s="733">
        <v>152193014.45782498</v>
      </c>
      <c r="F9" s="733">
        <v>108262006.36999901</v>
      </c>
      <c r="G9" s="733">
        <v>264590840.25999749</v>
      </c>
      <c r="H9" s="733">
        <f t="shared" si="1"/>
        <v>114144760.84336874</v>
      </c>
      <c r="I9" s="44">
        <f t="shared" si="0"/>
        <v>150446079.41662875</v>
      </c>
      <c r="J9" s="330">
        <f>IF(I9=0,"",I9/H9)</f>
        <v>1.3180287759599694</v>
      </c>
      <c r="K9" s="735">
        <f t="shared" si="2"/>
        <v>152193014.45782498</v>
      </c>
    </row>
    <row r="10" spans="1:11" ht="12.75" customHeight="1" x14ac:dyDescent="0.25">
      <c r="A10" s="992" t="s">
        <v>1372</v>
      </c>
      <c r="B10" s="171"/>
      <c r="C10" s="748"/>
      <c r="D10" s="745">
        <v>675483240</v>
      </c>
      <c r="E10" s="733">
        <v>819982787</v>
      </c>
      <c r="F10" s="733"/>
      <c r="G10" s="733">
        <v>301948058.13999999</v>
      </c>
      <c r="H10" s="733">
        <f t="shared" si="1"/>
        <v>614987090.25</v>
      </c>
      <c r="I10" s="44">
        <f t="shared" si="0"/>
        <v>-313039032.11000001</v>
      </c>
      <c r="J10" s="330">
        <f>IF(I10=0,"",I10/H10)</f>
        <v>-0.50901724129322079</v>
      </c>
      <c r="K10" s="735">
        <f t="shared" si="2"/>
        <v>819982787</v>
      </c>
    </row>
    <row r="11" spans="1:11" ht="12.75" customHeight="1" x14ac:dyDescent="0.25">
      <c r="A11" s="992" t="s">
        <v>1373</v>
      </c>
      <c r="B11" s="171"/>
      <c r="C11" s="748"/>
      <c r="D11" s="745">
        <v>525891580.99999982</v>
      </c>
      <c r="E11" s="733">
        <v>526485334.99999982</v>
      </c>
      <c r="F11" s="733">
        <v>4215397.12</v>
      </c>
      <c r="G11" s="733">
        <v>34561789.240000002</v>
      </c>
      <c r="H11" s="733">
        <f t="shared" si="1"/>
        <v>394864001.24999982</v>
      </c>
      <c r="I11" s="44">
        <f t="shared" si="0"/>
        <v>-360302212.00999981</v>
      </c>
      <c r="J11" s="330">
        <f t="shared" ref="J11:J18" si="3">IF(I11=0,"",I11/H11)</f>
        <v>-0.91247166333069207</v>
      </c>
      <c r="K11" s="735">
        <f t="shared" si="2"/>
        <v>526485334.99999982</v>
      </c>
    </row>
    <row r="12" spans="1:11" ht="12.75" customHeight="1" x14ac:dyDescent="0.25">
      <c r="A12" s="86" t="s">
        <v>886</v>
      </c>
      <c r="B12" s="171"/>
      <c r="C12" s="748"/>
      <c r="D12" s="745">
        <v>185060483.86592242</v>
      </c>
      <c r="E12" s="733">
        <v>185169383.865922</v>
      </c>
      <c r="F12" s="733">
        <v>32821</v>
      </c>
      <c r="G12" s="733">
        <v>179133</v>
      </c>
      <c r="H12" s="733">
        <f t="shared" si="1"/>
        <v>138877037.89944151</v>
      </c>
      <c r="I12" s="44">
        <f t="shared" si="0"/>
        <v>-138697904.89944151</v>
      </c>
      <c r="J12" s="330">
        <f t="shared" si="3"/>
        <v>-0.99871013233930217</v>
      </c>
      <c r="K12" s="735">
        <f t="shared" si="2"/>
        <v>185169383.865922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-4980315359.5587177</v>
      </c>
      <c r="F15" s="733">
        <f>((((-499096406.78-1167576)+-1316488)+-1231860)+-878964)+-1110463</f>
        <v>-504801757.77999997</v>
      </c>
      <c r="G15" s="733">
        <v>-1178118350.0799999</v>
      </c>
      <c r="H15" s="733">
        <f t="shared" ref="H15:H17" si="4">E15/12*9</f>
        <v>-3735236519.6690383</v>
      </c>
      <c r="I15" s="44">
        <f>H15-G15</f>
        <v>-2557118169.5890384</v>
      </c>
      <c r="J15" s="330">
        <f t="shared" si="3"/>
        <v>0.6845933734379992</v>
      </c>
      <c r="K15" s="735">
        <f t="shared" ref="K15:K17" si="5">E15</f>
        <v>-4980315359.5587177</v>
      </c>
    </row>
    <row r="16" spans="1:11" ht="12.75" customHeight="1" x14ac:dyDescent="0.25">
      <c r="A16" s="86" t="s">
        <v>452</v>
      </c>
      <c r="B16" s="171"/>
      <c r="C16" s="748"/>
      <c r="D16" s="745">
        <v>-31793212.220000003</v>
      </c>
      <c r="E16" s="733">
        <v>-36505334.219999969</v>
      </c>
      <c r="F16" s="733">
        <v>-7584129.6500000004</v>
      </c>
      <c r="G16" s="733">
        <v>-12188526.43</v>
      </c>
      <c r="H16" s="733">
        <f t="shared" si="4"/>
        <v>-27379000.664999977</v>
      </c>
      <c r="I16" s="44">
        <f>H16-G16</f>
        <v>-15190474.234999977</v>
      </c>
      <c r="J16" s="330">
        <f t="shared" si="3"/>
        <v>0.55482208503025321</v>
      </c>
      <c r="K16" s="735">
        <f t="shared" si="5"/>
        <v>-36505334.219999969</v>
      </c>
    </row>
    <row r="17" spans="1:11" ht="12.75" customHeight="1" x14ac:dyDescent="0.25">
      <c r="A17" s="86" t="s">
        <v>69</v>
      </c>
      <c r="B17" s="171"/>
      <c r="C17" s="748"/>
      <c r="D17" s="745">
        <v>-25080461.44304001</v>
      </c>
      <c r="E17" s="733">
        <v>-46080462</v>
      </c>
      <c r="F17" s="733"/>
      <c r="G17" s="733"/>
      <c r="H17" s="733">
        <f t="shared" si="4"/>
        <v>-34560346.5</v>
      </c>
      <c r="I17" s="44">
        <f>H17-G17</f>
        <v>-34560346.5</v>
      </c>
      <c r="J17" s="330">
        <f t="shared" si="3"/>
        <v>1</v>
      </c>
      <c r="K17" s="735">
        <f t="shared" si="5"/>
        <v>-46080462</v>
      </c>
    </row>
    <row r="18" spans="1:11" ht="12.75" customHeight="1" x14ac:dyDescent="0.25">
      <c r="A18" s="92" t="s">
        <v>889</v>
      </c>
      <c r="B18" s="233"/>
      <c r="C18" s="243">
        <f t="shared" ref="C18:H18" si="6">SUM(C7:C13)+SUM(C15:C17)</f>
        <v>0</v>
      </c>
      <c r="D18" s="74">
        <f t="shared" si="6"/>
        <v>752533430.43256187</v>
      </c>
      <c r="E18" s="73">
        <f t="shared" si="6"/>
        <v>594287085.52309227</v>
      </c>
      <c r="F18" s="73">
        <f t="shared" si="6"/>
        <v>-108817441.29999995</v>
      </c>
      <c r="G18" s="73">
        <f t="shared" si="6"/>
        <v>-46065531.979999781</v>
      </c>
      <c r="H18" s="73">
        <f t="shared" si="6"/>
        <v>445715314.1423192</v>
      </c>
      <c r="I18" s="73">
        <f>H18-G18</f>
        <v>491780846.12231898</v>
      </c>
      <c r="J18" s="331">
        <f t="shared" si="3"/>
        <v>1.1033519166121601</v>
      </c>
      <c r="K18" s="145">
        <f>SUM(K7:K13)+SUM(K15:K17)</f>
        <v>594287085.52309227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v>-51606411.259999998</v>
      </c>
      <c r="G27" s="733">
        <v>-32833404.490000002</v>
      </c>
      <c r="H27" s="733">
        <f>E27/12*9</f>
        <v>-560392768.33499992</v>
      </c>
      <c r="I27" s="44">
        <f>H27-G27</f>
        <v>-527559363.84499991</v>
      </c>
      <c r="J27" s="330">
        <f t="shared" si="7"/>
        <v>0.94141001393085011</v>
      </c>
      <c r="K27" s="735">
        <f>E27</f>
        <v>-747190357.77999985</v>
      </c>
    </row>
    <row r="28" spans="1:11" ht="12.75" customHeight="1" x14ac:dyDescent="0.25">
      <c r="A28" s="92" t="s">
        <v>890</v>
      </c>
      <c r="B28" s="233"/>
      <c r="C28" s="545">
        <f t="shared" ref="C28:H28" si="8">SUM(C22:C25)+C27</f>
        <v>0</v>
      </c>
      <c r="D28" s="74">
        <f>SUM(D22:D25)+D27</f>
        <v>-580891580.99999988</v>
      </c>
      <c r="E28" s="73">
        <f t="shared" si="8"/>
        <v>-747190357.77999985</v>
      </c>
      <c r="F28" s="73">
        <f t="shared" si="8"/>
        <v>-51606411.259999998</v>
      </c>
      <c r="G28" s="73">
        <f t="shared" si="8"/>
        <v>-32833404.490000002</v>
      </c>
      <c r="H28" s="73">
        <f t="shared" si="8"/>
        <v>-560392768.33499992</v>
      </c>
      <c r="I28" s="73">
        <f>H28-G28</f>
        <v>-527559363.84499991</v>
      </c>
      <c r="J28" s="331">
        <f t="shared" si="7"/>
        <v>0.94141001393085011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E36/12*9</f>
        <v>-59404500</v>
      </c>
      <c r="I36" s="44">
        <f>H36-G36</f>
        <v>-39148309.629999995</v>
      </c>
      <c r="J36" s="330">
        <f t="shared" si="9"/>
        <v>0.65901252649210074</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-59404500</v>
      </c>
      <c r="I37" s="73">
        <f>H37-G37</f>
        <v>-39148309.629999995</v>
      </c>
      <c r="J37" s="331">
        <f t="shared" si="9"/>
        <v>0.65901252649210074</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-232109272.25690758</v>
      </c>
      <c r="F39" s="50">
        <f t="shared" si="11"/>
        <v>-179990638.93999994</v>
      </c>
      <c r="G39" s="50">
        <f t="shared" si="11"/>
        <v>-99155126.839999795</v>
      </c>
      <c r="H39" s="50">
        <f t="shared" si="11"/>
        <v>-174081954.19268072</v>
      </c>
      <c r="I39" s="327"/>
      <c r="J39" s="327"/>
      <c r="K39" s="194">
        <f>K18+K28+K37</f>
        <v>-232109272.25690758</v>
      </c>
    </row>
    <row r="40" spans="1:11" ht="12.75" customHeight="1" x14ac:dyDescent="0.25">
      <c r="A40" s="39" t="s">
        <v>505</v>
      </c>
      <c r="B40" s="169"/>
      <c r="C40" s="748"/>
      <c r="D40" s="745">
        <v>290000000</v>
      </c>
      <c r="E40" s="733">
        <v>518976967</v>
      </c>
      <c r="F40" s="273"/>
      <c r="G40" s="733">
        <v>470048249</v>
      </c>
      <c r="H40" s="44">
        <f>IF(E40=0, D40, E40)</f>
        <v>518976967</v>
      </c>
      <c r="I40" s="273"/>
      <c r="J40" s="273"/>
      <c r="K40" s="385">
        <f>G40</f>
        <v>470048249</v>
      </c>
    </row>
    <row r="41" spans="1:11" ht="12.75" customHeight="1" x14ac:dyDescent="0.25">
      <c r="A41" s="129" t="s">
        <v>55</v>
      </c>
      <c r="B41" s="119"/>
      <c r="C41" s="225">
        <f>C39+C40</f>
        <v>0</v>
      </c>
      <c r="D41" s="116">
        <f>D39+D40</f>
        <v>382435849.43256199</v>
      </c>
      <c r="E41" s="115">
        <f>E39+E40</f>
        <v>286867694.74309242</v>
      </c>
      <c r="F41" s="274"/>
      <c r="G41" s="115">
        <f>G39+G40</f>
        <v>370893122.16000021</v>
      </c>
      <c r="H41" s="115">
        <f>H39+H40</f>
        <v>344895012.80731928</v>
      </c>
      <c r="I41" s="274"/>
      <c r="J41" s="274"/>
      <c r="K41" s="190">
        <f>K39+K40</f>
        <v>237938976.74309242</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tabSelected="1" zoomScaleNormal="100" workbookViewId="0">
      <pane xSplit="2" ySplit="4" topLeftCell="C5" activePane="bottomRight" state="frozen"/>
      <selection pane="topRight"/>
      <selection pane="bottomLeft"/>
      <selection pane="bottomRight" activeCell="B19" sqref="B19"/>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5" t="str">
        <f>muni&amp; " - "&amp;S71G&amp; " - "&amp;date</f>
        <v>KZN225 Msunduzi - Supporting Table SC1 Material variance explanations  - Q3 Third Quarter</v>
      </c>
      <c r="B1" s="1055"/>
      <c r="C1" s="1055"/>
      <c r="D1" s="1055"/>
      <c r="E1" s="1055"/>
    </row>
    <row r="2" spans="1:5" x14ac:dyDescent="0.25">
      <c r="A2" s="1037" t="str">
        <f>head27</f>
        <v>Ref</v>
      </c>
      <c r="B2" s="1044" t="str">
        <f>desc</f>
        <v>Description</v>
      </c>
      <c r="C2" s="269"/>
      <c r="D2" s="269"/>
      <c r="E2" s="275"/>
    </row>
    <row r="3" spans="1:5" x14ac:dyDescent="0.25">
      <c r="A3" s="1048"/>
      <c r="B3" s="1045"/>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1092">
        <v>-0.58870941753697237</v>
      </c>
      <c r="D6" s="758" t="s">
        <v>1476</v>
      </c>
      <c r="E6" s="758" t="s">
        <v>1477</v>
      </c>
    </row>
    <row r="7" spans="1:5" ht="11.25" customHeight="1" x14ac:dyDescent="0.25">
      <c r="A7" s="169"/>
      <c r="B7" s="758" t="s">
        <v>838</v>
      </c>
      <c r="C7" s="1092">
        <v>-0.53011145917807601</v>
      </c>
      <c r="D7" s="758" t="s">
        <v>1478</v>
      </c>
      <c r="E7" s="758" t="s">
        <v>1477</v>
      </c>
    </row>
    <row r="8" spans="1:5" ht="11.25" customHeight="1" x14ac:dyDescent="0.25">
      <c r="A8" s="169"/>
      <c r="B8" s="758" t="s">
        <v>1117</v>
      </c>
      <c r="C8" s="1092">
        <v>-0.64445560032588289</v>
      </c>
      <c r="D8" s="758" t="s">
        <v>1479</v>
      </c>
      <c r="E8" s="758" t="s">
        <v>1480</v>
      </c>
    </row>
    <row r="9" spans="1:5" ht="11.25" customHeight="1" x14ac:dyDescent="0.25">
      <c r="A9" s="169"/>
      <c r="B9" s="758" t="s">
        <v>840</v>
      </c>
      <c r="C9" s="1092">
        <v>-0.45617906205365499</v>
      </c>
      <c r="D9" s="758" t="s">
        <v>1481</v>
      </c>
      <c r="E9" s="758" t="s">
        <v>1477</v>
      </c>
    </row>
    <row r="10" spans="1:5" ht="11.25" customHeight="1" x14ac:dyDescent="0.25">
      <c r="A10" s="169">
        <v>2</v>
      </c>
      <c r="B10" s="386" t="str">
        <f>'C4-FinPerf RE'!A24</f>
        <v>Expenditure By Type</v>
      </c>
      <c r="C10" s="387"/>
      <c r="D10" s="387"/>
      <c r="E10" s="387"/>
    </row>
    <row r="11" spans="1:5" ht="11.25" customHeight="1" x14ac:dyDescent="0.25">
      <c r="A11" s="169"/>
      <c r="B11" s="758" t="s">
        <v>611</v>
      </c>
      <c r="C11" s="1092">
        <v>-0.11701087810684739</v>
      </c>
      <c r="D11" s="758" t="s">
        <v>1482</v>
      </c>
      <c r="E11" s="758" t="s">
        <v>1483</v>
      </c>
    </row>
    <row r="12" spans="1:5" ht="11.25" customHeight="1" x14ac:dyDescent="0.25">
      <c r="A12" s="169"/>
      <c r="B12" s="758" t="s">
        <v>664</v>
      </c>
      <c r="C12" s="1092">
        <v>-0.1231301543098523</v>
      </c>
      <c r="D12" s="758" t="s">
        <v>1484</v>
      </c>
      <c r="E12" s="758" t="s">
        <v>1483</v>
      </c>
    </row>
    <row r="13" spans="1:5" ht="11.25" customHeight="1" x14ac:dyDescent="0.25">
      <c r="A13" s="169"/>
      <c r="B13" s="758" t="s">
        <v>920</v>
      </c>
      <c r="C13" s="1092">
        <v>-0.42122445780367435</v>
      </c>
      <c r="D13" s="758" t="s">
        <v>1485</v>
      </c>
      <c r="E13" s="758" t="s">
        <v>1486</v>
      </c>
    </row>
    <row r="14" spans="1:5" ht="11.25" customHeight="1" x14ac:dyDescent="0.25">
      <c r="A14" s="169"/>
      <c r="B14" s="758" t="s">
        <v>1118</v>
      </c>
      <c r="C14" s="1092">
        <v>-0.23789872203067053</v>
      </c>
      <c r="D14" s="758" t="s">
        <v>1487</v>
      </c>
      <c r="E14" s="758" t="s">
        <v>1486</v>
      </c>
    </row>
    <row r="15" spans="1:5" ht="11.25" customHeight="1" x14ac:dyDescent="0.25">
      <c r="A15" s="169">
        <v>3</v>
      </c>
      <c r="B15" s="386" t="str">
        <f>RIGHT('C5-Capex'!A40,19)</f>
        <v>Capital Expenditure</v>
      </c>
      <c r="C15" s="387"/>
      <c r="D15" s="387"/>
      <c r="E15" s="387"/>
    </row>
    <row r="16" spans="1:5" ht="11.25" customHeight="1" x14ac:dyDescent="0.25">
      <c r="A16" s="169"/>
      <c r="B16" s="758" t="s">
        <v>892</v>
      </c>
      <c r="C16" s="1092">
        <v>-0.43620933174597276</v>
      </c>
      <c r="D16" s="758" t="s">
        <v>1488</v>
      </c>
      <c r="E16" s="758" t="s">
        <v>1487</v>
      </c>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17"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5" t="str">
        <f>muni&amp; " - "&amp;S71H&amp; " - "&amp;Head57</f>
        <v>KZN225 Msunduzi - Supporting Table SC2 Monthly Budget Statement - performance indicators   - Q3 Third Quarter</v>
      </c>
      <c r="B1" s="1055"/>
      <c r="C1" s="1055"/>
      <c r="D1" s="1055"/>
      <c r="E1" s="1055"/>
      <c r="F1" s="1055"/>
      <c r="G1" s="1055"/>
      <c r="H1" s="1055"/>
    </row>
    <row r="2" spans="1:11" ht="12.75" x14ac:dyDescent="0.25">
      <c r="A2" s="1060" t="s">
        <v>554</v>
      </c>
      <c r="B2" s="1044" t="s">
        <v>772</v>
      </c>
      <c r="C2" s="1037" t="str">
        <f>head27</f>
        <v>Ref</v>
      </c>
      <c r="D2" s="138" t="str">
        <f>Head1</f>
        <v>2019/20</v>
      </c>
      <c r="E2" s="245" t="str">
        <f>Head2</f>
        <v>Budget Year 2020/21</v>
      </c>
      <c r="F2" s="229"/>
      <c r="G2" s="229"/>
      <c r="H2" s="230"/>
    </row>
    <row r="3" spans="1:11" ht="25.5" x14ac:dyDescent="0.25">
      <c r="A3" s="1061"/>
      <c r="B3" s="1045"/>
      <c r="C3" s="1048"/>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9.1474170348435677E-2</v>
      </c>
      <c r="G7" s="124">
        <f>IF(ISERROR((G42+G44)/G45),0,((G42+G44)/G45))</f>
        <v>6.9903407749124531E-3</v>
      </c>
      <c r="H7" s="276">
        <f>IF(ISERROR((H42+H44)/H45),0,((H42+H44)/H45))</f>
        <v>1.5891650905154837E-2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0.15661898686274364</v>
      </c>
      <c r="G10" s="124">
        <f>IF(ISERROR(G48/G49),0,(G48/G49))</f>
        <v>0.1853259405038076</v>
      </c>
      <c r="H10" s="276">
        <f>IF(ISERROR(H48/H49),0,(H48/H49))</f>
        <v>0.15661898686274364</v>
      </c>
    </row>
    <row r="11" spans="1:11" ht="12.75" customHeight="1" x14ac:dyDescent="0.25">
      <c r="A11" s="126" t="s">
        <v>735</v>
      </c>
      <c r="B11" s="123" t="s">
        <v>719</v>
      </c>
      <c r="C11" s="174"/>
      <c r="D11" s="120">
        <f>IF(ISERROR(D51/D50),0,(D51/D50))</f>
        <v>0</v>
      </c>
      <c r="E11" s="282">
        <f>IF(ISERROR(E51/E50),0,(E51/E50))</f>
        <v>1.2322813430054802</v>
      </c>
      <c r="F11" s="124">
        <f>IF(ISERROR(F51/F50),0,(F51/F50))</f>
        <v>1.2322813424894716</v>
      </c>
      <c r="G11" s="124">
        <f>IF(ISERROR(G51/G50),0,(G51/G50))</f>
        <v>1.485609358699409</v>
      </c>
      <c r="H11" s="276">
        <f>IF(ISERROR(H51/H50),0,(H51/H50))</f>
        <v>1.2322813424894716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2.0018418250186891</v>
      </c>
      <c r="G13" s="124">
        <f>IF(ISERROR(G52/G53),0,(G52/G53))</f>
        <v>2.1900336263942792</v>
      </c>
      <c r="H13" s="276">
        <f>IF(ISERROR(H52/H53),0,(H52/H53))</f>
        <v>2.0018418250186891</v>
      </c>
    </row>
    <row r="14" spans="1:11" ht="12.75" customHeight="1" x14ac:dyDescent="0.25">
      <c r="A14" s="126" t="s">
        <v>738</v>
      </c>
      <c r="B14" s="123" t="s">
        <v>436</v>
      </c>
      <c r="C14" s="174"/>
      <c r="D14" s="120">
        <f>IF(ISERROR(D54/D53),0,(D54/D53))</f>
        <v>0</v>
      </c>
      <c r="E14" s="282">
        <f>IF(ISERROR(E54/E53),0,(E54/E53))</f>
        <v>0.26526391167695329</v>
      </c>
      <c r="F14" s="124">
        <f>IF(ISERROR(F54/F53),0,(F54/F53))</f>
        <v>0.21315022863159416</v>
      </c>
      <c r="G14" s="124">
        <f>IF(ISERROR(G54/G53),0,(G54/G53))</f>
        <v>0.32480488886236236</v>
      </c>
      <c r="H14" s="276">
        <f>IF(ISERROR(H54/H53),0,(H54/H53))</f>
        <v>0.21315022863159416</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0.36846844655614924</v>
      </c>
      <c r="G17" s="124">
        <f>IF(ISERROR(G59/G55),0,(G59/G55))</f>
        <v>0.52619974280429171</v>
      </c>
      <c r="H17" s="276">
        <f>IF(ISERROR(H59/H55),0,(H59/H55))</f>
        <v>0.36846844655614924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0.2432458135998426</v>
      </c>
      <c r="G26" s="124">
        <f>IF(ISERROR(G40/G55),0,(G40/G55))</f>
        <v>0.2343489115471443</v>
      </c>
      <c r="H26" s="276">
        <f>IF(ISERROR(H40/H55),0,(H40/H55))</f>
        <v>0.2432458135998426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8.5600617304391807E-2</v>
      </c>
      <c r="G28" s="124">
        <f>IF(ISERROR((G42+G44)/G55),0,((G42+G44)/G55))</f>
        <v>6.3842440782940126E-3</v>
      </c>
      <c r="H28" s="276">
        <f>IF(ISERROR((H42+H44)/H55),0,((H42+H44)/H55))</f>
        <v>1.487124859712285E-2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11205428173.43997</v>
      </c>
      <c r="G39" s="97">
        <f>'C6-FinPos'!F26</f>
        <v>10614356463.739998</v>
      </c>
      <c r="H39" s="48">
        <f>'C6-FinPos'!G26</f>
        <v>11205428173.43997</v>
      </c>
    </row>
    <row r="40" spans="1:9" ht="12.75" customHeight="1" x14ac:dyDescent="0.25">
      <c r="A40" s="42" t="str">
        <f>'C4-FinPerf RE'!A25</f>
        <v>Employee related costs</v>
      </c>
      <c r="B40" s="67"/>
      <c r="C40" s="67"/>
      <c r="D40" s="84">
        <f>'C4-FinPerf RE'!C25</f>
        <v>0</v>
      </c>
      <c r="E40" s="84">
        <f>'C4-FinPerf RE'!D25</f>
        <v>1478324301.5741799</v>
      </c>
      <c r="F40" s="84">
        <f>'C4-FinPerf RE'!E25</f>
        <v>1474657970.2495086</v>
      </c>
      <c r="G40" s="97">
        <f>'C4-FinPerf RE'!G25</f>
        <v>1022274013.5300012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27849273.010000002</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482441449.27473998</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5673151027.4213114</v>
      </c>
      <c r="G45" s="97">
        <f>'C4-FinPerf RE'!G36</f>
        <v>3983965003.5300012</v>
      </c>
      <c r="H45" s="48">
        <f>'C4-FinPerf RE'!K36</f>
        <v>5673151027.4213114</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316129223.18999994</v>
      </c>
      <c r="H46" s="48">
        <f>'C5-Capex'!K40</f>
        <v>747190359.77999997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1550876549.6500001</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8767715757.0954189</v>
      </c>
      <c r="G49" s="97">
        <f>'C6-FinPos'!F48</f>
        <v>8368372746.0599976</v>
      </c>
      <c r="H49" s="48">
        <f>'C6-FinPos'!G48</f>
        <v>8767715757.0954189</v>
      </c>
    </row>
    <row r="50" spans="1:8" ht="12.75" customHeight="1" x14ac:dyDescent="0.25">
      <c r="A50" s="42" t="str">
        <f>'C6-FinPos'!A47</f>
        <v>Reserves</v>
      </c>
      <c r="B50" s="67"/>
      <c r="C50" s="67"/>
      <c r="D50" s="84">
        <f>'C6-FinPos'!C47</f>
        <v>0</v>
      </c>
      <c r="E50" s="84">
        <f>'C6-FinPos'!D47</f>
        <v>228913258</v>
      </c>
      <c r="F50" s="84">
        <f>'C6-FinPos'!E47</f>
        <v>228913258.09585571</v>
      </c>
      <c r="G50" s="97">
        <f>'C6-FinPos'!F47</f>
        <v>192054522.25999999</v>
      </c>
      <c r="H50" s="48">
        <f>'C6-FinPos'!G47</f>
        <v>228913258.09585571</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2694173744.3592668</v>
      </c>
      <c r="G52" s="97">
        <f>'C6-FinPos'!F13</f>
        <v>3130622150.8899975</v>
      </c>
      <c r="H52" s="48">
        <f>'C6-FinPos'!G13</f>
        <v>2694173744.3592668</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1429485882.3899999</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286867694.74309218</v>
      </c>
      <c r="G54" s="97">
        <f>'C6-FinPos'!F7+'C6-FinPos'!F8</f>
        <v>464304003.15999991</v>
      </c>
      <c r="H54" s="48">
        <f>'C6-FinPos'!G7+'C6-FinPos'!G8</f>
        <v>286867694.74309218</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6062418704.8720617</v>
      </c>
      <c r="G55" s="97">
        <f>'C4-FinPerf RE'!G22</f>
        <v>4362188016.0699997</v>
      </c>
      <c r="H55" s="48">
        <f>'C4-FinPerf RE'!K22</f>
        <v>6062418704.8720617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734264386.21000004</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307536873.04000002</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105963383.865922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2295382212.1199975</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2496619385.6099997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286867366.17229217</v>
      </c>
      <c r="G61" s="97">
        <f>'C6-FinPos'!F7+'C6-FinPos'!F8+'C6-FinPos'!F17-'C6-FinPos'!F30</f>
        <v>464304003.15999991</v>
      </c>
      <c r="H61" s="48">
        <f>'C6-FinPos'!G7+'C6-FinPos'!G8+'C6-FinPos'!G17-'C6-FinPos'!G30</f>
        <v>286867366.17229217</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-822424.13000000082</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17" sqref="C17:J20"/>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5" t="str">
        <f>muni&amp; " - "&amp;S71I&amp; " - "&amp;Head57</f>
        <v>KZN225 Msunduzi - Supporting Table SC3 Monthly Budget Statement - aged debtors - Q3 Third Quarter</v>
      </c>
      <c r="B1" s="1055"/>
      <c r="C1" s="1062"/>
      <c r="D1" s="1062"/>
      <c r="E1" s="1062"/>
      <c r="F1" s="1062"/>
      <c r="G1" s="1062"/>
      <c r="H1" s="1062"/>
      <c r="I1" s="1062"/>
      <c r="J1" s="1062"/>
      <c r="K1" s="1062"/>
      <c r="L1" s="1062"/>
      <c r="M1" s="1062"/>
      <c r="N1" s="162"/>
      <c r="O1" s="406"/>
    </row>
    <row r="2" spans="1:16" ht="13.35" customHeight="1" x14ac:dyDescent="0.25">
      <c r="A2" s="355" t="str">
        <f>desc</f>
        <v>Description</v>
      </c>
      <c r="B2" s="894"/>
      <c r="C2" s="1063" t="str">
        <f>Head2</f>
        <v>Budget Year 2020/21</v>
      </c>
      <c r="D2" s="1064"/>
      <c r="E2" s="1064"/>
      <c r="F2" s="1064"/>
      <c r="G2" s="1064"/>
      <c r="H2" s="1064"/>
      <c r="I2" s="1064"/>
      <c r="J2" s="1064"/>
      <c r="K2" s="1064"/>
      <c r="L2" s="1064"/>
      <c r="M2" s="1064"/>
      <c r="N2" s="1065"/>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110384994.48</v>
      </c>
      <c r="D5" s="733">
        <v>42377646.460000001</v>
      </c>
      <c r="E5" s="733">
        <v>37171052.189999998</v>
      </c>
      <c r="F5" s="733">
        <v>39333313.990000002</v>
      </c>
      <c r="G5" s="733">
        <v>38155912.75</v>
      </c>
      <c r="H5" s="733">
        <v>39983523.969999999</v>
      </c>
      <c r="I5" s="733">
        <v>163543739.11000001</v>
      </c>
      <c r="J5" s="744">
        <v>1357715595.5999999</v>
      </c>
      <c r="K5" s="134">
        <f>SUM(C5:J5)</f>
        <v>1828665778.55</v>
      </c>
      <c r="L5" s="134">
        <f>SUM(F5:J5)</f>
        <v>1638732085.4200001</v>
      </c>
      <c r="M5" s="747"/>
      <c r="N5" s="747">
        <v>998915113.30999994</v>
      </c>
      <c r="O5" s="912"/>
    </row>
    <row r="6" spans="1:16" ht="12.75" customHeight="1" x14ac:dyDescent="0.25">
      <c r="A6" s="39" t="s">
        <v>1079</v>
      </c>
      <c r="B6" s="169">
        <v>1300</v>
      </c>
      <c r="C6" s="745">
        <v>91430805.25</v>
      </c>
      <c r="D6" s="733">
        <v>38866437.740000002</v>
      </c>
      <c r="E6" s="733">
        <v>17355391.199999999</v>
      </c>
      <c r="F6" s="733">
        <v>16322436.85</v>
      </c>
      <c r="G6" s="733">
        <v>9855301.8200000003</v>
      </c>
      <c r="H6" s="733">
        <v>13830146.35</v>
      </c>
      <c r="I6" s="733">
        <v>43100541.600000001</v>
      </c>
      <c r="J6" s="744">
        <v>149902191.03999999</v>
      </c>
      <c r="K6" s="134">
        <f>SUM(C6:J6)</f>
        <v>380663251.84999996</v>
      </c>
      <c r="L6" s="134">
        <f t="shared" ref="L6:L12" si="0">SUM(F6:J6)</f>
        <v>233010617.66</v>
      </c>
      <c r="M6" s="747"/>
      <c r="N6" s="747">
        <v>90036034.530000001</v>
      </c>
      <c r="O6" s="912"/>
    </row>
    <row r="7" spans="1:16" ht="12.75" customHeight="1" x14ac:dyDescent="0.25">
      <c r="A7" s="39" t="s">
        <v>1078</v>
      </c>
      <c r="B7" s="169">
        <v>1400</v>
      </c>
      <c r="C7" s="745">
        <v>143629708.84999999</v>
      </c>
      <c r="D7" s="733">
        <v>31634848.120000001</v>
      </c>
      <c r="E7" s="733">
        <v>27344239.09</v>
      </c>
      <c r="F7" s="733">
        <v>25741494.68</v>
      </c>
      <c r="G7" s="733">
        <v>44823983.490000002</v>
      </c>
      <c r="H7" s="733">
        <v>22651548.77</v>
      </c>
      <c r="I7" s="733">
        <v>119212191.98999999</v>
      </c>
      <c r="J7" s="744">
        <v>571689038.54999995</v>
      </c>
      <c r="K7" s="134">
        <f t="shared" ref="K7:K13" si="1">SUM(C7:J7)</f>
        <v>986727053.53999996</v>
      </c>
      <c r="L7" s="134">
        <f t="shared" si="0"/>
        <v>784118257.48000002</v>
      </c>
      <c r="M7" s="747"/>
      <c r="N7" s="747">
        <v>412070749.01999998</v>
      </c>
      <c r="O7" s="912"/>
    </row>
    <row r="8" spans="1:16" ht="12.75" customHeight="1" x14ac:dyDescent="0.25">
      <c r="A8" s="39" t="s">
        <v>1080</v>
      </c>
      <c r="B8" s="169">
        <v>1500</v>
      </c>
      <c r="C8" s="745">
        <v>25229587.98</v>
      </c>
      <c r="D8" s="733">
        <v>6403826.4400000004</v>
      </c>
      <c r="E8" s="733">
        <v>5787942.1500000004</v>
      </c>
      <c r="F8" s="733">
        <v>5748177.7800000003</v>
      </c>
      <c r="G8" s="733">
        <v>5585738.6100000003</v>
      </c>
      <c r="H8" s="733">
        <v>5521598.0899999999</v>
      </c>
      <c r="I8" s="733">
        <v>26520194.059999999</v>
      </c>
      <c r="J8" s="744">
        <v>241063682.75</v>
      </c>
      <c r="K8" s="134">
        <f t="shared" si="1"/>
        <v>321860747.86000001</v>
      </c>
      <c r="L8" s="134">
        <f t="shared" si="0"/>
        <v>284439391.29000002</v>
      </c>
      <c r="M8" s="747"/>
      <c r="N8" s="747">
        <v>189203075.00999999</v>
      </c>
      <c r="O8" s="912"/>
    </row>
    <row r="9" spans="1:16" ht="12.75" customHeight="1" x14ac:dyDescent="0.25">
      <c r="A9" s="39" t="s">
        <v>1081</v>
      </c>
      <c r="B9" s="169">
        <v>1600</v>
      </c>
      <c r="C9" s="745">
        <v>13996250.300000001</v>
      </c>
      <c r="D9" s="733">
        <v>3355395.91</v>
      </c>
      <c r="E9" s="733">
        <v>3091636.16</v>
      </c>
      <c r="F9" s="733">
        <v>2979063</v>
      </c>
      <c r="G9" s="733">
        <v>2872571.87</v>
      </c>
      <c r="H9" s="733">
        <v>2822401.6</v>
      </c>
      <c r="I9" s="733">
        <v>13530293.92</v>
      </c>
      <c r="J9" s="744">
        <v>138350171.41999999</v>
      </c>
      <c r="K9" s="134">
        <f t="shared" si="1"/>
        <v>180997784.18000001</v>
      </c>
      <c r="L9" s="134">
        <f>SUM(F9:J9)</f>
        <v>160554501.81</v>
      </c>
      <c r="M9" s="747"/>
      <c r="N9" s="747">
        <v>105730359.75</v>
      </c>
      <c r="O9" s="912"/>
    </row>
    <row r="10" spans="1:16" ht="12.75" customHeight="1" x14ac:dyDescent="0.25">
      <c r="A10" s="39" t="s">
        <v>1082</v>
      </c>
      <c r="B10" s="169">
        <v>1700</v>
      </c>
      <c r="C10" s="745">
        <v>3130585.61</v>
      </c>
      <c r="D10" s="733">
        <v>716163.81</v>
      </c>
      <c r="E10" s="733">
        <v>822958.35</v>
      </c>
      <c r="F10" s="733">
        <v>777931.13</v>
      </c>
      <c r="G10" s="733">
        <v>757181.04</v>
      </c>
      <c r="H10" s="733">
        <v>643573.99</v>
      </c>
      <c r="I10" s="733">
        <v>6175523.5800000001</v>
      </c>
      <c r="J10" s="744">
        <v>42661345.740000002</v>
      </c>
      <c r="K10" s="134">
        <f t="shared" si="1"/>
        <v>55685263.25</v>
      </c>
      <c r="L10" s="134">
        <f>SUM(F10:J10)</f>
        <v>51015555.480000004</v>
      </c>
      <c r="M10" s="747"/>
      <c r="N10" s="747">
        <v>32944687.719999999</v>
      </c>
      <c r="O10" s="912"/>
    </row>
    <row r="11" spans="1:16" ht="12.75" customHeight="1" x14ac:dyDescent="0.25">
      <c r="A11" s="39" t="s">
        <v>1083</v>
      </c>
      <c r="B11" s="169">
        <v>1810</v>
      </c>
      <c r="C11" s="745">
        <v>32574391.170000002</v>
      </c>
      <c r="D11" s="733">
        <v>17775270.800000001</v>
      </c>
      <c r="E11" s="733">
        <v>16778689.760000002</v>
      </c>
      <c r="F11" s="733">
        <v>16826730.289999999</v>
      </c>
      <c r="G11" s="733">
        <v>15982202.68</v>
      </c>
      <c r="H11" s="733">
        <v>16023690.02</v>
      </c>
      <c r="I11" s="733">
        <v>113704005.67</v>
      </c>
      <c r="J11" s="744">
        <v>544632493.12</v>
      </c>
      <c r="K11" s="134">
        <f t="shared" si="1"/>
        <v>774297473.50999999</v>
      </c>
      <c r="L11" s="134">
        <f t="shared" si="0"/>
        <v>707169121.77999997</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-4091204.06</v>
      </c>
      <c r="D13" s="733">
        <v>14466.47</v>
      </c>
      <c r="E13" s="733">
        <v>22196.37</v>
      </c>
      <c r="F13" s="733">
        <v>42024.73</v>
      </c>
      <c r="G13" s="733">
        <v>12753.01</v>
      </c>
      <c r="H13" s="733">
        <v>107350.69</v>
      </c>
      <c r="I13" s="733">
        <v>1408003.37</v>
      </c>
      <c r="J13" s="744">
        <v>315064940.81</v>
      </c>
      <c r="K13" s="134">
        <f t="shared" si="1"/>
        <v>312580531.38999999</v>
      </c>
      <c r="L13" s="134">
        <f>SUM(F13:J13)</f>
        <v>316635072.61000001</v>
      </c>
      <c r="M13" s="747"/>
      <c r="N13" s="747">
        <v>314944996.63</v>
      </c>
      <c r="O13" s="912"/>
    </row>
    <row r="14" spans="1:16" ht="12.75" customHeight="1" x14ac:dyDescent="0.25">
      <c r="A14" s="53" t="s">
        <v>1085</v>
      </c>
      <c r="B14" s="284">
        <v>2000</v>
      </c>
      <c r="C14" s="56">
        <f t="shared" ref="C14:N14" si="2">SUM(C5:C13)</f>
        <v>416285119.5800001</v>
      </c>
      <c r="D14" s="55">
        <f t="shared" si="2"/>
        <v>141144055.75</v>
      </c>
      <c r="E14" s="55">
        <f t="shared" si="2"/>
        <v>108374105.27000001</v>
      </c>
      <c r="F14" s="55">
        <f t="shared" si="2"/>
        <v>107771172.45</v>
      </c>
      <c r="G14" s="55">
        <f t="shared" si="2"/>
        <v>118045645.27000003</v>
      </c>
      <c r="H14" s="55">
        <f t="shared" si="2"/>
        <v>101583833.47999999</v>
      </c>
      <c r="I14" s="55">
        <f t="shared" si="2"/>
        <v>487194493.30000001</v>
      </c>
      <c r="J14" s="83">
        <f t="shared" si="2"/>
        <v>3361079459.0299993</v>
      </c>
      <c r="K14" s="112">
        <f t="shared" si="2"/>
        <v>4841477884.1300001</v>
      </c>
      <c r="L14" s="112">
        <f>SUM(L5:L13)</f>
        <v>4175674603.5300002</v>
      </c>
      <c r="M14" s="54">
        <f t="shared" si="2"/>
        <v>0</v>
      </c>
      <c r="N14" s="54">
        <f t="shared" si="2"/>
        <v>2406181321.46</v>
      </c>
      <c r="O14" s="913"/>
    </row>
    <row r="15" spans="1:16" ht="12.75" customHeight="1" x14ac:dyDescent="0.25">
      <c r="A15" s="313" t="str">
        <f>Head1&amp;" - totals only"</f>
        <v>2019/20 - totals only</v>
      </c>
      <c r="B15" s="367"/>
      <c r="C15" s="745">
        <v>642595431.96000004</v>
      </c>
      <c r="D15" s="745">
        <v>108240381.34</v>
      </c>
      <c r="E15" s="745">
        <v>44009736.210000008</v>
      </c>
      <c r="F15" s="745">
        <v>108503285.74000002</v>
      </c>
      <c r="G15" s="745">
        <v>76879044.390000001</v>
      </c>
      <c r="H15" s="745">
        <v>93223283.939999998</v>
      </c>
      <c r="I15" s="745">
        <v>428350856.12</v>
      </c>
      <c r="J15" s="745">
        <v>2602563840.0400004</v>
      </c>
      <c r="K15" s="795">
        <f>SUM(C15:J15)</f>
        <v>4104365859.7400007</v>
      </c>
      <c r="L15" s="368">
        <f>SUM(F15:J15)</f>
        <v>3309520310.2300005</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25234939.890000001</v>
      </c>
      <c r="D17" s="733">
        <v>9944051.8100000005</v>
      </c>
      <c r="E17" s="733">
        <v>7588323.04</v>
      </c>
      <c r="F17" s="733">
        <v>7548114.5099999998</v>
      </c>
      <c r="G17" s="733">
        <v>9639704.7300000004</v>
      </c>
      <c r="H17" s="733">
        <v>6313534.7400000002</v>
      </c>
      <c r="I17" s="733">
        <v>30191103.27</v>
      </c>
      <c r="J17" s="744">
        <v>129847575.15000001</v>
      </c>
      <c r="K17" s="134">
        <f>SUM(C17:J17)</f>
        <v>226307347.14000002</v>
      </c>
      <c r="L17" s="645">
        <f>SUM(F17:J17)</f>
        <v>183540032.40000001</v>
      </c>
      <c r="M17" s="747"/>
      <c r="N17" s="748">
        <v>234146848.66999999</v>
      </c>
    </row>
    <row r="18" spans="1:14" ht="12.75" customHeight="1" x14ac:dyDescent="0.25">
      <c r="A18" s="39" t="s">
        <v>1087</v>
      </c>
      <c r="B18" s="169">
        <v>2300</v>
      </c>
      <c r="C18" s="745">
        <v>176535399.16</v>
      </c>
      <c r="D18" s="733">
        <v>46557813.32</v>
      </c>
      <c r="E18" s="733">
        <v>22350272.84</v>
      </c>
      <c r="F18" s="733">
        <v>21436883.969999999</v>
      </c>
      <c r="G18" s="733">
        <v>20182806.77</v>
      </c>
      <c r="H18" s="733">
        <v>17576790.350000001</v>
      </c>
      <c r="I18" s="733">
        <v>72257831.189999998</v>
      </c>
      <c r="J18" s="744">
        <v>345452999.94</v>
      </c>
      <c r="K18" s="134">
        <f>SUM(C18:J18)</f>
        <v>722350797.53999996</v>
      </c>
      <c r="L18" s="645">
        <f>SUM(F18:J18)</f>
        <v>476907312.22000003</v>
      </c>
      <c r="M18" s="747"/>
      <c r="N18" s="748">
        <v>81533684.739999995</v>
      </c>
    </row>
    <row r="19" spans="1:14" ht="12.75" customHeight="1" x14ac:dyDescent="0.25">
      <c r="A19" s="39" t="s">
        <v>685</v>
      </c>
      <c r="B19" s="169">
        <v>2400</v>
      </c>
      <c r="C19" s="745">
        <v>208464354.30000001</v>
      </c>
      <c r="D19" s="733">
        <v>83388031.260000005</v>
      </c>
      <c r="E19" s="733">
        <v>74066053.609999999</v>
      </c>
      <c r="F19" s="733">
        <v>74279549.569999993</v>
      </c>
      <c r="G19" s="733">
        <v>81848130.260000005</v>
      </c>
      <c r="H19" s="733">
        <v>73344062.390000001</v>
      </c>
      <c r="I19" s="733">
        <v>361050662.13</v>
      </c>
      <c r="J19" s="744">
        <v>2689874924.04</v>
      </c>
      <c r="K19" s="134">
        <f>SUM(C19:J19)</f>
        <v>3646315767.5599999</v>
      </c>
      <c r="L19" s="645">
        <f>SUM(F19:J19)</f>
        <v>3280397328.3899999</v>
      </c>
      <c r="M19" s="747"/>
      <c r="N19" s="748">
        <v>1939643496.0599999</v>
      </c>
    </row>
    <row r="20" spans="1:14" ht="12.75" customHeight="1" x14ac:dyDescent="0.25">
      <c r="A20" s="39" t="s">
        <v>718</v>
      </c>
      <c r="B20" s="169">
        <v>2500</v>
      </c>
      <c r="C20" s="745">
        <v>6050426.2300000004</v>
      </c>
      <c r="D20" s="733">
        <v>1254159.3600000001</v>
      </c>
      <c r="E20" s="733">
        <v>4369455.78</v>
      </c>
      <c r="F20" s="733">
        <v>4506624.4000000004</v>
      </c>
      <c r="G20" s="733">
        <v>6375003.5099999998</v>
      </c>
      <c r="H20" s="733">
        <v>4349446</v>
      </c>
      <c r="I20" s="733">
        <v>23694896.710000001</v>
      </c>
      <c r="J20" s="744">
        <v>195903959.90000001</v>
      </c>
      <c r="K20" s="134">
        <f>SUM(C20:J20)</f>
        <v>246503971.89000002</v>
      </c>
      <c r="L20" s="645">
        <f>SUM(F20:J20)</f>
        <v>234829930.52000001</v>
      </c>
      <c r="M20" s="747"/>
      <c r="N20" s="749">
        <v>150857291.99000001</v>
      </c>
    </row>
    <row r="21" spans="1:14" ht="12.75" customHeight="1" x14ac:dyDescent="0.25">
      <c r="A21" s="53" t="s">
        <v>1090</v>
      </c>
      <c r="B21" s="284">
        <v>2600</v>
      </c>
      <c r="C21" s="56">
        <f t="shared" ref="C21:I21" si="3">SUM(C17:C20)</f>
        <v>416285119.58000004</v>
      </c>
      <c r="D21" s="55">
        <f t="shared" si="3"/>
        <v>141144055.75000003</v>
      </c>
      <c r="E21" s="55">
        <f t="shared" si="3"/>
        <v>108374105.27</v>
      </c>
      <c r="F21" s="55">
        <f t="shared" si="3"/>
        <v>107771172.44999999</v>
      </c>
      <c r="G21" s="55">
        <f t="shared" si="3"/>
        <v>118045645.27000001</v>
      </c>
      <c r="H21" s="55">
        <f t="shared" si="3"/>
        <v>101583833.48</v>
      </c>
      <c r="I21" s="55">
        <f t="shared" si="3"/>
        <v>487194493.29999995</v>
      </c>
      <c r="J21" s="83">
        <f>SUM(J17:J20)</f>
        <v>3361079459.0300002</v>
      </c>
      <c r="K21" s="112">
        <f>SUM(K17:K20)</f>
        <v>4841477884.1300001</v>
      </c>
      <c r="L21" s="914">
        <f>SUM(L17:L20)</f>
        <v>4175674603.5299997</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15</v>
      </c>
    </row>
    <row r="11" spans="4:25" x14ac:dyDescent="0.2">
      <c r="W11" s="646" t="s">
        <v>866</v>
      </c>
      <c r="X11" s="701" t="str">
        <f>VLOOKUP(X10,W39:X55,2)</f>
        <v>Q3 Third Quarter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5" t="str">
        <f>muni&amp; " - "&amp;S71J&amp; " - "&amp;Head57</f>
        <v>KZN225 Msunduzi - Supporting Table SC4 Monthly Budget Statement - aged creditors  - Q3 Third Quarter</v>
      </c>
      <c r="B1" s="1055"/>
      <c r="C1" s="1055"/>
      <c r="D1" s="1055"/>
      <c r="E1" s="1055"/>
      <c r="F1" s="1055"/>
      <c r="G1" s="1055"/>
      <c r="H1" s="1055"/>
      <c r="I1" s="1055"/>
      <c r="J1" s="1055"/>
      <c r="K1" s="1055"/>
    </row>
    <row r="2" spans="1:12" ht="12.75" customHeight="1" x14ac:dyDescent="0.25">
      <c r="A2" s="1044" t="str">
        <f>desc</f>
        <v>Description</v>
      </c>
      <c r="B2" s="1076" t="s">
        <v>734</v>
      </c>
      <c r="C2" s="137" t="str">
        <f>Head2</f>
        <v>Budget Year 2020/21</v>
      </c>
      <c r="D2" s="137"/>
      <c r="E2" s="137"/>
      <c r="F2" s="137"/>
      <c r="G2" s="137"/>
      <c r="H2" s="137"/>
      <c r="I2" s="137"/>
      <c r="J2" s="137"/>
      <c r="K2" s="138"/>
      <c r="L2" s="1066" t="s">
        <v>74</v>
      </c>
    </row>
    <row r="3" spans="1:12" ht="12.75" customHeight="1" x14ac:dyDescent="0.25">
      <c r="A3" s="1075"/>
      <c r="B3" s="1077"/>
      <c r="C3" s="1078" t="s">
        <v>726</v>
      </c>
      <c r="D3" s="1069" t="s">
        <v>727</v>
      </c>
      <c r="E3" s="1069" t="s">
        <v>728</v>
      </c>
      <c r="F3" s="1069" t="s">
        <v>729</v>
      </c>
      <c r="G3" s="1069" t="s">
        <v>730</v>
      </c>
      <c r="H3" s="1069" t="s">
        <v>731</v>
      </c>
      <c r="I3" s="1069" t="s">
        <v>732</v>
      </c>
      <c r="J3" s="1071" t="s">
        <v>733</v>
      </c>
      <c r="K3" s="1073" t="s">
        <v>506</v>
      </c>
      <c r="L3" s="1067"/>
    </row>
    <row r="4" spans="1:12" ht="12.75" customHeight="1" x14ac:dyDescent="0.25">
      <c r="A4" s="34" t="s">
        <v>667</v>
      </c>
      <c r="B4" s="1074"/>
      <c r="C4" s="1079"/>
      <c r="D4" s="1070"/>
      <c r="E4" s="1070"/>
      <c r="F4" s="1070"/>
      <c r="G4" s="1070"/>
      <c r="H4" s="1070"/>
      <c r="I4" s="1070"/>
      <c r="J4" s="1072"/>
      <c r="K4" s="1074"/>
      <c r="L4" s="1068"/>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144579432.5</v>
      </c>
      <c r="D6" s="733"/>
      <c r="E6" s="733"/>
      <c r="F6" s="733"/>
      <c r="G6" s="733"/>
      <c r="H6" s="733"/>
      <c r="I6" s="733"/>
      <c r="J6" s="735"/>
      <c r="K6" s="109">
        <f>SUM(C6:J6)</f>
        <v>144579432.5</v>
      </c>
      <c r="L6" s="748">
        <v>139486629.58000001</v>
      </c>
    </row>
    <row r="7" spans="1:12" ht="12.75" customHeight="1" x14ac:dyDescent="0.25">
      <c r="A7" s="39" t="s">
        <v>688</v>
      </c>
      <c r="B7" s="169" t="s">
        <v>689</v>
      </c>
      <c r="C7" s="753">
        <v>169202391</v>
      </c>
      <c r="D7" s="733"/>
      <c r="E7" s="733"/>
      <c r="F7" s="733"/>
      <c r="G7" s="733">
        <v>27498486.129999965</v>
      </c>
      <c r="H7" s="733"/>
      <c r="I7" s="733"/>
      <c r="J7" s="735"/>
      <c r="K7" s="109">
        <f t="shared" ref="K7:K13" si="0">SUM(C7:J7)</f>
        <v>196700877.12999997</v>
      </c>
      <c r="L7" s="748">
        <v>88812802.599999994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223802867.35999998</v>
      </c>
      <c r="D9" s="733"/>
      <c r="E9" s="733"/>
      <c r="F9" s="733"/>
      <c r="G9" s="733"/>
      <c r="H9" s="733"/>
      <c r="I9" s="733"/>
      <c r="J9" s="735"/>
      <c r="K9" s="109">
        <f t="shared" si="0"/>
        <v>223802867.35999998</v>
      </c>
      <c r="L9" s="748">
        <v>195068066.08000001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45752189.120000005</v>
      </c>
      <c r="D12" s="733">
        <v>598308.42999999993</v>
      </c>
      <c r="E12" s="733">
        <v>7785.98</v>
      </c>
      <c r="F12" s="733">
        <v>411215.25999999995</v>
      </c>
      <c r="G12" s="733">
        <v>129811.65999999999</v>
      </c>
      <c r="H12" s="733"/>
      <c r="I12" s="733"/>
      <c r="J12" s="735"/>
      <c r="K12" s="109">
        <f t="shared" si="0"/>
        <v>46899310.449999996</v>
      </c>
      <c r="L12" s="748">
        <v>45976996.170000002</v>
      </c>
    </row>
    <row r="13" spans="1:12" ht="12.75" customHeight="1" x14ac:dyDescent="0.25">
      <c r="A13" s="39" t="s">
        <v>599</v>
      </c>
      <c r="B13" s="169" t="s">
        <v>600</v>
      </c>
      <c r="C13" s="753">
        <v>0</v>
      </c>
      <c r="D13" s="733"/>
      <c r="E13" s="733"/>
      <c r="F13" s="733"/>
      <c r="G13" s="733"/>
      <c r="H13" s="733"/>
      <c r="I13" s="733"/>
      <c r="J13" s="735"/>
      <c r="K13" s="109">
        <f t="shared" si="0"/>
        <v>0</v>
      </c>
      <c r="L13" s="748">
        <v>0</v>
      </c>
    </row>
    <row r="14" spans="1:12" ht="12.75" customHeight="1" x14ac:dyDescent="0.25">
      <c r="A14" s="39" t="s">
        <v>718</v>
      </c>
      <c r="B14" s="169" t="s">
        <v>601</v>
      </c>
      <c r="C14" s="753">
        <v>254272708.17000002</v>
      </c>
      <c r="D14" s="733"/>
      <c r="E14" s="733"/>
      <c r="F14" s="733"/>
      <c r="G14" s="733"/>
      <c r="H14" s="733"/>
      <c r="I14" s="733"/>
      <c r="J14" s="735"/>
      <c r="K14" s="109">
        <f>SUM(C14:J14)</f>
        <v>254272708.17000002</v>
      </c>
      <c r="L14" s="748">
        <v>204059176.5</v>
      </c>
    </row>
    <row r="15" spans="1:12" ht="12.75" customHeight="1" x14ac:dyDescent="0.25">
      <c r="A15" s="53" t="s">
        <v>919</v>
      </c>
      <c r="B15" s="284">
        <v>1000</v>
      </c>
      <c r="C15" s="271">
        <f>SUM(C6:C14)</f>
        <v>837609588.1500001</v>
      </c>
      <c r="D15" s="55">
        <f t="shared" ref="D15:J15" si="1">SUM(D6:D14)</f>
        <v>598308.42999999993</v>
      </c>
      <c r="E15" s="55">
        <f t="shared" si="1"/>
        <v>7785.98</v>
      </c>
      <c r="F15" s="55">
        <f t="shared" si="1"/>
        <v>411215.25999999995</v>
      </c>
      <c r="G15" s="55">
        <f t="shared" si="1"/>
        <v>27628297.789999966</v>
      </c>
      <c r="H15" s="55">
        <f t="shared" si="1"/>
        <v>0</v>
      </c>
      <c r="I15" s="55">
        <f t="shared" si="1"/>
        <v>0</v>
      </c>
      <c r="J15" s="235">
        <f t="shared" si="1"/>
        <v>0</v>
      </c>
      <c r="K15" s="112">
        <f>SUM(K6:K14)</f>
        <v>866255195.61000013</v>
      </c>
      <c r="L15" s="160">
        <f>SUM(L6:L14)</f>
        <v>673403670.93000007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N15" sqref="N15"/>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5" t="str">
        <f>muni&amp; " - "&amp;S71K&amp; " - "&amp;Head57</f>
        <v>KZN225 Msunduzi - Supporting Table SC5 Monthly Budget Statement - investment portfolio  - Q3 Third Quarter</v>
      </c>
      <c r="B1" s="1055"/>
      <c r="C1" s="1055"/>
      <c r="D1" s="1055"/>
      <c r="E1" s="1055"/>
      <c r="F1" s="1055"/>
      <c r="G1" s="1055"/>
      <c r="H1" s="1055"/>
      <c r="I1" s="1055"/>
      <c r="J1" s="1055"/>
      <c r="K1" s="67"/>
    </row>
    <row r="2" spans="1:15" ht="54" customHeight="1" x14ac:dyDescent="0.25">
      <c r="A2" s="270" t="s">
        <v>894</v>
      </c>
      <c r="B2" s="1076" t="s">
        <v>571</v>
      </c>
      <c r="C2" s="26" t="s">
        <v>126</v>
      </c>
      <c r="D2" s="1082" t="s">
        <v>607</v>
      </c>
      <c r="E2" s="948" t="s">
        <v>1356</v>
      </c>
      <c r="F2" s="948" t="s">
        <v>1357</v>
      </c>
      <c r="G2" s="948" t="s">
        <v>1358</v>
      </c>
      <c r="H2" s="948" t="s">
        <v>1359</v>
      </c>
      <c r="I2" s="948" t="s">
        <v>1360</v>
      </c>
      <c r="J2" s="1084" t="s">
        <v>608</v>
      </c>
      <c r="K2" s="149" t="s">
        <v>1361</v>
      </c>
      <c r="L2" s="142" t="s">
        <v>1362</v>
      </c>
      <c r="M2" s="26" t="s">
        <v>1363</v>
      </c>
      <c r="N2" s="26" t="s">
        <v>1364</v>
      </c>
      <c r="O2" s="142" t="s">
        <v>1365</v>
      </c>
    </row>
    <row r="3" spans="1:15" ht="12.75" customHeight="1" x14ac:dyDescent="0.25">
      <c r="A3" s="34" t="s">
        <v>667</v>
      </c>
      <c r="B3" s="1074"/>
      <c r="C3" s="413" t="s">
        <v>127</v>
      </c>
      <c r="D3" s="1083"/>
      <c r="E3" s="949"/>
      <c r="F3" s="949"/>
      <c r="G3" s="949"/>
      <c r="H3" s="949"/>
      <c r="I3" s="949"/>
      <c r="J3" s="1072"/>
      <c r="K3" s="1080"/>
      <c r="L3" s="1080"/>
      <c r="M3" s="1080"/>
      <c r="N3" s="1080"/>
      <c r="O3" s="1081"/>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305510393.68000001</v>
      </c>
      <c r="L5" s="954">
        <v>288595.48</v>
      </c>
      <c r="M5" s="955">
        <v>-159056077.63999999</v>
      </c>
      <c r="N5" s="955">
        <v>456496309.51999998</v>
      </c>
      <c r="O5" s="956">
        <f t="shared" ref="O5:O11" si="0">SUM(K5:N5)</f>
        <v>603239221.03999996</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305510393.68000001</v>
      </c>
      <c r="L12" s="960"/>
      <c r="M12" s="961">
        <f>SUM(M5:M11)</f>
        <v>-159056077.63999999</v>
      </c>
      <c r="N12" s="961">
        <f>SUM(N5:N11)</f>
        <v>456496309.51999998</v>
      </c>
      <c r="O12" s="962">
        <f>SUM(O5:O11)</f>
        <v>603239221.03999996</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3088067.9599999995</v>
      </c>
      <c r="L15" s="954">
        <v>7843</v>
      </c>
      <c r="M15" s="955"/>
      <c r="N15" s="955">
        <v>2269999.88</v>
      </c>
      <c r="O15" s="956">
        <f t="shared" ref="O15:O21" si="1">SUM(K15:N15)</f>
        <v>5365910.84</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3088067.9599999995</v>
      </c>
      <c r="L22" s="960"/>
      <c r="M22" s="961">
        <f>SUM(M15:M21)</f>
        <v>0</v>
      </c>
      <c r="N22" s="961">
        <f>SUM(N15:N21)</f>
        <v>2269999.88</v>
      </c>
      <c r="O22" s="962">
        <f>SUM(O15:O21)</f>
        <v>5365910.84</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308598461.63999999</v>
      </c>
      <c r="L24" s="978"/>
      <c r="M24" s="979">
        <f>M12+M22</f>
        <v>-159056077.63999999</v>
      </c>
      <c r="N24" s="979">
        <f>N12+N22</f>
        <v>458766309.39999998</v>
      </c>
      <c r="O24" s="980">
        <f>O12+O22</f>
        <v>608605131.88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G12" sqref="G12"/>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"&amp;S71L&amp; " - "&amp;Head57</f>
        <v>KZN225 Msunduzi - Supporting Table SC6 Monthly Budget Statement - transfers and grant receipts  - Q3 Third Quarter</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151213358.97999999</v>
      </c>
      <c r="G8" s="50">
        <f t="shared" si="0"/>
        <v>698862779.19000006</v>
      </c>
      <c r="H8" s="50">
        <f t="shared" si="0"/>
        <v>523204931.25</v>
      </c>
      <c r="I8" s="50">
        <f t="shared" si="0"/>
        <v>175657847.94</v>
      </c>
      <c r="J8" s="343">
        <f>IF(I8=0,"",I8/H8)</f>
        <v>0.33573431259589259</v>
      </c>
      <c r="K8" s="194">
        <f>SUM(K9:K16)</f>
        <v>697606575</v>
      </c>
    </row>
    <row r="9" spans="1:11" ht="12.75" customHeight="1" x14ac:dyDescent="0.25">
      <c r="A9" s="733" t="s">
        <v>986</v>
      </c>
      <c r="B9" s="169"/>
      <c r="C9" s="779"/>
      <c r="D9" s="780">
        <v>593405000</v>
      </c>
      <c r="E9" s="734">
        <v>682403000</v>
      </c>
      <c r="F9" s="734">
        <v>148351000</v>
      </c>
      <c r="G9" s="734">
        <v>682403000</v>
      </c>
      <c r="H9" s="733">
        <f>E9/12*9</f>
        <v>511802250</v>
      </c>
      <c r="I9" s="514">
        <f>G9-H9</f>
        <v>170600750</v>
      </c>
      <c r="J9" s="552">
        <f>IF(I9=0,"",I9/H9)</f>
        <v>0.33333333333333331</v>
      </c>
      <c r="K9" s="736">
        <f>E9</f>
        <v>682403000</v>
      </c>
    </row>
    <row r="10" spans="1:11" ht="12.75" customHeight="1" x14ac:dyDescent="0.25">
      <c r="A10" s="733" t="s">
        <v>988</v>
      </c>
      <c r="B10" s="169"/>
      <c r="C10" s="748"/>
      <c r="D10" s="745">
        <v>1700000</v>
      </c>
      <c r="E10" s="733">
        <v>1700000</v>
      </c>
      <c r="F10" s="733"/>
      <c r="G10" s="733">
        <v>1700000</v>
      </c>
      <c r="H10" s="733">
        <f>E10/12*9</f>
        <v>1275000</v>
      </c>
      <c r="I10" s="514">
        <f t="shared" ref="I10:I15" si="1">G10-H10</f>
        <v>425000</v>
      </c>
      <c r="J10" s="552">
        <f t="shared" ref="J10:J15" si="2">IF(I10=0,"",I10/H10)</f>
        <v>0.33333333333333331</v>
      </c>
      <c r="K10" s="735">
        <f>E10</f>
        <v>1700000</v>
      </c>
    </row>
    <row r="11" spans="1:11" ht="12.75" customHeight="1" x14ac:dyDescent="0.25">
      <c r="A11" s="733" t="s">
        <v>566</v>
      </c>
      <c r="B11" s="169"/>
      <c r="C11" s="748"/>
      <c r="D11" s="745"/>
      <c r="E11" s="733">
        <v>0</v>
      </c>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v>1316000</v>
      </c>
      <c r="G12" s="733">
        <v>4388000</v>
      </c>
      <c r="H12" s="733">
        <f>E12/12*9</f>
        <v>3291000</v>
      </c>
      <c r="I12" s="514">
        <f t="shared" si="1"/>
        <v>1097000</v>
      </c>
      <c r="J12" s="552">
        <f t="shared" si="2"/>
        <v>0.33333333333333331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v>1546358.98</v>
      </c>
      <c r="G16" s="733">
        <v>10371779.190000001</v>
      </c>
      <c r="H16" s="733">
        <f>E16/12*9</f>
        <v>6836681.25</v>
      </c>
      <c r="I16" s="44">
        <f>G16-H16</f>
        <v>3535097.9400000013</v>
      </c>
      <c r="J16" s="124">
        <f>IF(I16=0,"",I16/H16)</f>
        <v>0.51707806912893606</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15000000</v>
      </c>
      <c r="G17" s="430">
        <f t="shared" si="3"/>
        <v>27658000</v>
      </c>
      <c r="H17" s="430">
        <f t="shared" si="3"/>
        <v>30978680.25</v>
      </c>
      <c r="I17" s="430">
        <f t="shared" si="3"/>
        <v>-3320680.25</v>
      </c>
      <c r="J17" s="553">
        <f>IF(I17=0,"",I17/H17)</f>
        <v>-0.10719243761199285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f>E21/12*9</f>
        <v>0</v>
      </c>
      <c r="I21" s="44">
        <f t="shared" si="4"/>
        <v>0</v>
      </c>
      <c r="J21" s="124" t="str">
        <f t="shared" si="5"/>
        <v/>
      </c>
      <c r="K21" s="735"/>
    </row>
    <row r="22" spans="1:11" ht="12.75" customHeight="1" x14ac:dyDescent="0.25">
      <c r="A22" s="1002" t="s">
        <v>1435</v>
      </c>
      <c r="B22" s="169"/>
      <c r="C22" s="748"/>
      <c r="D22" s="745">
        <v>4264000</v>
      </c>
      <c r="E22" s="733">
        <v>4264000</v>
      </c>
      <c r="F22" s="733"/>
      <c r="G22" s="733"/>
      <c r="H22" s="733">
        <f t="shared" ref="H22:H23" si="6">E22/12*9</f>
        <v>3198000</v>
      </c>
      <c r="I22" s="44">
        <f t="shared" si="4"/>
        <v>-3198000</v>
      </c>
      <c r="J22" s="124">
        <f t="shared" si="5"/>
        <v>-1</v>
      </c>
      <c r="K22" s="735">
        <f t="shared" ref="K22:K23" si="7">E22</f>
        <v>4264000</v>
      </c>
    </row>
    <row r="23" spans="1:11" ht="12.75" customHeight="1" x14ac:dyDescent="0.25">
      <c r="A23" s="1002" t="s">
        <v>1436</v>
      </c>
      <c r="B23" s="169"/>
      <c r="C23" s="748"/>
      <c r="D23" s="745">
        <v>24079242</v>
      </c>
      <c r="E23" s="733">
        <v>24079242</v>
      </c>
      <c r="F23" s="733">
        <v>15000000</v>
      </c>
      <c r="G23" s="733">
        <v>15000000</v>
      </c>
      <c r="H23" s="733">
        <f t="shared" si="6"/>
        <v>18059431.5</v>
      </c>
      <c r="I23" s="44">
        <f t="shared" si="4"/>
        <v>-3059431.5</v>
      </c>
      <c r="J23" s="124">
        <f t="shared" si="5"/>
        <v>-0.16940907026890631</v>
      </c>
      <c r="K23" s="735">
        <f t="shared" si="7"/>
        <v>24079242</v>
      </c>
    </row>
    <row r="24" spans="1:11" ht="12.75" customHeight="1" x14ac:dyDescent="0.25">
      <c r="A24" s="1002" t="s">
        <v>1437</v>
      </c>
      <c r="B24" s="169"/>
      <c r="C24" s="748"/>
      <c r="D24" s="745">
        <v>22740423</v>
      </c>
      <c r="E24" s="733"/>
      <c r="F24" s="733"/>
      <c r="G24" s="733">
        <v>1233724.75</v>
      </c>
      <c r="H24" s="733"/>
      <c r="I24" s="44">
        <f t="shared" si="4"/>
        <v>1233724.75</v>
      </c>
      <c r="J24" s="124" t="e">
        <f t="shared" si="5"/>
        <v>#DIV/0!</v>
      </c>
      <c r="K24" s="735"/>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12473665</v>
      </c>
      <c r="F26" s="733"/>
      <c r="G26" s="733">
        <v>10200000</v>
      </c>
      <c r="H26" s="733">
        <f t="shared" ref="H26:H27" si="8">E26/12*9</f>
        <v>9355248.75</v>
      </c>
      <c r="I26" s="44">
        <f t="shared" ref="I26:I32" si="9">G26-H26</f>
        <v>844751.25</v>
      </c>
      <c r="J26" s="124">
        <f t="shared" ref="J26:J33" si="10">IF(I26=0,"",I26/H26)</f>
        <v>9.0297037799235425E-2</v>
      </c>
      <c r="K26" s="735">
        <f t="shared" ref="K26:K27" si="11">E26</f>
        <v>12473665</v>
      </c>
    </row>
    <row r="27" spans="1:11" ht="12.75" customHeight="1" x14ac:dyDescent="0.25">
      <c r="A27" s="1002" t="s">
        <v>1439</v>
      </c>
      <c r="B27" s="169"/>
      <c r="C27" s="748"/>
      <c r="D27" s="745">
        <v>488000</v>
      </c>
      <c r="E27" s="733">
        <v>488000</v>
      </c>
      <c r="F27" s="733"/>
      <c r="G27" s="733"/>
      <c r="H27" s="733">
        <f t="shared" si="8"/>
        <v>366000</v>
      </c>
      <c r="I27" s="44">
        <f t="shared" si="9"/>
        <v>-366000</v>
      </c>
      <c r="J27" s="124">
        <f t="shared" si="10"/>
        <v>-1</v>
      </c>
      <c r="K27" s="735">
        <f t="shared" si="11"/>
        <v>488000</v>
      </c>
    </row>
    <row r="28" spans="1:11" ht="12.75" customHeight="1" x14ac:dyDescent="0.25">
      <c r="A28" s="1002" t="s">
        <v>1440</v>
      </c>
      <c r="B28" s="169"/>
      <c r="C28" s="748"/>
      <c r="D28" s="745">
        <v>1500000</v>
      </c>
      <c r="E28" s="733"/>
      <c r="F28" s="733"/>
      <c r="G28" s="733">
        <v>458000</v>
      </c>
      <c r="H28" s="733">
        <f>E28/12*9</f>
        <v>0</v>
      </c>
      <c r="I28" s="44">
        <f t="shared" si="9"/>
        <v>458000</v>
      </c>
      <c r="J28" s="124" t="e">
        <f t="shared" si="10"/>
        <v>#DIV/0!</v>
      </c>
      <c r="K28" s="735"/>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738911482</v>
      </c>
      <c r="F33" s="73">
        <f t="shared" si="14"/>
        <v>166213358.97999999</v>
      </c>
      <c r="G33" s="73">
        <f t="shared" si="14"/>
        <v>726520779.19000006</v>
      </c>
      <c r="H33" s="73">
        <f t="shared" si="14"/>
        <v>554183611.5</v>
      </c>
      <c r="I33" s="73">
        <f t="shared" si="14"/>
        <v>172337167.69</v>
      </c>
      <c r="J33" s="304">
        <f t="shared" si="10"/>
        <v>0.31097485402633562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337738291</v>
      </c>
      <c r="F36" s="44">
        <f t="shared" si="15"/>
        <v>173724641.02000001</v>
      </c>
      <c r="G36" s="44">
        <f t="shared" si="15"/>
        <v>368604220.81000006</v>
      </c>
      <c r="H36" s="44">
        <f t="shared" si="15"/>
        <v>186734975.25</v>
      </c>
      <c r="I36" s="44">
        <f t="shared" si="15"/>
        <v>181869245.56000003</v>
      </c>
      <c r="J36" s="343">
        <f>IF(I36=0,"",I36/H36)</f>
        <v>0.97394312616859402</v>
      </c>
      <c r="K36" s="144">
        <f>SUM(K37:K44)</f>
        <v>337738291</v>
      </c>
    </row>
    <row r="37" spans="1:11" ht="12.75" customHeight="1" x14ac:dyDescent="0.25">
      <c r="A37" s="778" t="s">
        <v>1441</v>
      </c>
      <c r="B37" s="169"/>
      <c r="C37" s="779"/>
      <c r="D37" s="780">
        <v>187012424.99999985</v>
      </c>
      <c r="E37" s="734">
        <v>197724967</v>
      </c>
      <c r="F37" s="734">
        <v>32174641.02</v>
      </c>
      <c r="G37" s="734">
        <v>183349220.81000003</v>
      </c>
      <c r="H37" s="733">
        <f>E37/12*9</f>
        <v>148293725.25</v>
      </c>
      <c r="I37" s="514">
        <f>G37-H37</f>
        <v>35055495.560000032</v>
      </c>
      <c r="J37" s="552">
        <f>IF(I37=0,"",I37/H37)</f>
        <v>0.23639230520982568</v>
      </c>
      <c r="K37" s="736">
        <f>E37</f>
        <v>197724967</v>
      </c>
    </row>
    <row r="38" spans="1:11" ht="12.75" customHeight="1" x14ac:dyDescent="0.25">
      <c r="A38" s="778" t="s">
        <v>1453</v>
      </c>
      <c r="B38" s="169"/>
      <c r="C38" s="748"/>
      <c r="D38" s="745"/>
      <c r="E38" s="733">
        <v>88758324</v>
      </c>
      <c r="F38" s="733">
        <v>134000000</v>
      </c>
      <c r="G38" s="733">
        <v>134000000</v>
      </c>
      <c r="H38" s="733"/>
      <c r="I38" s="514">
        <f t="shared" ref="I38:I44" si="16">G38-H38</f>
        <v>134000000</v>
      </c>
      <c r="J38" s="552" t="e">
        <f t="shared" ref="J38:J44" si="17">IF(I38=0,"",I38/H38)</f>
        <v>#DIV/0!</v>
      </c>
      <c r="K38" s="735">
        <f>E38</f>
        <v>88758324</v>
      </c>
    </row>
    <row r="39" spans="1:11" ht="12.75" customHeight="1" x14ac:dyDescent="0.25">
      <c r="A39" s="778" t="s">
        <v>1001</v>
      </c>
      <c r="B39" s="169"/>
      <c r="C39" s="748"/>
      <c r="D39" s="745">
        <v>35000000</v>
      </c>
      <c r="E39" s="733">
        <v>18000000</v>
      </c>
      <c r="F39" s="733">
        <v>7550000</v>
      </c>
      <c r="G39" s="733">
        <v>18000000</v>
      </c>
      <c r="H39" s="733">
        <f>E39/12*9</f>
        <v>13500000</v>
      </c>
      <c r="I39" s="514">
        <f t="shared" si="16"/>
        <v>4500000</v>
      </c>
      <c r="J39" s="552">
        <f t="shared" si="17"/>
        <v>0.33333333333333331</v>
      </c>
      <c r="K39" s="735">
        <f>E39</f>
        <v>18000000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c r="G43" s="733">
        <v>33255000</v>
      </c>
      <c r="H43" s="733">
        <f>E43/12*9</f>
        <v>24941250</v>
      </c>
      <c r="I43" s="514">
        <f t="shared" si="16"/>
        <v>8313750</v>
      </c>
      <c r="J43" s="552">
        <f t="shared" si="17"/>
        <v>0.33333333333333331</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316942789</v>
      </c>
      <c r="F45" s="430">
        <f t="shared" si="18"/>
        <v>89050141.700000003</v>
      </c>
      <c r="G45" s="430">
        <f t="shared" si="18"/>
        <v>141795329.55000001</v>
      </c>
      <c r="H45" s="430">
        <f t="shared" si="18"/>
        <v>237707091.75</v>
      </c>
      <c r="I45" s="514">
        <f t="shared" ref="I45:I60" si="19">G45-H45</f>
        <v>-95911762.199999988</v>
      </c>
      <c r="J45" s="552">
        <f>IF(I45=0,"",I45/H45)</f>
        <v>-0.40348717193878164</v>
      </c>
      <c r="K45" s="513">
        <f>SUM(K46:K56)</f>
        <v>316942789</v>
      </c>
    </row>
    <row r="46" spans="1:11" ht="12.75" customHeight="1" x14ac:dyDescent="0.25">
      <c r="A46" s="781" t="s">
        <v>1457</v>
      </c>
      <c r="B46" s="169"/>
      <c r="C46" s="783"/>
      <c r="D46" s="784"/>
      <c r="E46" s="737"/>
      <c r="F46" s="733"/>
      <c r="G46" s="733"/>
      <c r="H46" s="737"/>
      <c r="I46" s="514">
        <f t="shared" si="19"/>
        <v>0</v>
      </c>
      <c r="J46" s="552" t="str">
        <f t="shared" ref="J46:J55" si="20">IF(I46=0,"",I46/H46)</f>
        <v/>
      </c>
      <c r="K46" s="738"/>
    </row>
    <row r="47" spans="1:11" ht="12.75" customHeight="1" x14ac:dyDescent="0.25">
      <c r="A47" s="785" t="s">
        <v>1472</v>
      </c>
      <c r="B47" s="169"/>
      <c r="C47" s="786"/>
      <c r="D47" s="787"/>
      <c r="E47" s="788">
        <v>4000000</v>
      </c>
      <c r="F47" s="733"/>
      <c r="G47" s="733"/>
      <c r="H47" s="788">
        <f t="shared" ref="H47:H56" si="21">E47/12*9</f>
        <v>3000000</v>
      </c>
      <c r="I47" s="44">
        <f t="shared" si="19"/>
        <v>-3000000</v>
      </c>
      <c r="J47" s="124">
        <f t="shared" si="20"/>
        <v>-1</v>
      </c>
      <c r="K47" s="789">
        <f t="shared" ref="K47:K56" si="22">E47</f>
        <v>4000000</v>
      </c>
    </row>
    <row r="48" spans="1:11" ht="12.75" customHeight="1" x14ac:dyDescent="0.25">
      <c r="A48" s="785" t="s">
        <v>1473</v>
      </c>
      <c r="B48" s="169"/>
      <c r="C48" s="786"/>
      <c r="D48" s="787"/>
      <c r="E48" s="788">
        <v>12835934</v>
      </c>
      <c r="F48" s="733"/>
      <c r="G48" s="733"/>
      <c r="H48" s="788">
        <f t="shared" si="21"/>
        <v>9626950.5</v>
      </c>
      <c r="I48" s="44">
        <f t="shared" si="19"/>
        <v>-9626950.5</v>
      </c>
      <c r="J48" s="124">
        <f t="shared" si="20"/>
        <v>-1</v>
      </c>
      <c r="K48" s="789">
        <f t="shared" si="22"/>
        <v>12835934</v>
      </c>
    </row>
    <row r="49" spans="1:11" ht="12.75" customHeight="1" x14ac:dyDescent="0.25">
      <c r="A49" s="785" t="s">
        <v>1444</v>
      </c>
      <c r="B49" s="169"/>
      <c r="C49" s="786"/>
      <c r="D49" s="733">
        <v>6124156</v>
      </c>
      <c r="E49" s="733">
        <v>6124156</v>
      </c>
      <c r="F49" s="733"/>
      <c r="G49" s="733"/>
      <c r="H49" s="733">
        <f t="shared" si="21"/>
        <v>4593117</v>
      </c>
      <c r="I49" s="44">
        <f t="shared" si="19"/>
        <v>-4593117</v>
      </c>
      <c r="J49" s="124">
        <f t="shared" si="20"/>
        <v>-1</v>
      </c>
      <c r="K49" s="733">
        <f t="shared" si="22"/>
        <v>6124156</v>
      </c>
    </row>
    <row r="50" spans="1:11" ht="12.75" customHeight="1" x14ac:dyDescent="0.25">
      <c r="A50" s="785" t="s">
        <v>1459</v>
      </c>
      <c r="B50" s="169"/>
      <c r="C50" s="786"/>
      <c r="D50" s="733">
        <v>2500000</v>
      </c>
      <c r="E50" s="733">
        <v>2500000</v>
      </c>
      <c r="F50" s="733"/>
      <c r="G50" s="733">
        <v>2500000</v>
      </c>
      <c r="H50" s="733">
        <f t="shared" si="21"/>
        <v>1875000</v>
      </c>
      <c r="I50" s="44">
        <f t="shared" si="19"/>
        <v>625000</v>
      </c>
      <c r="J50" s="124">
        <f t="shared" si="20"/>
        <v>0.33333333333333331</v>
      </c>
      <c r="K50" s="733">
        <f t="shared" si="22"/>
        <v>2500000</v>
      </c>
    </row>
    <row r="51" spans="1:11" ht="12.75" customHeight="1" x14ac:dyDescent="0.25">
      <c r="A51" s="785" t="s">
        <v>1439</v>
      </c>
      <c r="B51" s="169"/>
      <c r="C51" s="786"/>
      <c r="D51" s="733">
        <v>774000</v>
      </c>
      <c r="E51" s="733">
        <v>774000</v>
      </c>
      <c r="F51" s="733"/>
      <c r="G51" s="733"/>
      <c r="H51" s="733">
        <f t="shared" si="21"/>
        <v>580500</v>
      </c>
      <c r="I51" s="44">
        <f t="shared" si="19"/>
        <v>-580500</v>
      </c>
      <c r="J51" s="124">
        <f t="shared" si="20"/>
        <v>-1</v>
      </c>
      <c r="K51" s="733">
        <f t="shared" si="22"/>
        <v>774000</v>
      </c>
    </row>
    <row r="52" spans="1:11" ht="12.75" customHeight="1" x14ac:dyDescent="0.25">
      <c r="A52" s="785" t="s">
        <v>1440</v>
      </c>
      <c r="B52" s="169"/>
      <c r="C52" s="786"/>
      <c r="D52" s="733"/>
      <c r="E52" s="733">
        <v>2820431</v>
      </c>
      <c r="F52" s="733"/>
      <c r="G52" s="733">
        <v>4000000</v>
      </c>
      <c r="H52" s="788">
        <f t="shared" si="21"/>
        <v>2115323.25</v>
      </c>
      <c r="I52" s="44">
        <f t="shared" si="19"/>
        <v>1884676.75</v>
      </c>
      <c r="J52" s="124">
        <f t="shared" si="20"/>
        <v>0.89096394605410778</v>
      </c>
      <c r="K52" s="733">
        <f t="shared" si="22"/>
        <v>2820431</v>
      </c>
    </row>
    <row r="53" spans="1:11" ht="12.75" customHeight="1" x14ac:dyDescent="0.25">
      <c r="A53" s="785" t="s">
        <v>1443</v>
      </c>
      <c r="B53" s="169"/>
      <c r="C53" s="786"/>
      <c r="D53" s="733">
        <v>244264000</v>
      </c>
      <c r="E53" s="733">
        <v>250388156</v>
      </c>
      <c r="F53" s="733">
        <v>89050141.700000003</v>
      </c>
      <c r="G53" s="733">
        <v>123684666.08</v>
      </c>
      <c r="H53" s="733">
        <f t="shared" si="21"/>
        <v>187791117</v>
      </c>
      <c r="I53" s="44">
        <f t="shared" si="19"/>
        <v>-64106450.920000002</v>
      </c>
      <c r="J53" s="124">
        <f t="shared" si="20"/>
        <v>-0.34137105068713131</v>
      </c>
      <c r="K53" s="733">
        <f t="shared" si="22"/>
        <v>250388156</v>
      </c>
    </row>
    <row r="54" spans="1:11" ht="12.75" customHeight="1" x14ac:dyDescent="0.25">
      <c r="A54" s="785" t="s">
        <v>1445</v>
      </c>
      <c r="B54" s="169"/>
      <c r="C54" s="786"/>
      <c r="D54" s="733">
        <v>6750000</v>
      </c>
      <c r="E54" s="733">
        <v>6750000</v>
      </c>
      <c r="F54" s="733"/>
      <c r="G54" s="733">
        <v>594663.47</v>
      </c>
      <c r="H54" s="733">
        <f t="shared" si="21"/>
        <v>5062500</v>
      </c>
      <c r="I54" s="44">
        <f t="shared" si="19"/>
        <v>-4467836.53</v>
      </c>
      <c r="J54" s="124">
        <f t="shared" si="20"/>
        <v>-0.88253561086419763</v>
      </c>
      <c r="K54" s="733">
        <f t="shared" si="22"/>
        <v>6750000</v>
      </c>
    </row>
    <row r="55" spans="1:11" ht="12.75" customHeight="1" x14ac:dyDescent="0.25">
      <c r="A55" s="785" t="s">
        <v>1474</v>
      </c>
      <c r="B55" s="169"/>
      <c r="C55" s="786"/>
      <c r="D55" s="733"/>
      <c r="E55" s="788">
        <v>22465010</v>
      </c>
      <c r="F55" s="733"/>
      <c r="G55" s="733">
        <v>10986000</v>
      </c>
      <c r="H55" s="788">
        <f t="shared" si="21"/>
        <v>16848757.5</v>
      </c>
      <c r="I55" s="44">
        <f t="shared" si="19"/>
        <v>-5862757.5</v>
      </c>
      <c r="J55" s="124">
        <f t="shared" si="20"/>
        <v>-0.34796378902123792</v>
      </c>
      <c r="K55" s="733">
        <f t="shared" si="22"/>
        <v>22465010</v>
      </c>
    </row>
    <row r="56" spans="1:11" ht="12.75" customHeight="1" x14ac:dyDescent="0.25">
      <c r="A56" s="782" t="s">
        <v>1446</v>
      </c>
      <c r="B56" s="169"/>
      <c r="C56" s="748"/>
      <c r="D56" s="745">
        <v>10212000</v>
      </c>
      <c r="E56" s="733">
        <v>8285102</v>
      </c>
      <c r="F56" s="733"/>
      <c r="G56" s="733">
        <v>30000</v>
      </c>
      <c r="H56" s="733">
        <f t="shared" si="21"/>
        <v>6213826.5</v>
      </c>
      <c r="I56" s="44">
        <f t="shared" si="19"/>
        <v>-6183826.5</v>
      </c>
      <c r="J56" s="124">
        <f t="shared" ref="J56:J61" si="23">IF(I56=0,"",I56/H56)</f>
        <v>-0.99517205702476563</v>
      </c>
      <c r="K56" s="733">
        <f t="shared" si="22"/>
        <v>8285102</v>
      </c>
    </row>
    <row r="57" spans="1:11" ht="12.75" customHeight="1" x14ac:dyDescent="0.25">
      <c r="A57" s="106" t="str">
        <f>A29</f>
        <v>District Municipality:</v>
      </c>
      <c r="B57" s="169"/>
      <c r="C57" s="516">
        <f t="shared" ref="C57:H57" si="24">SUM(C58:C58)</f>
        <v>0</v>
      </c>
      <c r="D57" s="475">
        <f t="shared" si="24"/>
        <v>0</v>
      </c>
      <c r="E57" s="430">
        <f t="shared" si="24"/>
        <v>0</v>
      </c>
      <c r="F57" s="430">
        <f t="shared" si="24"/>
        <v>0</v>
      </c>
      <c r="G57" s="430">
        <f t="shared" si="24"/>
        <v>0</v>
      </c>
      <c r="H57" s="430">
        <f t="shared" si="24"/>
        <v>0</v>
      </c>
      <c r="I57" s="514">
        <f t="shared" si="19"/>
        <v>0</v>
      </c>
      <c r="J57" s="552" t="str">
        <f t="shared" si="23"/>
        <v/>
      </c>
      <c r="K57" s="513">
        <f>SUM(K58:K58)</f>
        <v>0</v>
      </c>
    </row>
    <row r="58" spans="1:11" ht="12.75" customHeight="1" x14ac:dyDescent="0.25">
      <c r="A58" s="781" t="s">
        <v>567</v>
      </c>
      <c r="B58" s="169"/>
      <c r="C58" s="783"/>
      <c r="D58" s="784"/>
      <c r="E58" s="737"/>
      <c r="F58" s="737"/>
      <c r="G58" s="737"/>
      <c r="H58" s="737"/>
      <c r="I58" s="514">
        <f t="shared" si="19"/>
        <v>0</v>
      </c>
      <c r="J58" s="552" t="str">
        <f t="shared" si="23"/>
        <v/>
      </c>
      <c r="K58" s="738"/>
    </row>
    <row r="59" spans="1:11" ht="12.75" customHeight="1" x14ac:dyDescent="0.25">
      <c r="A59" s="106" t="str">
        <f>A31</f>
        <v>Other grant providers:</v>
      </c>
      <c r="B59" s="169"/>
      <c r="C59" s="516">
        <f t="shared" ref="C59:H59" si="25">SUM(C60:C60)</f>
        <v>0</v>
      </c>
      <c r="D59" s="475">
        <f t="shared" si="25"/>
        <v>0</v>
      </c>
      <c r="E59" s="430">
        <f t="shared" si="25"/>
        <v>0</v>
      </c>
      <c r="F59" s="430">
        <f t="shared" si="25"/>
        <v>0</v>
      </c>
      <c r="G59" s="430">
        <f t="shared" si="25"/>
        <v>0</v>
      </c>
      <c r="H59" s="430">
        <f t="shared" si="25"/>
        <v>0</v>
      </c>
      <c r="I59" s="514">
        <f t="shared" si="19"/>
        <v>0</v>
      </c>
      <c r="J59" s="552" t="str">
        <f t="shared" si="23"/>
        <v/>
      </c>
      <c r="K59" s="513">
        <f>SUM(K60:K60)</f>
        <v>0</v>
      </c>
    </row>
    <row r="60" spans="1:11" ht="12.75" customHeight="1" x14ac:dyDescent="0.25">
      <c r="A60" s="781" t="s">
        <v>567</v>
      </c>
      <c r="B60" s="169"/>
      <c r="C60" s="783"/>
      <c r="D60" s="784"/>
      <c r="E60" s="737"/>
      <c r="F60" s="737"/>
      <c r="G60" s="737"/>
      <c r="H60" s="737"/>
      <c r="I60" s="514">
        <f t="shared" si="19"/>
        <v>0</v>
      </c>
      <c r="J60" s="552" t="str">
        <f t="shared" si="23"/>
        <v/>
      </c>
      <c r="K60" s="738"/>
    </row>
    <row r="61" spans="1:11" ht="12.75" customHeight="1" x14ac:dyDescent="0.25">
      <c r="A61" s="557" t="s">
        <v>64</v>
      </c>
      <c r="B61" s="309">
        <v>5</v>
      </c>
      <c r="C61" s="516">
        <f t="shared" ref="C61:I61" si="26">C36+C45+C57+C59</f>
        <v>0</v>
      </c>
      <c r="D61" s="475">
        <f t="shared" si="26"/>
        <v>525891580.99999988</v>
      </c>
      <c r="E61" s="430">
        <f t="shared" si="26"/>
        <v>654681080</v>
      </c>
      <c r="F61" s="430">
        <f t="shared" si="26"/>
        <v>262774782.72000003</v>
      </c>
      <c r="G61" s="430">
        <f t="shared" si="26"/>
        <v>510399550.36000007</v>
      </c>
      <c r="H61" s="430">
        <f t="shared" si="26"/>
        <v>424442067</v>
      </c>
      <c r="I61" s="430">
        <f t="shared" si="26"/>
        <v>85957483.360000044</v>
      </c>
      <c r="J61" s="553">
        <f t="shared" si="23"/>
        <v>0.20251876532304242</v>
      </c>
      <c r="K61" s="513">
        <f>K36+K45+K57+K59</f>
        <v>654681080</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7">C33+C61</f>
        <v>0</v>
      </c>
      <c r="D63" s="305">
        <f t="shared" si="27"/>
        <v>1201374821</v>
      </c>
      <c r="E63" s="306">
        <f t="shared" si="27"/>
        <v>1393592562</v>
      </c>
      <c r="F63" s="306">
        <f t="shared" si="27"/>
        <v>428988141.70000005</v>
      </c>
      <c r="G63" s="306">
        <f t="shared" si="27"/>
        <v>1236920329.5500002</v>
      </c>
      <c r="H63" s="306">
        <f t="shared" si="27"/>
        <v>978625678.5</v>
      </c>
      <c r="I63" s="306">
        <f t="shared" si="27"/>
        <v>258294651.05000004</v>
      </c>
      <c r="J63" s="307">
        <f>IF(I63=0,"",I63/H63)</f>
        <v>0.263936106240237</v>
      </c>
      <c r="K63" s="308">
        <f>K33+K61</f>
        <v>1393592562</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activeCell="H45" sqref="H45"/>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"&amp;S71M&amp; " - "&amp;Head57</f>
        <v>KZN225 Msunduzi - Supporting Table SC7(1) Monthly Budget Statement - transfers and grant expenditure  - Q3 Third Quarter</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151465011.03</v>
      </c>
      <c r="G8" s="50">
        <f t="shared" si="0"/>
        <v>700357883.99000001</v>
      </c>
      <c r="H8" s="50">
        <f t="shared" si="0"/>
        <v>523204931.25</v>
      </c>
      <c r="I8" s="50">
        <f t="shared" si="0"/>
        <v>177152952.74000001</v>
      </c>
      <c r="J8" s="343">
        <f t="shared" ref="J8:J33" si="1">IF(I8=0,"",I8/H8)</f>
        <v>0.3385919018705732</v>
      </c>
      <c r="K8" s="194">
        <f>SUM(K9:K16)</f>
        <v>697606575</v>
      </c>
    </row>
    <row r="9" spans="1:11" x14ac:dyDescent="0.25">
      <c r="A9" s="396" t="s">
        <v>986</v>
      </c>
      <c r="B9" s="169"/>
      <c r="C9" s="779"/>
      <c r="D9" s="780">
        <v>593405000</v>
      </c>
      <c r="E9" s="734">
        <v>682403000</v>
      </c>
      <c r="F9" s="734">
        <v>148351000</v>
      </c>
      <c r="G9" s="734">
        <v>682403000</v>
      </c>
      <c r="H9" s="733">
        <f t="shared" ref="H9:H10" si="2">E9/12*9</f>
        <v>511802250</v>
      </c>
      <c r="I9" s="514">
        <f>G9-H9</f>
        <v>170600750</v>
      </c>
      <c r="J9" s="552">
        <f t="shared" si="1"/>
        <v>0.33333333333333331</v>
      </c>
      <c r="K9" s="736">
        <f>E9</f>
        <v>682403000</v>
      </c>
    </row>
    <row r="10" spans="1:11" x14ac:dyDescent="0.25">
      <c r="A10" s="396" t="s">
        <v>988</v>
      </c>
      <c r="B10" s="169"/>
      <c r="C10" s="748"/>
      <c r="D10" s="745">
        <v>1700000</v>
      </c>
      <c r="E10" s="733">
        <v>1700000</v>
      </c>
      <c r="F10" s="733">
        <v>82188.72</v>
      </c>
      <c r="G10" s="733">
        <v>741315.31999999983</v>
      </c>
      <c r="H10" s="733">
        <f t="shared" si="2"/>
        <v>1275000</v>
      </c>
      <c r="I10" s="514">
        <f t="shared" ref="I10:I16" si="3">G10-H10</f>
        <v>-533684.68000000017</v>
      </c>
      <c r="J10" s="552">
        <f t="shared" ref="J10:J16" si="4">IF(I10=0,"",I10/H10)</f>
        <v>-0.41857621960784325</v>
      </c>
      <c r="K10" s="736">
        <f>E10</f>
        <v>1700000</v>
      </c>
    </row>
    <row r="11" spans="1:11" x14ac:dyDescent="0.25">
      <c r="A11" s="396" t="s">
        <v>566</v>
      </c>
      <c r="B11" s="169"/>
      <c r="C11" s="748"/>
      <c r="D11" s="745"/>
      <c r="E11" s="733"/>
      <c r="F11" s="733"/>
      <c r="G11" s="733"/>
      <c r="H11" s="733"/>
      <c r="I11" s="514">
        <f t="shared" si="3"/>
        <v>0</v>
      </c>
      <c r="J11" s="552" t="str">
        <f t="shared" si="4"/>
        <v/>
      </c>
      <c r="K11" s="736"/>
    </row>
    <row r="12" spans="1:11" x14ac:dyDescent="0.25">
      <c r="A12" s="396" t="s">
        <v>995</v>
      </c>
      <c r="B12" s="169"/>
      <c r="C12" s="748"/>
      <c r="D12" s="745">
        <v>4388000</v>
      </c>
      <c r="E12" s="733">
        <v>4388000</v>
      </c>
      <c r="F12" s="733">
        <v>649731.93000000005</v>
      </c>
      <c r="G12" s="733">
        <v>2695737.93</v>
      </c>
      <c r="H12" s="733">
        <f>E12/12*9</f>
        <v>3291000</v>
      </c>
      <c r="I12" s="514">
        <f t="shared" si="3"/>
        <v>-595262.06999999983</v>
      </c>
      <c r="J12" s="552">
        <f t="shared" si="4"/>
        <v>-0.18087574293527797</v>
      </c>
      <c r="K12" s="736">
        <f>E12</f>
        <v>4388000</v>
      </c>
    </row>
    <row r="13" spans="1:11" ht="12.75" customHeight="1" x14ac:dyDescent="0.25">
      <c r="A13" s="396" t="s">
        <v>989</v>
      </c>
      <c r="B13" s="169"/>
      <c r="C13" s="748"/>
      <c r="D13" s="745"/>
      <c r="E13" s="733"/>
      <c r="F13" s="733"/>
      <c r="G13" s="733"/>
      <c r="H13" s="733"/>
      <c r="I13" s="514">
        <f t="shared" si="3"/>
        <v>0</v>
      </c>
      <c r="J13" s="552" t="str">
        <f t="shared" si="4"/>
        <v/>
      </c>
      <c r="K13" s="736"/>
    </row>
    <row r="14" spans="1:11" ht="12.75" customHeight="1" x14ac:dyDescent="0.25">
      <c r="A14" s="396" t="s">
        <v>1450</v>
      </c>
      <c r="B14" s="169"/>
      <c r="C14" s="748"/>
      <c r="D14" s="745"/>
      <c r="E14" s="733"/>
      <c r="F14" s="733">
        <v>1668853.53</v>
      </c>
      <c r="G14" s="733">
        <v>5126917.37</v>
      </c>
      <c r="H14" s="733"/>
      <c r="I14" s="514">
        <f t="shared" si="3"/>
        <v>5126917.37</v>
      </c>
      <c r="J14" s="552" t="e">
        <f t="shared" si="4"/>
        <v>#DIV/0!</v>
      </c>
      <c r="K14" s="736"/>
    </row>
    <row r="15" spans="1:11" ht="12.75" customHeight="1" x14ac:dyDescent="0.25">
      <c r="A15" s="396" t="s">
        <v>990</v>
      </c>
      <c r="B15" s="169"/>
      <c r="C15" s="748"/>
      <c r="D15" s="745"/>
      <c r="E15" s="733"/>
      <c r="F15" s="733"/>
      <c r="G15" s="733"/>
      <c r="H15" s="733"/>
      <c r="I15" s="514">
        <f t="shared" si="3"/>
        <v>0</v>
      </c>
      <c r="J15" s="552" t="str">
        <f t="shared" si="4"/>
        <v/>
      </c>
      <c r="K15" s="736"/>
    </row>
    <row r="16" spans="1:11" ht="12.75" customHeight="1" x14ac:dyDescent="0.25">
      <c r="A16" s="396" t="s">
        <v>1433</v>
      </c>
      <c r="B16" s="169"/>
      <c r="C16" s="748"/>
      <c r="D16" s="745">
        <v>9115575</v>
      </c>
      <c r="E16" s="733">
        <v>9115575</v>
      </c>
      <c r="F16" s="733">
        <v>713236.85000000009</v>
      </c>
      <c r="G16" s="733">
        <v>9390913.3699999992</v>
      </c>
      <c r="H16" s="733">
        <f>E16/12*9</f>
        <v>6836681.25</v>
      </c>
      <c r="I16" s="514">
        <f t="shared" si="3"/>
        <v>2554232.1199999992</v>
      </c>
      <c r="J16" s="552">
        <f t="shared" si="4"/>
        <v>0.37360702168175519</v>
      </c>
      <c r="K16" s="736">
        <f>E16</f>
        <v>9115575</v>
      </c>
    </row>
    <row r="17" spans="1:11" ht="12.75" customHeight="1" x14ac:dyDescent="0.25">
      <c r="A17" s="397" t="str">
        <f>'SC6'!A17</f>
        <v>Provincial Government:</v>
      </c>
      <c r="B17" s="169"/>
      <c r="C17" s="516">
        <f t="shared" ref="C17:I17" si="5">SUM(C18:C28)</f>
        <v>0</v>
      </c>
      <c r="D17" s="475">
        <f t="shared" si="5"/>
        <v>66874665</v>
      </c>
      <c r="E17" s="430">
        <f t="shared" si="5"/>
        <v>66874665</v>
      </c>
      <c r="F17" s="430">
        <f t="shared" si="5"/>
        <v>4775277.62</v>
      </c>
      <c r="G17" s="430">
        <f t="shared" si="5"/>
        <v>33906502.219999999</v>
      </c>
      <c r="H17" s="430">
        <f t="shared" si="5"/>
        <v>50155998.75</v>
      </c>
      <c r="I17" s="430">
        <f t="shared" si="5"/>
        <v>-16249496.530000005</v>
      </c>
      <c r="J17" s="553">
        <f t="shared" si="1"/>
        <v>-0.32397912383311889</v>
      </c>
      <c r="K17" s="513">
        <f>SUM(K18:K28)</f>
        <v>66874665</v>
      </c>
    </row>
    <row r="18" spans="1:11" ht="12.75" customHeight="1" x14ac:dyDescent="0.25">
      <c r="A18" s="396" t="s">
        <v>623</v>
      </c>
      <c r="B18" s="169"/>
      <c r="C18" s="779"/>
      <c r="D18" s="780"/>
      <c r="E18" s="734"/>
      <c r="F18" s="734"/>
      <c r="G18" s="734"/>
      <c r="H18" s="734"/>
      <c r="I18" s="514">
        <f t="shared" ref="I18:I28" si="6">G18-H18</f>
        <v>0</v>
      </c>
      <c r="J18" s="552" t="str">
        <f t="shared" si="1"/>
        <v/>
      </c>
      <c r="K18" s="736"/>
    </row>
    <row r="19" spans="1:11" ht="12.75" customHeight="1" x14ac:dyDescent="0.25">
      <c r="A19" s="396" t="s">
        <v>1452</v>
      </c>
      <c r="B19" s="169"/>
      <c r="C19" s="748"/>
      <c r="D19" s="745"/>
      <c r="E19" s="733"/>
      <c r="F19" s="733"/>
      <c r="G19" s="733"/>
      <c r="H19" s="733"/>
      <c r="I19" s="44">
        <f t="shared" si="6"/>
        <v>0</v>
      </c>
      <c r="J19" s="124" t="str">
        <f t="shared" si="1"/>
        <v/>
      </c>
      <c r="K19" s="735"/>
    </row>
    <row r="20" spans="1:11" ht="12.75" customHeight="1" x14ac:dyDescent="0.25">
      <c r="A20" s="396" t="s">
        <v>771</v>
      </c>
      <c r="B20" s="169"/>
      <c r="C20" s="748"/>
      <c r="D20" s="745"/>
      <c r="E20" s="733"/>
      <c r="F20" s="733"/>
      <c r="G20" s="733"/>
      <c r="H20" s="733"/>
      <c r="I20" s="44">
        <f t="shared" si="6"/>
        <v>0</v>
      </c>
      <c r="J20" s="124" t="str">
        <f t="shared" si="1"/>
        <v/>
      </c>
      <c r="K20" s="735"/>
    </row>
    <row r="21" spans="1:11" ht="12.75" customHeight="1" x14ac:dyDescent="0.25">
      <c r="A21" s="396" t="s">
        <v>1434</v>
      </c>
      <c r="B21" s="169"/>
      <c r="C21" s="748"/>
      <c r="D21" s="745">
        <v>3603000</v>
      </c>
      <c r="E21" s="733">
        <v>3603000</v>
      </c>
      <c r="F21" s="733"/>
      <c r="G21" s="733"/>
      <c r="H21" s="733">
        <f t="shared" ref="H21:H24" si="7">E21/12*9</f>
        <v>2702250</v>
      </c>
      <c r="I21" s="44">
        <f t="shared" si="6"/>
        <v>-2702250</v>
      </c>
      <c r="J21" s="124">
        <f t="shared" si="1"/>
        <v>-1</v>
      </c>
      <c r="K21" s="735">
        <f t="shared" ref="K21:K24" si="8">E21</f>
        <v>3603000</v>
      </c>
    </row>
    <row r="22" spans="1:11" ht="12.75" customHeight="1" x14ac:dyDescent="0.25">
      <c r="A22" s="396" t="s">
        <v>1435</v>
      </c>
      <c r="B22" s="169"/>
      <c r="C22" s="748"/>
      <c r="D22" s="745">
        <v>4264000</v>
      </c>
      <c r="E22" s="733">
        <v>4264000</v>
      </c>
      <c r="F22" s="733"/>
      <c r="G22" s="733"/>
      <c r="H22" s="733">
        <f t="shared" si="7"/>
        <v>3198000</v>
      </c>
      <c r="I22" s="44">
        <f t="shared" si="6"/>
        <v>-3198000</v>
      </c>
      <c r="J22" s="124">
        <f t="shared" si="1"/>
        <v>-1</v>
      </c>
      <c r="K22" s="735">
        <f t="shared" si="8"/>
        <v>4264000</v>
      </c>
    </row>
    <row r="23" spans="1:11" ht="12.75" customHeight="1" x14ac:dyDescent="0.25">
      <c r="A23" s="396" t="s">
        <v>1436</v>
      </c>
      <c r="B23" s="169"/>
      <c r="C23" s="748"/>
      <c r="D23" s="745">
        <v>24079242</v>
      </c>
      <c r="E23" s="733">
        <v>24079242</v>
      </c>
      <c r="F23" s="733"/>
      <c r="G23" s="733"/>
      <c r="H23" s="733">
        <f t="shared" si="7"/>
        <v>18059431.5</v>
      </c>
      <c r="I23" s="44">
        <f t="shared" si="6"/>
        <v>-18059431.5</v>
      </c>
      <c r="J23" s="124">
        <f t="shared" si="1"/>
        <v>-1</v>
      </c>
      <c r="K23" s="735">
        <f t="shared" si="8"/>
        <v>24079242</v>
      </c>
    </row>
    <row r="24" spans="1:11" ht="12.75" customHeight="1" x14ac:dyDescent="0.25">
      <c r="A24" s="396" t="s">
        <v>1437</v>
      </c>
      <c r="B24" s="169"/>
      <c r="C24" s="748"/>
      <c r="D24" s="745">
        <v>22740423</v>
      </c>
      <c r="E24" s="733">
        <v>22740423</v>
      </c>
      <c r="F24" s="733">
        <v>3323812.13</v>
      </c>
      <c r="G24" s="733">
        <v>24962233.219999995</v>
      </c>
      <c r="H24" s="733">
        <f t="shared" si="7"/>
        <v>17055317.25</v>
      </c>
      <c r="I24" s="44">
        <f t="shared" si="6"/>
        <v>7906915.9699999951</v>
      </c>
      <c r="J24" s="124">
        <f t="shared" si="1"/>
        <v>0.46360415664504834</v>
      </c>
      <c r="K24" s="735">
        <f t="shared" si="8"/>
        <v>22740423</v>
      </c>
    </row>
    <row r="25" spans="1:11" ht="12.75" customHeight="1" x14ac:dyDescent="0.25">
      <c r="A25" s="396" t="s">
        <v>1451</v>
      </c>
      <c r="B25" s="169"/>
      <c r="C25" s="748"/>
      <c r="D25" s="745"/>
      <c r="E25" s="733"/>
      <c r="F25" s="733"/>
      <c r="G25" s="733"/>
      <c r="H25" s="733"/>
      <c r="I25" s="44">
        <f t="shared" si="6"/>
        <v>0</v>
      </c>
      <c r="J25" s="124" t="str">
        <f t="shared" si="1"/>
        <v/>
      </c>
      <c r="K25" s="735"/>
    </row>
    <row r="26" spans="1:11" ht="12.75" customHeight="1" x14ac:dyDescent="0.25">
      <c r="A26" s="396" t="s">
        <v>1438</v>
      </c>
      <c r="B26" s="169"/>
      <c r="C26" s="748"/>
      <c r="D26" s="745">
        <v>10200000</v>
      </c>
      <c r="E26" s="733">
        <v>10200000</v>
      </c>
      <c r="F26" s="733">
        <v>612703.48</v>
      </c>
      <c r="G26" s="733">
        <v>7884230.6199999992</v>
      </c>
      <c r="H26" s="733">
        <f t="shared" ref="H26:H28" si="9">E26/12*9</f>
        <v>7650000</v>
      </c>
      <c r="I26" s="44">
        <f t="shared" si="6"/>
        <v>234230.61999999918</v>
      </c>
      <c r="J26" s="124">
        <f t="shared" si="1"/>
        <v>3.06183816993463E-2</v>
      </c>
      <c r="K26" s="735">
        <f t="shared" ref="K26:K28" si="10">E26</f>
        <v>10200000</v>
      </c>
    </row>
    <row r="27" spans="1:11" ht="12.75" customHeight="1" x14ac:dyDescent="0.25">
      <c r="A27" s="396" t="s">
        <v>1439</v>
      </c>
      <c r="B27" s="169"/>
      <c r="C27" s="748"/>
      <c r="D27" s="745">
        <v>488000</v>
      </c>
      <c r="E27" s="733">
        <v>488000</v>
      </c>
      <c r="F27" s="733"/>
      <c r="G27" s="733"/>
      <c r="H27" s="733">
        <f t="shared" si="9"/>
        <v>366000</v>
      </c>
      <c r="I27" s="44">
        <f t="shared" si="6"/>
        <v>-366000</v>
      </c>
      <c r="J27" s="124">
        <f t="shared" si="1"/>
        <v>-1</v>
      </c>
      <c r="K27" s="735">
        <f t="shared" si="10"/>
        <v>488000</v>
      </c>
    </row>
    <row r="28" spans="1:11" ht="12.75" customHeight="1" x14ac:dyDescent="0.25">
      <c r="A28" s="396" t="s">
        <v>1440</v>
      </c>
      <c r="B28" s="169"/>
      <c r="C28" s="748"/>
      <c r="D28" s="745">
        <v>1500000</v>
      </c>
      <c r="E28" s="733">
        <v>1500000</v>
      </c>
      <c r="F28" s="733">
        <v>838762.01</v>
      </c>
      <c r="G28" s="733">
        <v>1060038.3799999999</v>
      </c>
      <c r="H28" s="733">
        <f t="shared" si="9"/>
        <v>1125000</v>
      </c>
      <c r="I28" s="44">
        <f t="shared" si="6"/>
        <v>-64961.620000000112</v>
      </c>
      <c r="J28" s="124">
        <f t="shared" si="1"/>
        <v>-5.7743662222222325E-2</v>
      </c>
      <c r="K28" s="735">
        <f t="shared" si="10"/>
        <v>1500000</v>
      </c>
    </row>
    <row r="29" spans="1:11" ht="12.75" customHeight="1" x14ac:dyDescent="0.25">
      <c r="A29" s="397" t="str">
        <f>'SC6'!A29</f>
        <v>District Municipality:</v>
      </c>
      <c r="B29" s="169"/>
      <c r="C29" s="516">
        <f t="shared" ref="C29:H29" si="11">SUM(C30:C30)</f>
        <v>0</v>
      </c>
      <c r="D29" s="475">
        <f t="shared" si="11"/>
        <v>0</v>
      </c>
      <c r="E29" s="430">
        <f t="shared" si="11"/>
        <v>0</v>
      </c>
      <c r="F29" s="430">
        <f t="shared" si="11"/>
        <v>0</v>
      </c>
      <c r="G29" s="430">
        <f t="shared" si="11"/>
        <v>0</v>
      </c>
      <c r="H29" s="430">
        <f t="shared" si="11"/>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2">SUM(C32:C32)</f>
        <v>0</v>
      </c>
      <c r="D31" s="475">
        <f t="shared" si="12"/>
        <v>0</v>
      </c>
      <c r="E31" s="430">
        <f t="shared" si="12"/>
        <v>0</v>
      </c>
      <c r="F31" s="430">
        <f t="shared" si="12"/>
        <v>0</v>
      </c>
      <c r="G31" s="430">
        <f t="shared" si="12"/>
        <v>0</v>
      </c>
      <c r="H31" s="430">
        <f t="shared" si="12"/>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3">C8+C17+C29+C31</f>
        <v>0</v>
      </c>
      <c r="D33" s="74">
        <f t="shared" si="13"/>
        <v>675483240</v>
      </c>
      <c r="E33" s="73">
        <f t="shared" si="13"/>
        <v>764481240</v>
      </c>
      <c r="F33" s="73">
        <f t="shared" si="13"/>
        <v>156240288.65000001</v>
      </c>
      <c r="G33" s="73">
        <f t="shared" si="13"/>
        <v>734264386.21000004</v>
      </c>
      <c r="H33" s="73">
        <f t="shared" si="13"/>
        <v>573360930</v>
      </c>
      <c r="I33" s="73">
        <f t="shared" si="13"/>
        <v>160903456.21000001</v>
      </c>
      <c r="J33" s="304">
        <f t="shared" si="1"/>
        <v>0.28063205529194324</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4">SUM(C37:C44)</f>
        <v>0</v>
      </c>
      <c r="D36" s="46">
        <f t="shared" si="14"/>
        <v>255267424.99999985</v>
      </c>
      <c r="E36" s="44">
        <f t="shared" si="14"/>
        <v>255267424.99999985</v>
      </c>
      <c r="F36" s="44">
        <f t="shared" si="14"/>
        <v>19760301.329999998</v>
      </c>
      <c r="G36" s="44">
        <f t="shared" si="14"/>
        <v>266100805.88999999</v>
      </c>
      <c r="H36" s="44">
        <f t="shared" si="14"/>
        <v>191450568.74999988</v>
      </c>
      <c r="I36" s="44">
        <f t="shared" si="14"/>
        <v>74650237.140000135</v>
      </c>
      <c r="J36" s="343">
        <f>IF(I36=0,"",I36/H36)</f>
        <v>0.38991911921389988</v>
      </c>
      <c r="K36" s="144">
        <f t="shared" si="14"/>
        <v>255267424.99999985</v>
      </c>
    </row>
    <row r="37" spans="1:11" ht="12.75" customHeight="1" x14ac:dyDescent="0.25">
      <c r="A37" s="396" t="s">
        <v>1441</v>
      </c>
      <c r="B37" s="169"/>
      <c r="C37" s="779"/>
      <c r="D37" s="780">
        <v>187012424.99999985</v>
      </c>
      <c r="E37" s="734">
        <v>187012424.99999985</v>
      </c>
      <c r="F37" s="734">
        <v>17220529.27</v>
      </c>
      <c r="G37" s="734">
        <v>152304399.79000002</v>
      </c>
      <c r="H37" s="734">
        <f>E37/12*9</f>
        <v>140259318.74999988</v>
      </c>
      <c r="I37" s="514">
        <f>G37-H37</f>
        <v>12045081.040000141</v>
      </c>
      <c r="J37" s="552">
        <f>IF(I37=0,"",I37/H37)</f>
        <v>8.5877224753026615E-2</v>
      </c>
      <c r="K37" s="736">
        <f>E37</f>
        <v>187012424.99999985</v>
      </c>
    </row>
    <row r="38" spans="1:11" ht="12" customHeight="1" x14ac:dyDescent="0.25">
      <c r="A38" s="396" t="s">
        <v>1453</v>
      </c>
      <c r="B38" s="169"/>
      <c r="C38" s="748"/>
      <c r="D38" s="745"/>
      <c r="E38" s="733"/>
      <c r="F38" s="733"/>
      <c r="G38" s="733">
        <v>88970586.959999993</v>
      </c>
      <c r="H38" s="733"/>
      <c r="I38" s="44">
        <f t="shared" ref="I38:I44" si="15">G38-H38</f>
        <v>88970586.959999993</v>
      </c>
      <c r="J38" s="124" t="e">
        <f t="shared" ref="J38:J44" si="16">IF(I38=0,"",I38/H38)</f>
        <v>#DIV/0!</v>
      </c>
      <c r="K38" s="736"/>
    </row>
    <row r="39" spans="1:11" ht="12" customHeight="1" x14ac:dyDescent="0.25">
      <c r="A39" s="396" t="s">
        <v>1001</v>
      </c>
      <c r="B39" s="169"/>
      <c r="C39" s="748"/>
      <c r="D39" s="745">
        <v>35000000</v>
      </c>
      <c r="E39" s="733">
        <v>35000000</v>
      </c>
      <c r="F39" s="733"/>
      <c r="G39" s="733">
        <v>857018.28</v>
      </c>
      <c r="H39" s="733">
        <f>E39/12*9</f>
        <v>26250000</v>
      </c>
      <c r="I39" s="44">
        <f t="shared" si="15"/>
        <v>-25392981.719999999</v>
      </c>
      <c r="J39" s="124">
        <f t="shared" si="16"/>
        <v>-0.96735168457142851</v>
      </c>
      <c r="K39" s="736">
        <f>E39</f>
        <v>35000000</v>
      </c>
    </row>
    <row r="40" spans="1:11" ht="12" customHeight="1" x14ac:dyDescent="0.25">
      <c r="A40" s="396" t="s">
        <v>1454</v>
      </c>
      <c r="B40" s="169"/>
      <c r="C40" s="748"/>
      <c r="D40" s="745"/>
      <c r="E40" s="733"/>
      <c r="F40" s="733"/>
      <c r="G40" s="733"/>
      <c r="H40" s="733"/>
      <c r="I40" s="44">
        <f t="shared" si="15"/>
        <v>0</v>
      </c>
      <c r="J40" s="124" t="str">
        <f t="shared" si="16"/>
        <v/>
      </c>
      <c r="K40" s="736"/>
    </row>
    <row r="41" spans="1:11" ht="12.75" customHeight="1" x14ac:dyDescent="0.25">
      <c r="A41" s="396" t="s">
        <v>1455</v>
      </c>
      <c r="B41" s="169"/>
      <c r="C41" s="748"/>
      <c r="D41" s="745"/>
      <c r="E41" s="733"/>
      <c r="F41" s="733"/>
      <c r="G41" s="733"/>
      <c r="H41" s="733"/>
      <c r="I41" s="44">
        <f t="shared" si="15"/>
        <v>0</v>
      </c>
      <c r="J41" s="124" t="str">
        <f t="shared" si="16"/>
        <v/>
      </c>
      <c r="K41" s="736"/>
    </row>
    <row r="42" spans="1:11" ht="12.75" customHeight="1" x14ac:dyDescent="0.25">
      <c r="A42" s="396" t="s">
        <v>566</v>
      </c>
      <c r="B42" s="169"/>
      <c r="C42" s="748"/>
      <c r="D42" s="745"/>
      <c r="E42" s="733"/>
      <c r="F42" s="733"/>
      <c r="G42" s="733"/>
      <c r="H42" s="733"/>
      <c r="I42" s="44">
        <f t="shared" si="15"/>
        <v>0</v>
      </c>
      <c r="J42" s="124" t="str">
        <f t="shared" si="16"/>
        <v/>
      </c>
      <c r="K42" s="736"/>
    </row>
    <row r="43" spans="1:11" ht="12.75" customHeight="1" x14ac:dyDescent="0.25">
      <c r="A43" s="396" t="s">
        <v>1442</v>
      </c>
      <c r="B43" s="169"/>
      <c r="C43" s="748"/>
      <c r="D43" s="745">
        <v>33255000</v>
      </c>
      <c r="E43" s="733">
        <v>33255000</v>
      </c>
      <c r="F43" s="733">
        <v>2539772.06</v>
      </c>
      <c r="G43" s="733">
        <v>23968800.859999999</v>
      </c>
      <c r="H43" s="733">
        <f>E43/12*9</f>
        <v>24941250</v>
      </c>
      <c r="I43" s="44">
        <f t="shared" si="15"/>
        <v>-972449.1400000006</v>
      </c>
      <c r="J43" s="124">
        <f t="shared" si="16"/>
        <v>-3.8989591139177091E-2</v>
      </c>
      <c r="K43" s="736">
        <f>E43</f>
        <v>33255000</v>
      </c>
    </row>
    <row r="44" spans="1:11" ht="12.75" customHeight="1" x14ac:dyDescent="0.25">
      <c r="A44" s="396" t="s">
        <v>1456</v>
      </c>
      <c r="B44" s="169"/>
      <c r="C44" s="748"/>
      <c r="D44" s="745"/>
      <c r="E44" s="733"/>
      <c r="F44" s="733"/>
      <c r="G44" s="733"/>
      <c r="H44" s="733"/>
      <c r="I44" s="44">
        <f t="shared" si="15"/>
        <v>0</v>
      </c>
      <c r="J44" s="124" t="str">
        <f t="shared" si="16"/>
        <v/>
      </c>
      <c r="K44" s="736"/>
    </row>
    <row r="45" spans="1:11" ht="12.75" customHeight="1" x14ac:dyDescent="0.25">
      <c r="A45" s="397" t="str">
        <f>'SC6'!A45</f>
        <v>Provincial Government:</v>
      </c>
      <c r="B45" s="169"/>
      <c r="C45" s="516">
        <f t="shared" ref="C45:H45" si="17">SUM(C46:C57)</f>
        <v>0</v>
      </c>
      <c r="D45" s="475">
        <f t="shared" si="17"/>
        <v>270624156</v>
      </c>
      <c r="E45" s="430">
        <f t="shared" si="17"/>
        <v>270624156</v>
      </c>
      <c r="F45" s="430">
        <f t="shared" si="17"/>
        <v>2470539.39</v>
      </c>
      <c r="G45" s="430">
        <f t="shared" si="17"/>
        <v>41436067.150000006</v>
      </c>
      <c r="H45" s="430">
        <f t="shared" si="17"/>
        <v>202968117</v>
      </c>
      <c r="I45" s="514">
        <f>G45-H45</f>
        <v>-161532049.84999999</v>
      </c>
      <c r="J45" s="552">
        <f>IF(I45=0,"",I45/H45)</f>
        <v>-0.79584937889530694</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8">E50/12*9</f>
        <v>4593117</v>
      </c>
      <c r="I50" s="44"/>
      <c r="J50" s="124"/>
      <c r="K50" s="733">
        <f t="shared" ref="K50:K52" si="19">E50</f>
        <v>6124156</v>
      </c>
    </row>
    <row r="51" spans="1:11" ht="12.75" customHeight="1" x14ac:dyDescent="0.25">
      <c r="A51" s="397" t="s">
        <v>1459</v>
      </c>
      <c r="B51" s="169"/>
      <c r="C51" s="786"/>
      <c r="D51" s="733">
        <v>2500000</v>
      </c>
      <c r="E51" s="733">
        <v>2500000</v>
      </c>
      <c r="F51" s="788"/>
      <c r="G51" s="788">
        <v>1480270.14</v>
      </c>
      <c r="H51" s="733">
        <f t="shared" si="18"/>
        <v>1875000</v>
      </c>
      <c r="I51" s="44"/>
      <c r="J51" s="124"/>
      <c r="K51" s="733">
        <f t="shared" si="19"/>
        <v>2500000</v>
      </c>
    </row>
    <row r="52" spans="1:11" ht="12.75" customHeight="1" x14ac:dyDescent="0.25">
      <c r="A52" s="397" t="s">
        <v>1439</v>
      </c>
      <c r="B52" s="169"/>
      <c r="C52" s="786"/>
      <c r="D52" s="733">
        <v>774000</v>
      </c>
      <c r="E52" s="733">
        <v>774000</v>
      </c>
      <c r="F52" s="788"/>
      <c r="G52" s="788">
        <v>0.01</v>
      </c>
      <c r="H52" s="733">
        <f t="shared" si="18"/>
        <v>580500</v>
      </c>
      <c r="I52" s="44"/>
      <c r="J52" s="124"/>
      <c r="K52" s="733">
        <f t="shared" si="19"/>
        <v>774000</v>
      </c>
    </row>
    <row r="53" spans="1:11" ht="12.75" customHeight="1" x14ac:dyDescent="0.25">
      <c r="A53" s="397" t="s">
        <v>1440</v>
      </c>
      <c r="B53" s="169"/>
      <c r="C53" s="786"/>
      <c r="D53" s="733"/>
      <c r="E53" s="733"/>
      <c r="F53" s="788">
        <v>151400</v>
      </c>
      <c r="G53" s="788">
        <v>4331259.8100000024</v>
      </c>
      <c r="H53" s="733"/>
      <c r="I53" s="44"/>
      <c r="J53" s="124"/>
      <c r="K53" s="733"/>
    </row>
    <row r="54" spans="1:11" ht="12.75" customHeight="1" x14ac:dyDescent="0.25">
      <c r="A54" s="397" t="s">
        <v>1443</v>
      </c>
      <c r="B54" s="169"/>
      <c r="C54" s="786"/>
      <c r="D54" s="733">
        <v>244264000</v>
      </c>
      <c r="E54" s="733">
        <v>244264000</v>
      </c>
      <c r="F54" s="788">
        <v>2072572.69</v>
      </c>
      <c r="G54" s="788">
        <v>35377970.490000002</v>
      </c>
      <c r="H54" s="733">
        <f t="shared" ref="H54:H55" si="20">E54/12*9</f>
        <v>183198000</v>
      </c>
      <c r="I54" s="44"/>
      <c r="J54" s="124"/>
      <c r="K54" s="733">
        <f t="shared" ref="K54:K55" si="21">E54</f>
        <v>244264000</v>
      </c>
    </row>
    <row r="55" spans="1:11" ht="12.75" customHeight="1" x14ac:dyDescent="0.25">
      <c r="A55" s="397" t="s">
        <v>1445</v>
      </c>
      <c r="B55" s="169"/>
      <c r="C55" s="786"/>
      <c r="D55" s="733">
        <v>6750000</v>
      </c>
      <c r="E55" s="733">
        <v>6750000</v>
      </c>
      <c r="F55" s="733">
        <v>246566.7</v>
      </c>
      <c r="G55" s="733">
        <v>246566.7</v>
      </c>
      <c r="H55" s="733">
        <f t="shared" si="20"/>
        <v>5062500</v>
      </c>
      <c r="I55" s="44"/>
      <c r="J55" s="124"/>
      <c r="K55" s="733">
        <f t="shared" si="21"/>
        <v>6750000</v>
      </c>
    </row>
    <row r="56" spans="1:11" ht="12.75" customHeight="1" x14ac:dyDescent="0.25">
      <c r="A56" s="397" t="s">
        <v>623</v>
      </c>
      <c r="B56" s="169"/>
      <c r="C56" s="786"/>
      <c r="D56" s="733"/>
      <c r="E56" s="788"/>
      <c r="F56" s="788"/>
      <c r="G56" s="788"/>
      <c r="H56" s="788"/>
      <c r="I56" s="44"/>
      <c r="J56" s="124"/>
      <c r="K56" s="789"/>
    </row>
    <row r="57" spans="1:11" ht="12.75" customHeight="1" x14ac:dyDescent="0.25">
      <c r="A57" s="396" t="s">
        <v>1446</v>
      </c>
      <c r="B57" s="169"/>
      <c r="C57" s="748"/>
      <c r="D57" s="733">
        <v>10212000</v>
      </c>
      <c r="E57" s="733">
        <v>10212000</v>
      </c>
      <c r="F57" s="733"/>
      <c r="G57" s="733"/>
      <c r="H57" s="733">
        <f>E57/12*9</f>
        <v>7659000</v>
      </c>
      <c r="I57" s="44">
        <f>G57-H57</f>
        <v>-7659000</v>
      </c>
      <c r="J57" s="124">
        <f t="shared" ref="J57:J62" si="22">IF(I57=0,"",I57/H57)</f>
        <v>-1</v>
      </c>
      <c r="K57" s="735">
        <f>E57</f>
        <v>10212000</v>
      </c>
    </row>
    <row r="58" spans="1:11" ht="12.75" customHeight="1" x14ac:dyDescent="0.25">
      <c r="A58" s="397" t="str">
        <f>'SC6'!A57</f>
        <v>District Municipality:</v>
      </c>
      <c r="B58" s="169"/>
      <c r="C58" s="516">
        <f t="shared" ref="C58:H58" si="23">SUM(C59:C59)</f>
        <v>0</v>
      </c>
      <c r="D58" s="475">
        <f t="shared" si="23"/>
        <v>0</v>
      </c>
      <c r="E58" s="430">
        <f t="shared" si="23"/>
        <v>0</v>
      </c>
      <c r="F58" s="430">
        <f t="shared" si="23"/>
        <v>0</v>
      </c>
      <c r="G58" s="430">
        <f t="shared" si="23"/>
        <v>0</v>
      </c>
      <c r="H58" s="430">
        <f t="shared" si="23"/>
        <v>0</v>
      </c>
      <c r="I58" s="514">
        <f>G58-H58</f>
        <v>0</v>
      </c>
      <c r="J58" s="552" t="str">
        <f t="shared" si="22"/>
        <v/>
      </c>
      <c r="K58" s="513">
        <f>SUM(K59:K59)</f>
        <v>0</v>
      </c>
    </row>
    <row r="59" spans="1:11" ht="12.75" customHeight="1" x14ac:dyDescent="0.25">
      <c r="A59" s="397"/>
      <c r="B59" s="169"/>
      <c r="C59" s="783"/>
      <c r="D59" s="784"/>
      <c r="E59" s="737"/>
      <c r="F59" s="737"/>
      <c r="G59" s="737"/>
      <c r="H59" s="737"/>
      <c r="I59" s="514">
        <f>G59-H59</f>
        <v>0</v>
      </c>
      <c r="J59" s="552" t="str">
        <f t="shared" si="22"/>
        <v/>
      </c>
      <c r="K59" s="738"/>
    </row>
    <row r="60" spans="1:11" ht="12.75" customHeight="1" x14ac:dyDescent="0.25">
      <c r="A60" s="397" t="str">
        <f>'SC6'!A59</f>
        <v>Other grant providers:</v>
      </c>
      <c r="B60" s="169"/>
      <c r="C60" s="516">
        <f t="shared" ref="C60:H60" si="24">SUM(C61:C61)</f>
        <v>0</v>
      </c>
      <c r="D60" s="475">
        <f t="shared" si="24"/>
        <v>0</v>
      </c>
      <c r="E60" s="430">
        <f t="shared" si="24"/>
        <v>0</v>
      </c>
      <c r="F60" s="430">
        <f t="shared" si="24"/>
        <v>0</v>
      </c>
      <c r="G60" s="430">
        <f t="shared" si="24"/>
        <v>0</v>
      </c>
      <c r="H60" s="430">
        <f t="shared" si="24"/>
        <v>0</v>
      </c>
      <c r="I60" s="514">
        <f>G60-H60</f>
        <v>0</v>
      </c>
      <c r="J60" s="552" t="str">
        <f t="shared" si="22"/>
        <v/>
      </c>
      <c r="K60" s="513">
        <f>SUM(K61:K61)</f>
        <v>0</v>
      </c>
    </row>
    <row r="61" spans="1:11" ht="12.75" customHeight="1" x14ac:dyDescent="0.25">
      <c r="A61" s="397"/>
      <c r="B61" s="169"/>
      <c r="C61" s="783"/>
      <c r="D61" s="784"/>
      <c r="E61" s="737"/>
      <c r="F61" s="737"/>
      <c r="G61" s="737"/>
      <c r="H61" s="737"/>
      <c r="I61" s="514">
        <f>G61-H61</f>
        <v>0</v>
      </c>
      <c r="J61" s="552" t="str">
        <f t="shared" si="22"/>
        <v/>
      </c>
      <c r="K61" s="738"/>
    </row>
    <row r="62" spans="1:11" ht="12.75" customHeight="1" x14ac:dyDescent="0.25">
      <c r="A62" s="557" t="s">
        <v>60</v>
      </c>
      <c r="B62" s="233"/>
      <c r="C62" s="243">
        <f t="shared" ref="C62:I62" si="25">C36+C45+C58+C60</f>
        <v>0</v>
      </c>
      <c r="D62" s="74">
        <f t="shared" si="25"/>
        <v>525891580.99999988</v>
      </c>
      <c r="E62" s="73">
        <f t="shared" si="25"/>
        <v>525891580.99999988</v>
      </c>
      <c r="F62" s="73">
        <f t="shared" si="25"/>
        <v>22230840.719999999</v>
      </c>
      <c r="G62" s="73">
        <f t="shared" si="25"/>
        <v>307536873.03999996</v>
      </c>
      <c r="H62" s="73">
        <f t="shared" si="25"/>
        <v>394418685.74999988</v>
      </c>
      <c r="I62" s="73">
        <f t="shared" si="25"/>
        <v>-86881812.709999859</v>
      </c>
      <c r="J62" s="304">
        <f t="shared" si="22"/>
        <v>-0.22027813551680819</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6">C33+C62</f>
        <v>0</v>
      </c>
      <c r="D64" s="56">
        <f t="shared" si="26"/>
        <v>1201374821</v>
      </c>
      <c r="E64" s="55">
        <f t="shared" si="26"/>
        <v>1290372821</v>
      </c>
      <c r="F64" s="55">
        <f t="shared" si="26"/>
        <v>178471129.37</v>
      </c>
      <c r="G64" s="55">
        <f t="shared" si="26"/>
        <v>1041801259.25</v>
      </c>
      <c r="H64" s="55">
        <f t="shared" si="26"/>
        <v>967779615.74999988</v>
      </c>
      <c r="I64" s="55">
        <f t="shared" si="26"/>
        <v>74021643.500000149</v>
      </c>
      <c r="J64" s="290">
        <f>IF(I64=0,"",I64/H64)</f>
        <v>7.6486053534652737E-2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5" t="str">
        <f>muni&amp; " - "&amp;S71T&amp; " - "&amp;Head57</f>
        <v>KZN225 Msunduzi - Supporting Table SC7(2) Monthly Budget Statement - Expenditure against approved rollovers - Q3 Third Quarter</v>
      </c>
      <c r="B1" s="1055"/>
      <c r="C1" s="1055"/>
      <c r="D1" s="1055"/>
      <c r="E1" s="1055"/>
      <c r="F1" s="1055"/>
      <c r="G1" s="1055"/>
    </row>
    <row r="2" spans="1:7" ht="21.75" customHeight="1" x14ac:dyDescent="0.25">
      <c r="A2" s="1044" t="str">
        <f>desc</f>
        <v>Description</v>
      </c>
      <c r="B2" s="1037" t="str">
        <f>head27</f>
        <v>Ref</v>
      </c>
      <c r="C2" s="1039" t="str">
        <f>Head2</f>
        <v>Budget Year 2020/21</v>
      </c>
      <c r="D2" s="1040"/>
      <c r="E2" s="1040"/>
      <c r="F2" s="1040"/>
      <c r="G2" s="1041"/>
    </row>
    <row r="3" spans="1:7" ht="39.75" customHeight="1" x14ac:dyDescent="0.25">
      <c r="A3" s="1045"/>
      <c r="B3" s="1048"/>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G106" sqref="G10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"&amp;S71N&amp; " - "&amp;Head57</f>
        <v>KZN225 Msunduzi - Supporting Table SC8 Monthly Budget Statement - councillor and staff benefits  - Q3 Third Quarter</v>
      </c>
      <c r="B1" s="1055"/>
      <c r="C1" s="1055"/>
      <c r="D1" s="1055"/>
      <c r="E1" s="1055"/>
      <c r="F1" s="1055"/>
      <c r="G1" s="1055"/>
      <c r="H1" s="1055"/>
      <c r="I1" s="1055"/>
      <c r="J1" s="1055"/>
      <c r="K1" s="1055"/>
    </row>
    <row r="2" spans="1:11" x14ac:dyDescent="0.25">
      <c r="A2" s="1044" t="s">
        <v>650</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2737834.4299999997</v>
      </c>
      <c r="G7" s="733">
        <v>26502053.949999999</v>
      </c>
      <c r="H7" s="733">
        <f t="shared" ref="H7:H12" si="0">E7/12*9</f>
        <v>11844216.671249995</v>
      </c>
      <c r="I7" s="44">
        <f t="shared" ref="I7:I14" si="1">G7-H7</f>
        <v>14657837.278750004</v>
      </c>
      <c r="J7" s="330">
        <f t="shared" ref="J7:J14" si="2">IF(I7=0,"",I7/H7)</f>
        <v>1.2375522742951535</v>
      </c>
      <c r="K7" s="735">
        <f>E7</f>
        <v>15792288.894999994</v>
      </c>
    </row>
    <row r="8" spans="1:11" ht="12.75" customHeight="1" x14ac:dyDescent="0.25">
      <c r="A8" s="518" t="s">
        <v>1048</v>
      </c>
      <c r="B8" s="169"/>
      <c r="C8" s="748"/>
      <c r="D8" s="745">
        <v>6273530.0123999976</v>
      </c>
      <c r="E8" s="733">
        <v>6273530.0123999976</v>
      </c>
      <c r="F8" s="733">
        <v>351490.48</v>
      </c>
      <c r="G8" s="733">
        <v>3468090.63</v>
      </c>
      <c r="H8" s="733">
        <f t="shared" si="0"/>
        <v>4705147.5092999982</v>
      </c>
      <c r="I8" s="44">
        <f t="shared" si="1"/>
        <v>-1237056.8792999983</v>
      </c>
      <c r="J8" s="330">
        <f t="shared" si="2"/>
        <v>-0.2629156422524232</v>
      </c>
      <c r="K8" s="735">
        <f t="shared" ref="K8:K12" si="3">E8</f>
        <v>6273530.0123999976</v>
      </c>
    </row>
    <row r="9" spans="1:11" ht="12.75" customHeight="1" x14ac:dyDescent="0.25">
      <c r="A9" s="518" t="s">
        <v>427</v>
      </c>
      <c r="B9" s="169"/>
      <c r="C9" s="748"/>
      <c r="D9" s="745">
        <v>10528192.964839995</v>
      </c>
      <c r="E9" s="733">
        <v>10528192.964839995</v>
      </c>
      <c r="F9" s="733">
        <v>163494.69</v>
      </c>
      <c r="G9" s="733">
        <v>1443564.5300000003</v>
      </c>
      <c r="H9" s="733">
        <f t="shared" si="0"/>
        <v>7896144.7236299962</v>
      </c>
      <c r="I9" s="44">
        <f t="shared" si="1"/>
        <v>-6452580.1936299959</v>
      </c>
      <c r="J9" s="330">
        <f t="shared" si="2"/>
        <v>-0.81718109526539073</v>
      </c>
      <c r="K9" s="735">
        <f t="shared" si="3"/>
        <v>10528192.964839995</v>
      </c>
    </row>
    <row r="10" spans="1:11" ht="12.75" customHeight="1" x14ac:dyDescent="0.25">
      <c r="A10" s="518" t="s">
        <v>1049</v>
      </c>
      <c r="B10" s="169"/>
      <c r="C10" s="748"/>
      <c r="D10" s="745">
        <v>10528194.069359997</v>
      </c>
      <c r="E10" s="733">
        <v>10528194.069359997</v>
      </c>
      <c r="F10" s="733">
        <v>491023.59</v>
      </c>
      <c r="G10" s="733">
        <v>4849965.18</v>
      </c>
      <c r="H10" s="733">
        <f t="shared" si="0"/>
        <v>7896145.5520199984</v>
      </c>
      <c r="I10" s="44">
        <f>G10-H10</f>
        <v>-3046180.3720199987</v>
      </c>
      <c r="J10" s="330">
        <f>IF(I10=0,"",I10/H10)</f>
        <v>-0.38578067640112362</v>
      </c>
      <c r="K10" s="735">
        <f t="shared" si="3"/>
        <v>10528194.069359997</v>
      </c>
    </row>
    <row r="11" spans="1:11" ht="12.75" customHeight="1" x14ac:dyDescent="0.25">
      <c r="A11" s="39" t="s">
        <v>1050</v>
      </c>
      <c r="B11" s="169"/>
      <c r="C11" s="748"/>
      <c r="D11" s="745">
        <v>5264098.1391999982</v>
      </c>
      <c r="E11" s="733">
        <v>5264098.1391999982</v>
      </c>
      <c r="F11" s="733">
        <v>234795.18</v>
      </c>
      <c r="G11" s="733">
        <v>2687824.09</v>
      </c>
      <c r="H11" s="733">
        <f t="shared" si="0"/>
        <v>3948073.6043999987</v>
      </c>
      <c r="I11" s="44">
        <f>G11-H11</f>
        <v>-1260249.5143999988</v>
      </c>
      <c r="J11" s="330">
        <f>IF(I11=0,"",I11/H11)</f>
        <v>-0.31920618526348954</v>
      </c>
      <c r="K11" s="735">
        <f t="shared" si="3"/>
        <v>5264098.1391999982</v>
      </c>
    </row>
    <row r="12" spans="1:11" ht="12.75" customHeight="1" x14ac:dyDescent="0.25">
      <c r="A12" s="39" t="s">
        <v>1051</v>
      </c>
      <c r="B12" s="169"/>
      <c r="C12" s="748"/>
      <c r="D12" s="745">
        <v>5264097.0346799986</v>
      </c>
      <c r="E12" s="733">
        <v>5264097.0346799986</v>
      </c>
      <c r="F12" s="733">
        <v>11074.34</v>
      </c>
      <c r="G12" s="733">
        <v>99669.059999999983</v>
      </c>
      <c r="H12" s="733">
        <f t="shared" si="0"/>
        <v>3948072.7760099992</v>
      </c>
      <c r="I12" s="44">
        <f>G12-H12</f>
        <v>-3848403.7160099992</v>
      </c>
      <c r="J12" s="330">
        <f>IF(I12=0,"",I12/H12)</f>
        <v>-0.9747550094300117</v>
      </c>
      <c r="K12" s="735">
        <f t="shared" si="3"/>
        <v>5264097.0346799986</v>
      </c>
    </row>
    <row r="13" spans="1:11" ht="12.75" customHeight="1" x14ac:dyDescent="0.25">
      <c r="A13" s="39" t="s">
        <v>1052</v>
      </c>
      <c r="B13" s="169"/>
      <c r="C13" s="748"/>
      <c r="D13" s="745"/>
      <c r="E13" s="733"/>
      <c r="F13" s="733">
        <v>7646.39</v>
      </c>
      <c r="G13" s="733">
        <v>499210.58999999997</v>
      </c>
      <c r="H13" s="733"/>
      <c r="I13" s="44">
        <f t="shared" si="1"/>
        <v>499210.58999999997</v>
      </c>
      <c r="J13" s="330" t="e">
        <f t="shared" si="2"/>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3997359.0999999996</v>
      </c>
      <c r="G14" s="430">
        <f t="shared" si="4"/>
        <v>39550378.030000001</v>
      </c>
      <c r="H14" s="430">
        <f t="shared" si="4"/>
        <v>40237800.836609989</v>
      </c>
      <c r="I14" s="430">
        <f t="shared" si="1"/>
        <v>-687422.80660998821</v>
      </c>
      <c r="J14" s="431">
        <f t="shared" si="2"/>
        <v>-1.7084005395855108E-2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633854.88</v>
      </c>
      <c r="G18" s="733">
        <v>5291871.68</v>
      </c>
      <c r="H18" s="733">
        <f t="shared" ref="H18:H20" si="5">E18/12*9</f>
        <v>7980292.3356000017</v>
      </c>
      <c r="I18" s="44">
        <f t="shared" ref="I18:I30" si="6">G18-H18</f>
        <v>-2688420.655600002</v>
      </c>
      <c r="J18" s="330">
        <f t="shared" ref="J18:J29" si="7">IF(I18=0,"",I18/H18)</f>
        <v>-0.3368824778018451</v>
      </c>
      <c r="K18" s="735">
        <f t="shared" ref="K18:K25" si="8">E18</f>
        <v>10640389.780800002</v>
      </c>
    </row>
    <row r="19" spans="1:11" ht="12.75" customHeight="1" x14ac:dyDescent="0.25">
      <c r="A19" s="39" t="s">
        <v>1048</v>
      </c>
      <c r="B19" s="169"/>
      <c r="C19" s="748"/>
      <c r="D19" s="745">
        <v>1458021.1247999999</v>
      </c>
      <c r="E19" s="733">
        <v>1458021.1247999999</v>
      </c>
      <c r="F19" s="733">
        <v>146236.29999999999</v>
      </c>
      <c r="G19" s="733">
        <v>1541730.2299999997</v>
      </c>
      <c r="H19" s="733">
        <f t="shared" si="5"/>
        <v>1093515.8435999998</v>
      </c>
      <c r="I19" s="44">
        <f t="shared" si="6"/>
        <v>448214.38639999996</v>
      </c>
      <c r="J19" s="330">
        <f t="shared" si="7"/>
        <v>0.40988376073676125</v>
      </c>
      <c r="K19" s="735">
        <f t="shared" si="8"/>
        <v>1458021.1247999999</v>
      </c>
    </row>
    <row r="20" spans="1:11" ht="12.75" customHeight="1" x14ac:dyDescent="0.25">
      <c r="A20" s="39" t="s">
        <v>427</v>
      </c>
      <c r="B20" s="169"/>
      <c r="C20" s="748"/>
      <c r="D20" s="745">
        <v>160334.42939999999</v>
      </c>
      <c r="E20" s="733">
        <v>160334.42939999999</v>
      </c>
      <c r="F20" s="733">
        <v>185915.77</v>
      </c>
      <c r="G20" s="733">
        <v>6505561.1599999992</v>
      </c>
      <c r="H20" s="733">
        <f t="shared" si="5"/>
        <v>120250.82204999999</v>
      </c>
      <c r="I20" s="44">
        <f t="shared" si="6"/>
        <v>6385310.3379499996</v>
      </c>
      <c r="J20" s="330">
        <f t="shared" si="7"/>
        <v>53.099930870285476</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v>129542.42000000003</v>
      </c>
      <c r="G22" s="733">
        <v>1383822.2899999998</v>
      </c>
      <c r="H22" s="733">
        <f t="shared" ref="H22:H25" si="9">E22/12*9</f>
        <v>499296.64409999992</v>
      </c>
      <c r="I22" s="44">
        <f>G22-H22</f>
        <v>884525.64589999989</v>
      </c>
      <c r="J22" s="330">
        <f>IF(I22=0,"",I22/H22)</f>
        <v>1.771543342724422</v>
      </c>
      <c r="K22" s="735">
        <f t="shared" si="8"/>
        <v>665728.85879999993</v>
      </c>
    </row>
    <row r="23" spans="1:11" ht="12.75" customHeight="1" x14ac:dyDescent="0.25">
      <c r="A23" s="39" t="s">
        <v>1049</v>
      </c>
      <c r="B23" s="169"/>
      <c r="C23" s="748"/>
      <c r="D23" s="745">
        <v>1278372.5370000002</v>
      </c>
      <c r="E23" s="733">
        <v>1278372.5370000002</v>
      </c>
      <c r="F23" s="733">
        <v>228079.52</v>
      </c>
      <c r="G23" s="733">
        <v>2167477.86</v>
      </c>
      <c r="H23" s="733">
        <f t="shared" si="9"/>
        <v>958779.40275000012</v>
      </c>
      <c r="I23" s="44">
        <f>G23-H23</f>
        <v>1208698.4572499997</v>
      </c>
      <c r="J23" s="330">
        <f>IF(I23=0,"",I23/H23)</f>
        <v>1.2606637708144066</v>
      </c>
      <c r="K23" s="735">
        <f t="shared" si="8"/>
        <v>1278372.5370000002</v>
      </c>
    </row>
    <row r="24" spans="1:11" ht="12.75" customHeight="1" x14ac:dyDescent="0.25">
      <c r="A24" s="39" t="s">
        <v>1050</v>
      </c>
      <c r="B24" s="169"/>
      <c r="C24" s="748"/>
      <c r="D24" s="745">
        <v>111150.72719999999</v>
      </c>
      <c r="E24" s="733">
        <v>111150.72719999999</v>
      </c>
      <c r="F24" s="733">
        <v>36151.42</v>
      </c>
      <c r="G24" s="733">
        <v>319902.59999999998</v>
      </c>
      <c r="H24" s="733">
        <f t="shared" si="9"/>
        <v>83363.045399999988</v>
      </c>
      <c r="I24" s="44">
        <f>G24-H24</f>
        <v>236539.55459999997</v>
      </c>
      <c r="J24" s="330">
        <f>IF(I24=0,"",I24/H24)</f>
        <v>2.8374629725319513</v>
      </c>
      <c r="K24" s="735">
        <f t="shared" si="8"/>
        <v>111150.72719999999</v>
      </c>
    </row>
    <row r="25" spans="1:11" ht="12.75" customHeight="1" x14ac:dyDescent="0.25">
      <c r="A25" s="39" t="s">
        <v>1051</v>
      </c>
      <c r="B25" s="169"/>
      <c r="C25" s="748"/>
      <c r="D25" s="745">
        <v>756254.19959999993</v>
      </c>
      <c r="E25" s="733">
        <v>756254.19959999993</v>
      </c>
      <c r="F25" s="733">
        <v>209144.72</v>
      </c>
      <c r="G25" s="733">
        <v>931909.67999999993</v>
      </c>
      <c r="H25" s="733">
        <f t="shared" si="9"/>
        <v>567190.64969999995</v>
      </c>
      <c r="I25" s="44">
        <f>G25-H25</f>
        <v>364719.03029999998</v>
      </c>
      <c r="J25" s="330">
        <f>IF(I25=0,"",I25/H25)</f>
        <v>0.64302722637072418</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1568925.0299999998</v>
      </c>
      <c r="G30" s="430">
        <f>SUM(G18:G29)</f>
        <v>18142275.5</v>
      </c>
      <c r="H30" s="430">
        <f>SUM(H18:H29)</f>
        <v>11302688.7432</v>
      </c>
      <c r="I30" s="430">
        <f t="shared" si="6"/>
        <v>6839586.7567999996</v>
      </c>
      <c r="J30" s="431">
        <f>IF(I30=0,"",I30/H30)</f>
        <v>0.60512917874650651</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62766149.579999983</v>
      </c>
      <c r="G34" s="733">
        <v>559427223.06000006</v>
      </c>
      <c r="H34" s="733">
        <f t="shared" ref="H34:H42" si="11">E34/12*9</f>
        <v>678327221.87985432</v>
      </c>
      <c r="I34" s="44">
        <f t="shared" ref="I34:I46" si="12">G34-H34</f>
        <v>-118899998.81985426</v>
      </c>
      <c r="J34" s="330">
        <f t="shared" ref="J34:J45" si="13">IF(I34=0,"",I34/H34)</f>
        <v>-0.1752841327675832</v>
      </c>
      <c r="K34" s="735">
        <f t="shared" ref="K34:K42" si="14">E34</f>
        <v>904436295.83980572</v>
      </c>
    </row>
    <row r="35" spans="1:11" ht="12.75" customHeight="1" x14ac:dyDescent="0.25">
      <c r="A35" s="518" t="s">
        <v>1048</v>
      </c>
      <c r="B35" s="169"/>
      <c r="C35" s="748"/>
      <c r="D35" s="745">
        <v>188647083.87682125</v>
      </c>
      <c r="E35" s="733">
        <v>188647083.87682125</v>
      </c>
      <c r="F35" s="733">
        <v>11845076.230000017</v>
      </c>
      <c r="G35" s="733">
        <v>108500802.19999991</v>
      </c>
      <c r="H35" s="733">
        <f t="shared" si="11"/>
        <v>141485312.90761593</v>
      </c>
      <c r="I35" s="44">
        <f t="shared" si="12"/>
        <v>-32984510.707616016</v>
      </c>
      <c r="J35" s="330">
        <f t="shared" si="13"/>
        <v>-0.23313028066138244</v>
      </c>
      <c r="K35" s="735">
        <f t="shared" si="14"/>
        <v>188647083.87682125</v>
      </c>
    </row>
    <row r="36" spans="1:11" ht="12.75" customHeight="1" x14ac:dyDescent="0.25">
      <c r="A36" s="518" t="s">
        <v>427</v>
      </c>
      <c r="B36" s="169"/>
      <c r="C36" s="748"/>
      <c r="D36" s="745">
        <v>70300830.27188544</v>
      </c>
      <c r="E36" s="733">
        <v>70300830.27188544</v>
      </c>
      <c r="F36" s="733">
        <v>4549522.57</v>
      </c>
      <c r="G36" s="733">
        <v>39385175.650000006</v>
      </c>
      <c r="H36" s="733">
        <f t="shared" si="11"/>
        <v>52725622.703914076</v>
      </c>
      <c r="I36" s="44">
        <f t="shared" si="12"/>
        <v>-13340447.05391407</v>
      </c>
      <c r="J36" s="330">
        <f t="shared" si="13"/>
        <v>-0.25301639638906998</v>
      </c>
      <c r="K36" s="735">
        <f t="shared" si="14"/>
        <v>70300830.27188544</v>
      </c>
    </row>
    <row r="37" spans="1:11" ht="12.75" customHeight="1" x14ac:dyDescent="0.25">
      <c r="A37" s="518" t="s">
        <v>539</v>
      </c>
      <c r="B37" s="169"/>
      <c r="C37" s="748"/>
      <c r="D37" s="745">
        <v>73644368.523901194</v>
      </c>
      <c r="E37" s="733">
        <v>73644368.523901194</v>
      </c>
      <c r="F37" s="733">
        <v>13288194.259999996</v>
      </c>
      <c r="G37" s="733">
        <v>124368850.07999998</v>
      </c>
      <c r="H37" s="733">
        <f t="shared" si="11"/>
        <v>55233276.392925896</v>
      </c>
      <c r="I37" s="44">
        <f t="shared" si="12"/>
        <v>69135573.687074095</v>
      </c>
      <c r="J37" s="330">
        <f t="shared" si="13"/>
        <v>1.2517014778418751</v>
      </c>
      <c r="K37" s="735">
        <f t="shared" si="14"/>
        <v>73644368.523901194</v>
      </c>
    </row>
    <row r="38" spans="1:11" ht="12.75" customHeight="1" x14ac:dyDescent="0.25">
      <c r="A38" s="518" t="s">
        <v>429</v>
      </c>
      <c r="B38" s="169"/>
      <c r="C38" s="748"/>
      <c r="D38" s="745">
        <v>70366153.174669325</v>
      </c>
      <c r="E38" s="733">
        <v>70366153.174669325</v>
      </c>
      <c r="F38" s="733">
        <v>-8415.3200000000015</v>
      </c>
      <c r="G38" s="733">
        <v>58127623.93999999</v>
      </c>
      <c r="H38" s="733">
        <f t="shared" si="11"/>
        <v>52774614.881001994</v>
      </c>
      <c r="I38" s="44">
        <f t="shared" si="12"/>
        <v>5353009.0589979962</v>
      </c>
      <c r="J38" s="330">
        <f t="shared" si="13"/>
        <v>0.10143151344767071</v>
      </c>
      <c r="K38" s="735">
        <f t="shared" si="14"/>
        <v>70366153.174669325</v>
      </c>
    </row>
    <row r="39" spans="1:11" ht="12.75" customHeight="1" x14ac:dyDescent="0.25">
      <c r="A39" s="518" t="s">
        <v>1049</v>
      </c>
      <c r="B39" s="169"/>
      <c r="C39" s="748"/>
      <c r="D39" s="745">
        <v>24659111.788440011</v>
      </c>
      <c r="E39" s="733">
        <v>24659111.788440011</v>
      </c>
      <c r="F39" s="733">
        <v>2176703.1600000006</v>
      </c>
      <c r="G39" s="733">
        <v>19696207.150000002</v>
      </c>
      <c r="H39" s="733">
        <f t="shared" si="11"/>
        <v>18494333.84133001</v>
      </c>
      <c r="I39" s="44">
        <f>G39-H39</f>
        <v>1201873.3086699918</v>
      </c>
      <c r="J39" s="330">
        <f>IF(I39=0,"",I39/H39)</f>
        <v>6.4986028638896881E-2</v>
      </c>
      <c r="K39" s="735">
        <f t="shared" si="14"/>
        <v>24659111.788440011</v>
      </c>
    </row>
    <row r="40" spans="1:11" ht="12.75" customHeight="1" x14ac:dyDescent="0.25">
      <c r="A40" s="518" t="s">
        <v>1050</v>
      </c>
      <c r="B40" s="169"/>
      <c r="C40" s="748"/>
      <c r="D40" s="745">
        <v>4232876.804076002</v>
      </c>
      <c r="E40" s="733">
        <v>4232876.804076002</v>
      </c>
      <c r="F40" s="733">
        <v>340382.53</v>
      </c>
      <c r="G40" s="733">
        <v>2896735.63</v>
      </c>
      <c r="H40" s="733">
        <f t="shared" si="11"/>
        <v>3174657.6030570017</v>
      </c>
      <c r="I40" s="44">
        <f>G40-H40</f>
        <v>-277921.97305700183</v>
      </c>
      <c r="J40" s="330">
        <f>IF(I40=0,"",I40/H40)</f>
        <v>-8.754392057568032E-2</v>
      </c>
      <c r="K40" s="735">
        <f t="shared" si="14"/>
        <v>4232876.804076002</v>
      </c>
    </row>
    <row r="41" spans="1:11" ht="12.75" customHeight="1" x14ac:dyDescent="0.25">
      <c r="A41" s="518" t="s">
        <v>1051</v>
      </c>
      <c r="B41" s="169"/>
      <c r="C41" s="748"/>
      <c r="D41" s="745">
        <v>7812877.275000005</v>
      </c>
      <c r="E41" s="733">
        <v>7812877.275000005</v>
      </c>
      <c r="F41" s="733">
        <v>325039.87000000023</v>
      </c>
      <c r="G41" s="733">
        <v>2971541.8300000015</v>
      </c>
      <c r="H41" s="733">
        <f t="shared" si="11"/>
        <v>5859657.9562500035</v>
      </c>
      <c r="I41" s="44">
        <f>G41-H41</f>
        <v>-2888116.1262500021</v>
      </c>
      <c r="J41" s="330">
        <f>IF(I41=0,"",I41/H41)</f>
        <v>-0.49288135038146585</v>
      </c>
      <c r="K41" s="735">
        <f t="shared" si="14"/>
        <v>7812877.275000005</v>
      </c>
    </row>
    <row r="42" spans="1:11" ht="12.75" customHeight="1" x14ac:dyDescent="0.25">
      <c r="A42" s="518" t="s">
        <v>1052</v>
      </c>
      <c r="B42" s="169"/>
      <c r="C42" s="748"/>
      <c r="D42" s="745">
        <v>46854856.603799991</v>
      </c>
      <c r="E42" s="733">
        <v>46854856.603799991</v>
      </c>
      <c r="F42" s="733">
        <v>7378862.2399999993</v>
      </c>
      <c r="G42" s="733">
        <v>65256533.640000001</v>
      </c>
      <c r="H42" s="733">
        <f t="shared" si="11"/>
        <v>35141142.452849992</v>
      </c>
      <c r="I42" s="44">
        <f t="shared" si="12"/>
        <v>30115391.187150009</v>
      </c>
      <c r="J42" s="330">
        <f t="shared" si="13"/>
        <v>0.85698383959931879</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1486641.9600000004</v>
      </c>
      <c r="G44" s="733">
        <v>16372902.819999997</v>
      </c>
      <c r="H44" s="733">
        <f>E44/12*9</f>
        <v>18129575.846838064</v>
      </c>
      <c r="I44" s="44">
        <f t="shared" si="12"/>
        <v>-1756673.0268380679</v>
      </c>
      <c r="J44" s="330">
        <f t="shared" si="13"/>
        <v>-9.6895428866001027E-2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104148157.07999998</v>
      </c>
      <c r="G46" s="430">
        <f>SUM(G34:G45)</f>
        <v>997003596</v>
      </c>
      <c r="H46" s="430">
        <f>SUM(H34:H45)</f>
        <v>1061345416.4656372</v>
      </c>
      <c r="I46" s="430">
        <f t="shared" si="12"/>
        <v>-64341820.465637207</v>
      </c>
      <c r="J46" s="431">
        <f>IF(I46=0,"",I46/H46)</f>
        <v>-6.0622884376229251E-2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109714441.20999998</v>
      </c>
      <c r="G49" s="73">
        <f t="shared" si="16"/>
        <v>1054696249.53</v>
      </c>
      <c r="H49" s="73">
        <f t="shared" si="16"/>
        <v>1112885906.0454471</v>
      </c>
      <c r="I49" s="73">
        <f>G49-H49</f>
        <v>-58189656.51544714</v>
      </c>
      <c r="J49" s="331">
        <f>IF(I49=0,"",I49/H49)</f>
        <v>-5.2287171757093708E-2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v>80206.25</v>
      </c>
      <c r="G54" s="733">
        <v>157878.28</v>
      </c>
      <c r="H54" s="733"/>
      <c r="I54" s="44">
        <f t="shared" ref="I54:I67" si="17">G54-H54</f>
        <v>157878.28</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80206.25</v>
      </c>
      <c r="G67" s="430">
        <f>SUM(G54:G66)</f>
        <v>157878.28</v>
      </c>
      <c r="H67" s="430">
        <f>SUM(H54:H66)</f>
        <v>0</v>
      </c>
      <c r="I67" s="430">
        <f t="shared" si="17"/>
        <v>157878.28</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56988.05</v>
      </c>
      <c r="G71" s="733">
        <v>522572.32</v>
      </c>
      <c r="H71" s="733">
        <f>E71/12*9</f>
        <v>436980.88085624989</v>
      </c>
      <c r="I71" s="44">
        <f t="shared" ref="I71:I83" si="20">G71-H71</f>
        <v>85591.439143750118</v>
      </c>
      <c r="J71" s="330">
        <f t="shared" ref="J71:J82" si="21">IF(I71=0,"",I71/H71)</f>
        <v>0.19586998629330524</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20286</v>
      </c>
      <c r="H73" s="733">
        <f>E73/12*9</f>
        <v>20252.721600000001</v>
      </c>
      <c r="I73" s="44">
        <f t="shared" si="20"/>
        <v>33.278399999999237</v>
      </c>
      <c r="J73" s="330">
        <f t="shared" si="21"/>
        <v>1.643156937485342E-3</v>
      </c>
      <c r="K73" s="735">
        <f>E73</f>
        <v>27003.628799999999</v>
      </c>
    </row>
    <row r="74" spans="1:11" ht="12.75" customHeight="1" x14ac:dyDescent="0.25">
      <c r="A74" s="518" t="s">
        <v>539</v>
      </c>
      <c r="B74" s="169"/>
      <c r="C74" s="748"/>
      <c r="D74" s="745"/>
      <c r="E74" s="733"/>
      <c r="F74" s="733">
        <v>2500</v>
      </c>
      <c r="G74" s="733">
        <v>22500</v>
      </c>
      <c r="H74" s="733"/>
      <c r="I74" s="44">
        <f t="shared" si="20"/>
        <v>22500</v>
      </c>
      <c r="J74" s="330" t="e">
        <f t="shared" si="21"/>
        <v>#DIV/0!</v>
      </c>
      <c r="K74" s="735"/>
    </row>
    <row r="75" spans="1:11" ht="12.75" customHeight="1" x14ac:dyDescent="0.25">
      <c r="A75" s="518" t="s">
        <v>429</v>
      </c>
      <c r="B75" s="169"/>
      <c r="C75" s="748"/>
      <c r="D75" s="745">
        <v>62095.416074999994</v>
      </c>
      <c r="E75" s="733">
        <v>62095.416074999994</v>
      </c>
      <c r="F75" s="733">
        <v>800</v>
      </c>
      <c r="G75" s="733">
        <v>5600</v>
      </c>
      <c r="H75" s="733">
        <f t="shared" ref="H75:H77" si="22">E75/12*9</f>
        <v>46571.562056249997</v>
      </c>
      <c r="I75" s="44">
        <f>G75-H75</f>
        <v>-40971.562056249997</v>
      </c>
      <c r="J75" s="330">
        <f>IF(I75=0,"",I75/H75)</f>
        <v>-0.87975494587799707</v>
      </c>
      <c r="K75" s="735">
        <f t="shared" ref="K75:K77" si="23">E75</f>
        <v>62095.416074999994</v>
      </c>
    </row>
    <row r="76" spans="1:11" ht="12.75" customHeight="1" x14ac:dyDescent="0.25">
      <c r="A76" s="518" t="s">
        <v>1049</v>
      </c>
      <c r="B76" s="169"/>
      <c r="C76" s="748"/>
      <c r="D76" s="745">
        <v>24952.949999999997</v>
      </c>
      <c r="E76" s="733">
        <v>24952.949999999997</v>
      </c>
      <c r="F76" s="733"/>
      <c r="G76" s="733"/>
      <c r="H76" s="733">
        <f t="shared" si="22"/>
        <v>18714.712499999998</v>
      </c>
      <c r="I76" s="44">
        <f>G76-H76</f>
        <v>-18714.712499999998</v>
      </c>
      <c r="J76" s="330">
        <f>IF(I76=0,"",I76/H76)</f>
        <v>-1</v>
      </c>
      <c r="K76" s="735">
        <f t="shared" si="23"/>
        <v>24952.949999999997</v>
      </c>
    </row>
    <row r="77" spans="1:11" ht="12.75" customHeight="1" x14ac:dyDescent="0.25">
      <c r="A77" s="518" t="s">
        <v>1050</v>
      </c>
      <c r="B77" s="169"/>
      <c r="C77" s="748"/>
      <c r="D77" s="745">
        <v>8166.4199999999992</v>
      </c>
      <c r="E77" s="733">
        <v>8166.4199999999992</v>
      </c>
      <c r="F77" s="733"/>
      <c r="G77" s="733"/>
      <c r="H77" s="733">
        <f t="shared" si="22"/>
        <v>6124.8149999999996</v>
      </c>
      <c r="I77" s="44">
        <f>G77-H77</f>
        <v>-6124.8149999999996</v>
      </c>
      <c r="J77" s="330">
        <f>IF(I77=0,"",I77/H77)</f>
        <v>-1</v>
      </c>
      <c r="K77" s="735">
        <f t="shared" si="23"/>
        <v>8166.4199999999992</v>
      </c>
    </row>
    <row r="78" spans="1:11" ht="12.75" customHeight="1" x14ac:dyDescent="0.25">
      <c r="A78" s="518" t="s">
        <v>1051</v>
      </c>
      <c r="B78" s="169"/>
      <c r="C78" s="748"/>
      <c r="D78" s="745"/>
      <c r="E78" s="733"/>
      <c r="F78" s="733">
        <v>0</v>
      </c>
      <c r="G78" s="733">
        <v>0</v>
      </c>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62542.05</v>
      </c>
      <c r="G83" s="430">
        <f>SUM(G71:G82)</f>
        <v>570958.32000000007</v>
      </c>
      <c r="H83" s="430">
        <f>SUM(H71:H82)</f>
        <v>528644.6920124999</v>
      </c>
      <c r="I83" s="430">
        <f t="shared" si="20"/>
        <v>42313.627987500164</v>
      </c>
      <c r="J83" s="431">
        <f>IF(I83=0,"",I83/H83)</f>
        <v>8.0041715403244132E-2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626958.71</v>
      </c>
      <c r="G87" s="733">
        <v>4718509.47</v>
      </c>
      <c r="H87" s="733">
        <f t="shared" ref="H87:H93" si="25">E87/12*9</f>
        <v>5077190.6623611907</v>
      </c>
      <c r="I87" s="44">
        <f t="shared" ref="I87:I99" si="26">G87-H87</f>
        <v>-358681.19236119092</v>
      </c>
      <c r="J87" s="330">
        <f t="shared" ref="J87:J98" si="27">IF(I87=0,"",I87/H87)</f>
        <v>-7.0645602305268396E-2</v>
      </c>
      <c r="K87" s="735">
        <f t="shared" ref="K87:K95" si="28">E87</f>
        <v>6769587.5498149209</v>
      </c>
    </row>
    <row r="88" spans="1:11" ht="12.75" customHeight="1" x14ac:dyDescent="0.25">
      <c r="A88" s="518" t="s">
        <v>1048</v>
      </c>
      <c r="B88" s="169"/>
      <c r="C88" s="748"/>
      <c r="D88" s="745">
        <v>570880.67137872009</v>
      </c>
      <c r="E88" s="733">
        <v>570880.67137872009</v>
      </c>
      <c r="F88" s="733">
        <v>45438.400000000001</v>
      </c>
      <c r="G88" s="733">
        <v>319397.36</v>
      </c>
      <c r="H88" s="733">
        <f t="shared" si="25"/>
        <v>428160.50353404006</v>
      </c>
      <c r="I88" s="44">
        <f t="shared" si="26"/>
        <v>-108763.14353404008</v>
      </c>
      <c r="J88" s="330">
        <f t="shared" si="27"/>
        <v>-0.25402423305351207</v>
      </c>
      <c r="K88" s="735">
        <f t="shared" si="28"/>
        <v>570880.67137872009</v>
      </c>
    </row>
    <row r="89" spans="1:11" ht="12.75" customHeight="1" x14ac:dyDescent="0.25">
      <c r="A89" s="518" t="s">
        <v>427</v>
      </c>
      <c r="B89" s="169"/>
      <c r="C89" s="748"/>
      <c r="D89" s="745">
        <v>890013.09891456028</v>
      </c>
      <c r="E89" s="733">
        <v>890013.09891456028</v>
      </c>
      <c r="F89" s="733">
        <v>77518.960000000006</v>
      </c>
      <c r="G89" s="733">
        <v>584479.16</v>
      </c>
      <c r="H89" s="733">
        <f t="shared" si="25"/>
        <v>667509.82418592018</v>
      </c>
      <c r="I89" s="44">
        <f>G89-H89</f>
        <v>-83030.664185920148</v>
      </c>
      <c r="J89" s="330">
        <f>IF(I89=0,"",I89/H89)</f>
        <v>-0.12438867740588307</v>
      </c>
      <c r="K89" s="735">
        <f t="shared" si="28"/>
        <v>890013.09891456028</v>
      </c>
    </row>
    <row r="90" spans="1:11" ht="12.75" customHeight="1" x14ac:dyDescent="0.25">
      <c r="A90" s="518" t="s">
        <v>539</v>
      </c>
      <c r="B90" s="169"/>
      <c r="C90" s="748"/>
      <c r="D90" s="745">
        <v>1067347.5086988001</v>
      </c>
      <c r="E90" s="733">
        <v>1067347.5086988001</v>
      </c>
      <c r="F90" s="733">
        <v>8500</v>
      </c>
      <c r="G90" s="733">
        <v>73500</v>
      </c>
      <c r="H90" s="733">
        <f t="shared" si="25"/>
        <v>800510.63152410008</v>
      </c>
      <c r="I90" s="44">
        <f>G90-H90</f>
        <v>-727010.63152410008</v>
      </c>
      <c r="J90" s="330">
        <f>IF(I90=0,"",I90/H90)</f>
        <v>-0.9081836054318696</v>
      </c>
      <c r="K90" s="735">
        <f t="shared" si="28"/>
        <v>1067347.5086988001</v>
      </c>
    </row>
    <row r="91" spans="1:11" ht="12.75" customHeight="1" x14ac:dyDescent="0.25">
      <c r="A91" s="518" t="s">
        <v>429</v>
      </c>
      <c r="B91" s="169"/>
      <c r="C91" s="748"/>
      <c r="D91" s="745">
        <v>690873.07393068005</v>
      </c>
      <c r="E91" s="733">
        <v>690873.07393068005</v>
      </c>
      <c r="F91" s="733">
        <v>6100</v>
      </c>
      <c r="G91" s="733">
        <v>42500</v>
      </c>
      <c r="H91" s="733">
        <f t="shared" si="25"/>
        <v>518154.80544801004</v>
      </c>
      <c r="I91" s="44">
        <f>G91-H91</f>
        <v>-475654.80544801004</v>
      </c>
      <c r="J91" s="330">
        <f>IF(I91=0,"",I91/H91)</f>
        <v>-0.91797818035624812</v>
      </c>
      <c r="K91" s="735">
        <f t="shared" si="28"/>
        <v>690873.07393068005</v>
      </c>
    </row>
    <row r="92" spans="1:11" ht="12.75" customHeight="1" x14ac:dyDescent="0.25">
      <c r="A92" s="518" t="s">
        <v>1049</v>
      </c>
      <c r="B92" s="169"/>
      <c r="C92" s="748"/>
      <c r="D92" s="745">
        <v>195338.53416000001</v>
      </c>
      <c r="E92" s="733">
        <v>195338.53416000001</v>
      </c>
      <c r="F92" s="733"/>
      <c r="G92" s="733"/>
      <c r="H92" s="733">
        <f t="shared" si="25"/>
        <v>146503.90062</v>
      </c>
      <c r="I92" s="44">
        <f>G92-H92</f>
        <v>-146503.90062</v>
      </c>
      <c r="J92" s="330">
        <f>IF(I92=0,"",I92/H92)</f>
        <v>-1</v>
      </c>
      <c r="K92" s="735">
        <f t="shared" si="28"/>
        <v>195338.53416000001</v>
      </c>
    </row>
    <row r="93" spans="1:11" ht="12.75" customHeight="1" x14ac:dyDescent="0.25">
      <c r="A93" s="518" t="s">
        <v>1050</v>
      </c>
      <c r="B93" s="169"/>
      <c r="C93" s="748"/>
      <c r="D93" s="745">
        <v>92722.382124000011</v>
      </c>
      <c r="E93" s="733">
        <v>92722.382124000011</v>
      </c>
      <c r="F93" s="733">
        <v>15553.44</v>
      </c>
      <c r="G93" s="733">
        <v>660919.43999999994</v>
      </c>
      <c r="H93" s="733">
        <f t="shared" si="25"/>
        <v>69541.786593000012</v>
      </c>
      <c r="I93" s="44">
        <f t="shared" si="26"/>
        <v>591377.65340699989</v>
      </c>
      <c r="J93" s="330">
        <f t="shared" si="27"/>
        <v>8.503918038058103</v>
      </c>
      <c r="K93" s="735">
        <f t="shared" si="28"/>
        <v>92722.382124000011</v>
      </c>
    </row>
    <row r="94" spans="1:11" ht="12.75" customHeight="1" x14ac:dyDescent="0.25">
      <c r="A94" s="518" t="s">
        <v>1051</v>
      </c>
      <c r="B94" s="169"/>
      <c r="C94" s="748"/>
      <c r="D94" s="745"/>
      <c r="E94" s="733"/>
      <c r="F94" s="733">
        <v>0</v>
      </c>
      <c r="G94" s="733">
        <v>0</v>
      </c>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E95/12*9</f>
        <v>63736.807361940017</v>
      </c>
      <c r="I95" s="44">
        <f t="shared" si="26"/>
        <v>-63736.807361940017</v>
      </c>
      <c r="J95" s="330">
        <f t="shared" si="27"/>
        <v>-1</v>
      </c>
      <c r="K95" s="735">
        <f t="shared" si="28"/>
        <v>84982.409815920022</v>
      </c>
    </row>
    <row r="96" spans="1:11" ht="12.75" customHeight="1" x14ac:dyDescent="0.25">
      <c r="A96" s="518" t="s">
        <v>1053</v>
      </c>
      <c r="B96" s="169"/>
      <c r="C96" s="748"/>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780069.50999999989</v>
      </c>
      <c r="G99" s="430">
        <f t="shared" si="29"/>
        <v>6399305.4299999997</v>
      </c>
      <c r="H99" s="430">
        <f t="shared" si="29"/>
        <v>7771308.9216282014</v>
      </c>
      <c r="I99" s="430">
        <f t="shared" si="26"/>
        <v>-1372003.4916282017</v>
      </c>
      <c r="J99" s="431">
        <f>IF(I99=0,"",I99/H99)</f>
        <v>-0.17654728507958312</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922817.80999999982</v>
      </c>
      <c r="G102" s="430">
        <f t="shared" si="30"/>
        <v>7128142.0299999993</v>
      </c>
      <c r="H102" s="430">
        <f t="shared" si="30"/>
        <v>8299953.6136407014</v>
      </c>
      <c r="I102" s="430">
        <f>G102-H102</f>
        <v>-1171811.5836407021</v>
      </c>
      <c r="J102" s="431">
        <f>IF(I102=0,"",I102/H102)</f>
        <v>-0.14118290754238291</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110637259.01999998</v>
      </c>
      <c r="G104" s="55">
        <f t="shared" si="31"/>
        <v>1061824391.5599999</v>
      </c>
      <c r="H104" s="55">
        <f t="shared" si="31"/>
        <v>1121185859.6590879</v>
      </c>
      <c r="I104" s="55">
        <f>G104-H104</f>
        <v>-59361468.099087954</v>
      </c>
      <c r="J104" s="332">
        <f>IF(I104=0,"",I104/H104)</f>
        <v>-5.2945252196756769E-2</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106559693.66999999</v>
      </c>
      <c r="G106" s="55">
        <f t="shared" si="32"/>
        <v>1022116135.25</v>
      </c>
      <c r="H106" s="55">
        <f t="shared" si="32"/>
        <v>1080948058.8224778</v>
      </c>
      <c r="I106" s="55">
        <f t="shared" si="32"/>
        <v>-58831923.572477914</v>
      </c>
      <c r="J106" s="888">
        <f>IF(I106=0,"",I106/H106)</f>
        <v>-5.4426226211614651E-2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5" activePane="bottomRight" state="frozen"/>
      <selection pane="topRight"/>
      <selection pane="bottomLeft"/>
      <selection pane="bottomRight" activeCell="O63" sqref="O63"/>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Q3 Third Quarter</v>
      </c>
      <c r="B1" s="68"/>
    </row>
    <row r="2" spans="1:17" ht="25.5" customHeight="1" x14ac:dyDescent="0.25">
      <c r="A2" s="1044" t="str">
        <f>desc</f>
        <v>Description</v>
      </c>
      <c r="B2" s="1037" t="str">
        <f>head27</f>
        <v>Ref</v>
      </c>
      <c r="C2" s="1039" t="str">
        <f>Head2</f>
        <v>Budget Year 2020/21</v>
      </c>
      <c r="D2" s="1040"/>
      <c r="E2" s="1040"/>
      <c r="F2" s="1040"/>
      <c r="G2" s="1040"/>
      <c r="H2" s="1040"/>
      <c r="I2" s="1040"/>
      <c r="J2" s="1040"/>
      <c r="K2" s="1040"/>
      <c r="L2" s="1040"/>
      <c r="M2" s="1040"/>
      <c r="N2" s="1091"/>
      <c r="O2" s="1039" t="str">
        <f>'Template names'!B5</f>
        <v>2020/21 Medium Term Revenue &amp; Expenditure Framework</v>
      </c>
      <c r="P2" s="1040"/>
      <c r="Q2" s="1041"/>
    </row>
    <row r="3" spans="1:17" ht="12.75" customHeight="1" x14ac:dyDescent="0.25">
      <c r="A3" s="1045"/>
      <c r="B3" s="1048"/>
      <c r="C3" s="143" t="s">
        <v>782</v>
      </c>
      <c r="D3" s="27" t="s">
        <v>905</v>
      </c>
      <c r="E3" s="27" t="s">
        <v>3</v>
      </c>
      <c r="F3" s="27" t="s">
        <v>906</v>
      </c>
      <c r="G3" s="27" t="s">
        <v>4</v>
      </c>
      <c r="H3" s="27" t="s">
        <v>5</v>
      </c>
      <c r="I3" s="27" t="s">
        <v>909</v>
      </c>
      <c r="J3" s="27" t="s">
        <v>6</v>
      </c>
      <c r="K3" s="27" t="s">
        <v>911</v>
      </c>
      <c r="L3" s="27" t="s">
        <v>912</v>
      </c>
      <c r="M3" s="27" t="s">
        <v>913</v>
      </c>
      <c r="N3" s="163" t="s">
        <v>914</v>
      </c>
      <c r="O3" s="1089" t="str">
        <f>Head9</f>
        <v>Budget Year 2020/21</v>
      </c>
      <c r="P3" s="1085" t="str">
        <f>Head10</f>
        <v>Budget Year +1 2021/22</v>
      </c>
      <c r="Q3" s="1087"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0"/>
      <c r="P4" s="1086"/>
      <c r="Q4" s="1088"/>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E20" sqref="E20"/>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"&amp;S71P&amp; " - "&amp;Head57</f>
        <v>KZN225 Msunduzi - Supporting Table SC10 Monthly Budget Statement  - Parent Municipality Financial Performance (revenue and expenditure)  - Q3 Third Quarter</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100165168.69</v>
      </c>
      <c r="G6" s="733">
        <v>913041670.25999999</v>
      </c>
      <c r="H6" s="733">
        <f>E6/12*9</f>
        <v>952345945.51634979</v>
      </c>
      <c r="I6" s="44">
        <f t="shared" ref="I6:I21" si="0">G6-H6</f>
        <v>-39304275.256349802</v>
      </c>
      <c r="J6" s="330">
        <f>IF(I6=0,"",I6/H6)</f>
        <v>-4.1271006026113256E-2</v>
      </c>
      <c r="K6" s="735">
        <f>E6</f>
        <v>1269794594.0217998</v>
      </c>
    </row>
    <row r="7" spans="1:11" ht="12.75" customHeight="1" x14ac:dyDescent="0.25">
      <c r="A7" s="39" t="str">
        <f>'C4-FinPerf RE'!A7</f>
        <v>Service charges - electricity revenue</v>
      </c>
      <c r="B7" s="169"/>
      <c r="C7" s="748"/>
      <c r="D7" s="745">
        <v>2584775677.1378117</v>
      </c>
      <c r="E7" s="733">
        <v>2584775677.1378117</v>
      </c>
      <c r="F7" s="733">
        <v>175100957.37</v>
      </c>
      <c r="G7" s="733">
        <v>1720261511.3199999</v>
      </c>
      <c r="H7" s="733">
        <f t="shared" ref="H7:H9" si="1">E7/12*9</f>
        <v>1938581757.8533587</v>
      </c>
      <c r="I7" s="44">
        <f t="shared" si="0"/>
        <v>-218320246.53335881</v>
      </c>
      <c r="J7" s="330">
        <f t="shared" ref="J7:J22" si="2">IF(I7=0,"",I7/H7)</f>
        <v>-0.11261853963544484</v>
      </c>
      <c r="K7" s="735">
        <f>E7</f>
        <v>2584775677.1378117</v>
      </c>
    </row>
    <row r="8" spans="1:11" ht="12.75" customHeight="1" x14ac:dyDescent="0.25">
      <c r="A8" s="86" t="str">
        <f>'C4-FinPerf RE'!A8</f>
        <v>Service charges - water revenue</v>
      </c>
      <c r="B8" s="171"/>
      <c r="C8" s="748"/>
      <c r="D8" s="745">
        <v>722633094.82360029</v>
      </c>
      <c r="E8" s="733">
        <v>722633094.82360029</v>
      </c>
      <c r="F8" s="733">
        <v>56689814.329999998</v>
      </c>
      <c r="G8" s="733">
        <v>577983598.88</v>
      </c>
      <c r="H8" s="733">
        <f t="shared" si="1"/>
        <v>541974821.11770022</v>
      </c>
      <c r="I8" s="44">
        <f t="shared" si="0"/>
        <v>36008777.762299776</v>
      </c>
      <c r="J8" s="330">
        <f t="shared" si="2"/>
        <v>6.6439945841099843E-2</v>
      </c>
      <c r="K8" s="735">
        <f>E8</f>
        <v>722633094.82360029</v>
      </c>
    </row>
    <row r="9" spans="1:11" ht="12.75" customHeight="1" x14ac:dyDescent="0.25">
      <c r="A9" s="86" t="str">
        <f>'C4-FinPerf RE'!A9</f>
        <v>Service charges - sanitation revenue</v>
      </c>
      <c r="B9" s="171"/>
      <c r="C9" s="748"/>
      <c r="D9" s="745">
        <v>152021749.3608</v>
      </c>
      <c r="E9" s="733">
        <v>152021749.3608</v>
      </c>
      <c r="F9" s="733">
        <v>13881073.65</v>
      </c>
      <c r="G9" s="733">
        <v>118170515.47</v>
      </c>
      <c r="H9" s="733">
        <f t="shared" si="1"/>
        <v>114016312.02059999</v>
      </c>
      <c r="I9" s="44">
        <f t="shared" si="0"/>
        <v>4154203.4494000077</v>
      </c>
      <c r="J9" s="330">
        <f t="shared" si="2"/>
        <v>3.6435167703454951E-2</v>
      </c>
      <c r="K9" s="735">
        <f>E9</f>
        <v>152021749.3608</v>
      </c>
    </row>
    <row r="10" spans="1:11" ht="12.75" customHeight="1" x14ac:dyDescent="0.25">
      <c r="A10" s="86" t="str">
        <f>'C4-FinPerf RE'!A10</f>
        <v>Service charges - refuse revenue</v>
      </c>
      <c r="B10" s="171"/>
      <c r="C10" s="748"/>
      <c r="D10" s="745">
        <v>116333080.9707</v>
      </c>
      <c r="E10" s="733">
        <v>116333080.9707</v>
      </c>
      <c r="F10" s="733">
        <v>8943440.6099999994</v>
      </c>
      <c r="G10" s="733">
        <v>80203759.939999998</v>
      </c>
      <c r="H10" s="733">
        <f>E10/12*9</f>
        <v>87249810.728024989</v>
      </c>
      <c r="I10" s="44">
        <f t="shared" si="0"/>
        <v>-7046050.7880249918</v>
      </c>
      <c r="J10" s="330">
        <f t="shared" si="2"/>
        <v>-8.0757204276223973E-2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2034278.24</v>
      </c>
      <c r="G12" s="733">
        <v>8969876.7100000009</v>
      </c>
      <c r="H12" s="733">
        <f t="shared" ref="H12:H14" si="3">E12/12*9</f>
        <v>21809098.220249996</v>
      </c>
      <c r="I12" s="44">
        <f t="shared" si="0"/>
        <v>-12839221.510249995</v>
      </c>
      <c r="J12" s="330">
        <f t="shared" si="2"/>
        <v>-0.58870941753697237</v>
      </c>
      <c r="K12" s="735">
        <f>E12</f>
        <v>29078797.626999993</v>
      </c>
    </row>
    <row r="13" spans="1:11" ht="12.75" customHeight="1" x14ac:dyDescent="0.25">
      <c r="A13" s="86" t="str">
        <f>'C4-FinPerf RE'!A13</f>
        <v>Interest earned - external investments</v>
      </c>
      <c r="B13" s="171"/>
      <c r="C13" s="748"/>
      <c r="D13" s="745">
        <v>15260422.42725</v>
      </c>
      <c r="E13" s="733">
        <v>15260422.42725</v>
      </c>
      <c r="F13" s="733">
        <v>648954.51</v>
      </c>
      <c r="G13" s="733">
        <v>5433647.0099999998</v>
      </c>
      <c r="H13" s="733">
        <f t="shared" si="3"/>
        <v>11445316.8204375</v>
      </c>
      <c r="I13" s="44">
        <f t="shared" si="0"/>
        <v>-6011669.8104375005</v>
      </c>
      <c r="J13" s="330">
        <f t="shared" si="2"/>
        <v>-0.5252514984733907</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16099136.67</v>
      </c>
      <c r="G14" s="733">
        <v>141681521.63999999</v>
      </c>
      <c r="H14" s="733">
        <f t="shared" si="3"/>
        <v>151843345.41419998</v>
      </c>
      <c r="I14" s="44">
        <f t="shared" si="0"/>
        <v>-10161823.774199992</v>
      </c>
      <c r="J14" s="330">
        <f t="shared" si="2"/>
        <v>-6.6923076190665162E-2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62586.95</v>
      </c>
      <c r="G16" s="733">
        <v>479598.67</v>
      </c>
      <c r="H16" s="733">
        <f t="shared" ref="H16:H20" si="4">E16/12*9</f>
        <v>1348913.582775</v>
      </c>
      <c r="I16" s="44">
        <f t="shared" si="0"/>
        <v>-869314.91277500009</v>
      </c>
      <c r="J16" s="330">
        <f t="shared" si="2"/>
        <v>-0.64445560032588289</v>
      </c>
      <c r="K16" s="735">
        <f t="shared" ref="K16:K20" si="5">E16</f>
        <v>1798551.4436999999</v>
      </c>
    </row>
    <row r="17" spans="1:11" ht="12.75" customHeight="1" x14ac:dyDescent="0.25">
      <c r="A17" s="86" t="str">
        <f>'C4-FinPerf RE'!A17</f>
        <v>Licences and permits</v>
      </c>
      <c r="B17" s="171"/>
      <c r="C17" s="748"/>
      <c r="D17" s="745">
        <v>1119569.0055</v>
      </c>
      <c r="E17" s="733">
        <v>1119569.0055</v>
      </c>
      <c r="F17" s="733">
        <v>113092.71</v>
      </c>
      <c r="G17" s="733">
        <v>456633.8</v>
      </c>
      <c r="H17" s="733">
        <f t="shared" si="4"/>
        <v>839676.75412499998</v>
      </c>
      <c r="I17" s="44">
        <f t="shared" si="0"/>
        <v>-383042.95412499999</v>
      </c>
      <c r="J17" s="330">
        <f t="shared" si="2"/>
        <v>-0.45617906205365499</v>
      </c>
      <c r="K17" s="735">
        <f t="shared" si="5"/>
        <v>1119569.0055</v>
      </c>
    </row>
    <row r="18" spans="1:11" ht="12.75" customHeight="1" x14ac:dyDescent="0.25">
      <c r="A18" s="86" t="str">
        <f>'C4-FinPerf RE'!A18</f>
        <v>Agency services</v>
      </c>
      <c r="B18" s="171"/>
      <c r="C18" s="748"/>
      <c r="D18" s="745">
        <v>601902.02599999995</v>
      </c>
      <c r="E18" s="733">
        <v>601902.02599999995</v>
      </c>
      <c r="F18" s="733">
        <v>380500</v>
      </c>
      <c r="G18" s="733">
        <v>1397800</v>
      </c>
      <c r="H18" s="733">
        <f t="shared" si="4"/>
        <v>451426.51949999999</v>
      </c>
      <c r="I18" s="44">
        <f t="shared" si="0"/>
        <v>946373.48050000006</v>
      </c>
      <c r="J18" s="330">
        <f t="shared" si="2"/>
        <v>2.0964064795045787</v>
      </c>
      <c r="K18" s="735">
        <f t="shared" si="5"/>
        <v>601902.02599999995</v>
      </c>
    </row>
    <row r="19" spans="1:11" ht="12.75" customHeight="1" x14ac:dyDescent="0.25">
      <c r="A19" s="86" t="str">
        <f>'C4-FinPerf RE'!A19</f>
        <v>Transfers and subsidies</v>
      </c>
      <c r="B19" s="171"/>
      <c r="C19" s="748"/>
      <c r="D19" s="745">
        <v>675483240</v>
      </c>
      <c r="E19" s="733">
        <v>764481240</v>
      </c>
      <c r="F19" s="733">
        <v>156240288.65000001</v>
      </c>
      <c r="G19" s="733">
        <v>734264386.21000004</v>
      </c>
      <c r="H19" s="733">
        <f t="shared" si="4"/>
        <v>573360930</v>
      </c>
      <c r="I19" s="44">
        <f t="shared" si="0"/>
        <v>160903456.21000004</v>
      </c>
      <c r="J19" s="330">
        <f t="shared" si="2"/>
        <v>0.28063205529194329</v>
      </c>
      <c r="K19" s="735">
        <f t="shared" si="5"/>
        <v>764481240</v>
      </c>
    </row>
    <row r="20" spans="1:11" ht="12.75" customHeight="1" x14ac:dyDescent="0.25">
      <c r="A20" s="86" t="str">
        <f>'C4-FinPerf RE'!A20</f>
        <v>Other revenue</v>
      </c>
      <c r="B20" s="171"/>
      <c r="C20" s="748"/>
      <c r="D20" s="745">
        <v>146451785.14229998</v>
      </c>
      <c r="E20" s="733">
        <v>146451785.14229998</v>
      </c>
      <c r="F20" s="733">
        <v>6810054.2200000007</v>
      </c>
      <c r="G20" s="733">
        <v>59843496.159999996</v>
      </c>
      <c r="H20" s="733">
        <f t="shared" si="4"/>
        <v>109838838.85672499</v>
      </c>
      <c r="I20" s="44">
        <f t="shared" si="0"/>
        <v>-49995342.696724996</v>
      </c>
      <c r="J20" s="330">
        <f t="shared" si="2"/>
        <v>-0.45516998556348071</v>
      </c>
      <c r="K20" s="735">
        <f t="shared" si="5"/>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6">SUM(C6:C10)+SUM(C12:C21)</f>
        <v>0</v>
      </c>
      <c r="D22" s="74">
        <f t="shared" si="6"/>
        <v>5917810257.8720617</v>
      </c>
      <c r="E22" s="73">
        <f t="shared" si="6"/>
        <v>6006808257.8720617</v>
      </c>
      <c r="F22" s="73">
        <f t="shared" si="6"/>
        <v>537169346.60000002</v>
      </c>
      <c r="G22" s="73">
        <f t="shared" si="6"/>
        <v>4362188016.0699997</v>
      </c>
      <c r="H22" s="73">
        <f t="shared" si="6"/>
        <v>4505106193.4040461</v>
      </c>
      <c r="I22" s="73">
        <f>G22-H22</f>
        <v>-142918177.33404636</v>
      </c>
      <c r="J22" s="331">
        <f t="shared" si="2"/>
        <v>-3.1723597890609939E-2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106639899.91999997</v>
      </c>
      <c r="G25" s="733">
        <v>1022274013.5300012</v>
      </c>
      <c r="H25" s="733">
        <f t="shared" ref="H25:H34" si="7">E25/12*9</f>
        <v>1108743228.1871314</v>
      </c>
      <c r="I25" s="44">
        <f t="shared" ref="I25:I44" si="8">G25-H25</f>
        <v>-86469214.657130241</v>
      </c>
      <c r="J25" s="330">
        <f t="shared" ref="J25:J44" si="9">IF(I25=0,"",I25/H25)</f>
        <v>-7.7988494052417465E-2</v>
      </c>
      <c r="K25" s="735">
        <f t="shared" ref="K25:K34" si="10">E25</f>
        <v>1478324304.2495084</v>
      </c>
    </row>
    <row r="26" spans="1:11" ht="12.75" customHeight="1" x14ac:dyDescent="0.25">
      <c r="A26" s="39" t="str">
        <f>'C4-FinPerf RE'!A26</f>
        <v>Remuneration of councillors</v>
      </c>
      <c r="B26" s="169"/>
      <c r="C26" s="748"/>
      <c r="D26" s="745">
        <v>53650401.115479976</v>
      </c>
      <c r="E26" s="733">
        <v>53650401.439999998</v>
      </c>
      <c r="F26" s="733">
        <v>3997359.1</v>
      </c>
      <c r="G26" s="733">
        <v>39550378.029999994</v>
      </c>
      <c r="H26" s="733">
        <f t="shared" si="7"/>
        <v>40237801.079999998</v>
      </c>
      <c r="I26" s="44">
        <f t="shared" si="8"/>
        <v>-687423.05000000447</v>
      </c>
      <c r="J26" s="330">
        <f t="shared" si="9"/>
        <v>-1.7084011341307732E-2</v>
      </c>
      <c r="K26" s="735">
        <f t="shared" si="10"/>
        <v>53650401.439999998</v>
      </c>
    </row>
    <row r="27" spans="1:11" ht="12.75" customHeight="1" x14ac:dyDescent="0.25">
      <c r="A27" s="39" t="str">
        <f>'C4-FinPerf RE'!A27</f>
        <v>Debt impairment</v>
      </c>
      <c r="B27" s="171"/>
      <c r="C27" s="748"/>
      <c r="D27" s="745">
        <v>123904143.27200001</v>
      </c>
      <c r="E27" s="733">
        <v>123904143.27200001</v>
      </c>
      <c r="F27" s="733">
        <v>559600.28</v>
      </c>
      <c r="G27" s="733">
        <v>82054508</v>
      </c>
      <c r="H27" s="733">
        <f t="shared" si="7"/>
        <v>92928107.454000011</v>
      </c>
      <c r="I27" s="44">
        <f t="shared" si="8"/>
        <v>-10873599.454000011</v>
      </c>
      <c r="J27" s="330">
        <f t="shared" si="9"/>
        <v>-0.11701087810684739</v>
      </c>
      <c r="K27" s="735">
        <f t="shared" si="10"/>
        <v>123904143.27200001</v>
      </c>
    </row>
    <row r="28" spans="1:11" ht="12.75" customHeight="1" x14ac:dyDescent="0.25">
      <c r="A28" s="39" t="str">
        <f>'C4-FinPerf RE'!A28</f>
        <v>Depreciation &amp; asset impairment</v>
      </c>
      <c r="B28" s="171"/>
      <c r="C28" s="748"/>
      <c r="D28" s="745">
        <v>488991448.27473986</v>
      </c>
      <c r="E28" s="733">
        <v>482441448.55050021</v>
      </c>
      <c r="F28" s="733">
        <v>36057058.489999942</v>
      </c>
      <c r="G28" s="733">
        <v>317277298.43000007</v>
      </c>
      <c r="H28" s="733">
        <f t="shared" si="7"/>
        <v>361831086.41287518</v>
      </c>
      <c r="I28" s="44">
        <f t="shared" si="8"/>
        <v>-44553787.982875109</v>
      </c>
      <c r="J28" s="330">
        <f t="shared" si="9"/>
        <v>-0.12313421830217221</v>
      </c>
      <c r="K28" s="735">
        <f t="shared" si="10"/>
        <v>482441448.55050021</v>
      </c>
    </row>
    <row r="29" spans="1:11" ht="12.75" customHeight="1" x14ac:dyDescent="0.25">
      <c r="A29" s="39" t="str">
        <f>'C4-FinPerf RE'!A29</f>
        <v>Finance charges</v>
      </c>
      <c r="B29" s="171"/>
      <c r="C29" s="748"/>
      <c r="D29" s="745">
        <v>31793212.220000003</v>
      </c>
      <c r="E29" s="733">
        <v>36505334.219999969</v>
      </c>
      <c r="F29" s="733">
        <v>2879298.91</v>
      </c>
      <c r="G29" s="733">
        <v>27849273.010000002</v>
      </c>
      <c r="H29" s="733">
        <f t="shared" si="7"/>
        <v>27379000.664999977</v>
      </c>
      <c r="I29" s="44">
        <f t="shared" si="8"/>
        <v>470272.34500002488</v>
      </c>
      <c r="J29" s="330">
        <f t="shared" si="9"/>
        <v>1.7176388238347898E-2</v>
      </c>
      <c r="K29" s="735">
        <f t="shared" si="10"/>
        <v>36505334.219999969</v>
      </c>
    </row>
    <row r="30" spans="1:11" ht="12.75" customHeight="1" x14ac:dyDescent="0.25">
      <c r="A30" s="39" t="str">
        <f>'C4-FinPerf RE'!A30</f>
        <v>Bulk purchases</v>
      </c>
      <c r="B30" s="171"/>
      <c r="C30" s="748"/>
      <c r="D30" s="745">
        <v>2608224084.5041752</v>
      </c>
      <c r="E30" s="733">
        <v>2608224084.5041752</v>
      </c>
      <c r="F30" s="733">
        <v>192520364.57999998</v>
      </c>
      <c r="G30" s="733">
        <v>1961626542.9300003</v>
      </c>
      <c r="H30" s="733">
        <f t="shared" si="7"/>
        <v>1956168063.3781314</v>
      </c>
      <c r="I30" s="44">
        <f t="shared" si="8"/>
        <v>5458479.5518689156</v>
      </c>
      <c r="J30" s="330">
        <f t="shared" si="9"/>
        <v>2.7903939615712761E-3</v>
      </c>
      <c r="K30" s="735">
        <f t="shared" si="10"/>
        <v>2608224084.5041752</v>
      </c>
    </row>
    <row r="31" spans="1:11" ht="12.75" customHeight="1" x14ac:dyDescent="0.25">
      <c r="A31" s="39" t="str">
        <f>'C4-FinPerf RE'!A31</f>
        <v>Other materials</v>
      </c>
      <c r="B31" s="171"/>
      <c r="C31" s="748"/>
      <c r="D31" s="745">
        <v>46574816.042614385</v>
      </c>
      <c r="E31" s="733">
        <v>63710306.143800952</v>
      </c>
      <c r="F31" s="733">
        <v>5450652.1099999994</v>
      </c>
      <c r="G31" s="733">
        <v>28707880.570000004</v>
      </c>
      <c r="H31" s="733">
        <f t="shared" si="7"/>
        <v>47782729.607850716</v>
      </c>
      <c r="I31" s="44">
        <f t="shared" si="8"/>
        <v>-19074849.037850711</v>
      </c>
      <c r="J31" s="330">
        <f t="shared" si="9"/>
        <v>-0.39919965214203057</v>
      </c>
      <c r="K31" s="735">
        <f t="shared" si="10"/>
        <v>63710306.143800952</v>
      </c>
    </row>
    <row r="32" spans="1:11" ht="12.75" customHeight="1" x14ac:dyDescent="0.25">
      <c r="A32" s="39" t="str">
        <f>'C4-FinPerf RE'!A32</f>
        <v>Contracted services</v>
      </c>
      <c r="B32" s="171"/>
      <c r="C32" s="748"/>
      <c r="D32" s="745">
        <v>463787100.72254992</v>
      </c>
      <c r="E32" s="733">
        <v>491460211.0508498</v>
      </c>
      <c r="F32" s="733">
        <v>57345218.710000031</v>
      </c>
      <c r="G32" s="733">
        <v>359204769.03999978</v>
      </c>
      <c r="H32" s="733">
        <f t="shared" si="7"/>
        <v>368595158.28813732</v>
      </c>
      <c r="I32" s="44">
        <f t="shared" si="8"/>
        <v>-9390389.2481375337</v>
      </c>
      <c r="J32" s="330">
        <f t="shared" si="9"/>
        <v>-2.5476160055246579E-2</v>
      </c>
      <c r="K32" s="735">
        <f t="shared" si="10"/>
        <v>491460211.0508498</v>
      </c>
    </row>
    <row r="33" spans="1:11" ht="12.75" customHeight="1" x14ac:dyDescent="0.25">
      <c r="A33" s="39" t="str">
        <f>'C4-FinPerf RE'!A33</f>
        <v>Transfers and subsidies</v>
      </c>
      <c r="B33" s="171"/>
      <c r="C33" s="748"/>
      <c r="D33" s="745">
        <v>25080461.44304001</v>
      </c>
      <c r="E33" s="733">
        <v>58680462</v>
      </c>
      <c r="F33" s="733">
        <v>2628957.9500000002</v>
      </c>
      <c r="G33" s="733">
        <v>34111917.270000003</v>
      </c>
      <c r="H33" s="733">
        <f t="shared" si="7"/>
        <v>44010346.5</v>
      </c>
      <c r="I33" s="44">
        <f t="shared" si="8"/>
        <v>-9898429.2299999967</v>
      </c>
      <c r="J33" s="330">
        <f t="shared" si="9"/>
        <v>-0.22491141327414899</v>
      </c>
      <c r="K33" s="735">
        <f t="shared" si="10"/>
        <v>58680462</v>
      </c>
    </row>
    <row r="34" spans="1:11" ht="12.75" customHeight="1" x14ac:dyDescent="0.25">
      <c r="A34" s="39" t="str">
        <f>'C4-FinPerf RE'!A34</f>
        <v>Other expenditure</v>
      </c>
      <c r="B34" s="171"/>
      <c r="C34" s="748"/>
      <c r="D34" s="745">
        <v>192585810.36394995</v>
      </c>
      <c r="E34" s="733">
        <v>166189163.49623623</v>
      </c>
      <c r="F34" s="733">
        <v>13314158.909999993</v>
      </c>
      <c r="G34" s="733">
        <v>111308422.71999985</v>
      </c>
      <c r="H34" s="733">
        <f t="shared" si="7"/>
        <v>124641872.62217718</v>
      </c>
      <c r="I34" s="44">
        <f t="shared" si="8"/>
        <v>-13333449.902177334</v>
      </c>
      <c r="J34" s="330">
        <f t="shared" si="9"/>
        <v>-0.10697408199726413</v>
      </c>
      <c r="K34" s="735">
        <f t="shared" si="10"/>
        <v>166189163.49623623</v>
      </c>
    </row>
    <row r="35" spans="1:11" ht="12.75" customHeight="1" x14ac:dyDescent="0.25">
      <c r="A35" s="39" t="str">
        <f>'C4-FinPerf RE'!A35</f>
        <v>Losses</v>
      </c>
      <c r="B35" s="169"/>
      <c r="C35" s="748"/>
      <c r="D35" s="745">
        <v>0</v>
      </c>
      <c r="E35" s="733"/>
      <c r="F35" s="733"/>
      <c r="G35" s="733"/>
      <c r="H35" s="733"/>
      <c r="I35" s="44">
        <f t="shared" si="8"/>
        <v>0</v>
      </c>
      <c r="J35" s="330" t="str">
        <f t="shared" si="9"/>
        <v/>
      </c>
      <c r="K35" s="735"/>
    </row>
    <row r="36" spans="1:11" ht="12.75" customHeight="1" x14ac:dyDescent="0.25">
      <c r="A36" s="350" t="s">
        <v>488</v>
      </c>
      <c r="B36" s="569"/>
      <c r="C36" s="243">
        <f t="shared" ref="C36:H36" si="11">SUM(C25:C35)</f>
        <v>0</v>
      </c>
      <c r="D36" s="74">
        <f t="shared" si="11"/>
        <v>5501964562.0327282</v>
      </c>
      <c r="E36" s="73">
        <f t="shared" si="11"/>
        <v>5563089858.9270697</v>
      </c>
      <c r="F36" s="73">
        <f t="shared" si="11"/>
        <v>421392568.95999986</v>
      </c>
      <c r="G36" s="73">
        <f t="shared" si="11"/>
        <v>3983965003.5300012</v>
      </c>
      <c r="H36" s="73">
        <f t="shared" si="11"/>
        <v>4172317394.195303</v>
      </c>
      <c r="I36" s="73">
        <f t="shared" si="8"/>
        <v>-188352390.6653018</v>
      </c>
      <c r="J36" s="331">
        <f t="shared" si="9"/>
        <v>-4.5143351492708893E-2</v>
      </c>
      <c r="K36" s="145">
        <f>SUM(K25:K35)</f>
        <v>5563089858.9270697</v>
      </c>
    </row>
    <row r="37" spans="1:11" ht="5.0999999999999996" customHeight="1" x14ac:dyDescent="0.25">
      <c r="A37" s="42"/>
      <c r="B37" s="169"/>
      <c r="C37" s="134"/>
      <c r="D37" s="46"/>
      <c r="E37" s="44"/>
      <c r="F37" s="44"/>
      <c r="G37" s="44"/>
      <c r="H37" s="44"/>
      <c r="I37" s="44">
        <f t="shared" si="8"/>
        <v>0</v>
      </c>
      <c r="J37" s="330"/>
      <c r="K37" s="144"/>
    </row>
    <row r="38" spans="1:11" ht="12.75" customHeight="1" x14ac:dyDescent="0.25">
      <c r="A38" s="87" t="str">
        <f>'C4-FinPerf RE'!A38</f>
        <v>Surplus/(Deficit)</v>
      </c>
      <c r="B38" s="169"/>
      <c r="C38" s="134">
        <f t="shared" ref="C38:H38" si="12">C22-C36</f>
        <v>0</v>
      </c>
      <c r="D38" s="46">
        <f t="shared" si="12"/>
        <v>415845695.83933353</v>
      </c>
      <c r="E38" s="44">
        <f t="shared" si="12"/>
        <v>443718398.94499207</v>
      </c>
      <c r="F38" s="44">
        <f t="shared" si="12"/>
        <v>115776777.64000016</v>
      </c>
      <c r="G38" s="44">
        <f t="shared" si="12"/>
        <v>378223012.53999853</v>
      </c>
      <c r="H38" s="44">
        <f t="shared" si="12"/>
        <v>332788799.2087431</v>
      </c>
      <c r="I38" s="44">
        <f t="shared" si="8"/>
        <v>45434213.331255436</v>
      </c>
      <c r="J38" s="330">
        <f t="shared" si="9"/>
        <v>0.13652566865015384</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22230840.719999999</v>
      </c>
      <c r="G39" s="733">
        <v>307536873.04000002</v>
      </c>
      <c r="H39" s="733">
        <f>E39/12*9</f>
        <v>394418685.74999982</v>
      </c>
      <c r="I39" s="44">
        <f t="shared" si="8"/>
        <v>-86881812.7099998</v>
      </c>
      <c r="J39" s="330">
        <f t="shared" si="9"/>
        <v>-0.22027813551680808</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8"/>
        <v>0</v>
      </c>
      <c r="J40" s="330" t="str">
        <f t="shared" si="9"/>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8"/>
        <v>0</v>
      </c>
      <c r="J41" s="330" t="str">
        <f t="shared" si="9"/>
        <v/>
      </c>
      <c r="K41" s="735"/>
    </row>
    <row r="42" spans="1:11" ht="25.5" x14ac:dyDescent="0.25">
      <c r="A42" s="570" t="str">
        <f>'C4-FinPerf RE'!A42</f>
        <v>Surplus/(Deficit) after capital transfers &amp; contributions</v>
      </c>
      <c r="B42" s="309"/>
      <c r="C42" s="571">
        <f>C38+SUM(C39:C41)</f>
        <v>0</v>
      </c>
      <c r="D42" s="572">
        <f t="shared" ref="D42:K42" si="13">D38+SUM(D39:D41)</f>
        <v>941737276.8393333</v>
      </c>
      <c r="E42" s="514">
        <f t="shared" si="13"/>
        <v>969609979.94499183</v>
      </c>
      <c r="F42" s="514">
        <f t="shared" si="13"/>
        <v>138007618.36000016</v>
      </c>
      <c r="G42" s="514">
        <f t="shared" si="13"/>
        <v>685759885.57999849</v>
      </c>
      <c r="H42" s="514">
        <f t="shared" si="13"/>
        <v>727207484.95874286</v>
      </c>
      <c r="I42" s="514">
        <f t="shared" si="8"/>
        <v>-41447599.378744364</v>
      </c>
      <c r="J42" s="515">
        <f t="shared" si="9"/>
        <v>-5.6995562114017344E-2</v>
      </c>
      <c r="K42" s="573">
        <f t="shared" si="13"/>
        <v>969609979.94499183</v>
      </c>
    </row>
    <row r="43" spans="1:11" ht="12.75" customHeight="1" x14ac:dyDescent="0.25">
      <c r="A43" s="111" t="str">
        <f>'C4-FinPerf RE'!A43</f>
        <v>Taxation</v>
      </c>
      <c r="B43" s="169"/>
      <c r="C43" s="748"/>
      <c r="D43" s="745"/>
      <c r="E43" s="733"/>
      <c r="F43" s="733"/>
      <c r="G43" s="733"/>
      <c r="H43" s="733"/>
      <c r="I43" s="44">
        <f t="shared" si="8"/>
        <v>0</v>
      </c>
      <c r="J43" s="330" t="str">
        <f t="shared" si="9"/>
        <v/>
      </c>
      <c r="K43" s="735"/>
    </row>
    <row r="44" spans="1:11" ht="12.75" customHeight="1" x14ac:dyDescent="0.25">
      <c r="A44" s="53" t="str">
        <f>'C4-FinPerf RE'!A44</f>
        <v>Surplus/(Deficit) after taxation</v>
      </c>
      <c r="B44" s="236"/>
      <c r="C44" s="112">
        <f t="shared" ref="C44:H44" si="14">C42-C43</f>
        <v>0</v>
      </c>
      <c r="D44" s="56">
        <f t="shared" si="14"/>
        <v>941737276.8393333</v>
      </c>
      <c r="E44" s="55">
        <f t="shared" si="14"/>
        <v>969609979.94499183</v>
      </c>
      <c r="F44" s="55">
        <f t="shared" si="14"/>
        <v>138007618.36000016</v>
      </c>
      <c r="G44" s="55">
        <f t="shared" si="14"/>
        <v>685759885.57999849</v>
      </c>
      <c r="H44" s="55">
        <f t="shared" si="14"/>
        <v>727207484.95874286</v>
      </c>
      <c r="I44" s="55">
        <f t="shared" si="8"/>
        <v>-41447599.378744364</v>
      </c>
      <c r="J44" s="332">
        <f t="shared" si="9"/>
        <v>-5.6995562114017344E-2</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"&amp;S71Q&amp; " - "&amp;Head57</f>
        <v>KZN225 Msunduzi - Supporting Table SC11 Monthly Budget Statement - summary of municipal entities - Q3 Third Quarter</v>
      </c>
      <c r="B1" s="1055"/>
      <c r="C1" s="1055"/>
      <c r="D1" s="1055"/>
      <c r="E1" s="1055"/>
      <c r="F1" s="1055"/>
      <c r="G1" s="1055"/>
      <c r="H1" s="1055"/>
      <c r="I1" s="1055"/>
      <c r="J1" s="1055"/>
      <c r="K1" s="1055"/>
    </row>
    <row r="2" spans="1:11" x14ac:dyDescent="0.25">
      <c r="A2" s="1044" t="str">
        <f>desc</f>
        <v>Description</v>
      </c>
      <c r="B2" s="1037" t="str">
        <f>head27</f>
        <v>Ref</v>
      </c>
      <c r="C2" s="158" t="str">
        <f>Head1</f>
        <v>2019/20</v>
      </c>
      <c r="D2" s="1039" t="str">
        <f>Head2</f>
        <v>Budget Year 2020/21</v>
      </c>
      <c r="E2" s="1040"/>
      <c r="F2" s="1040"/>
      <c r="G2" s="1040"/>
      <c r="H2" s="1040"/>
      <c r="I2" s="1040"/>
      <c r="J2" s="1040"/>
      <c r="K2" s="1041"/>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I41" sqref="I41"/>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5" t="str">
        <f>muni&amp; " - "&amp;S71R&amp; " - "&amp;Head57</f>
        <v>KZN225 Msunduzi - Supporting Table SC12 Consolidated Monthly Budget Statement - capital expenditure trend  - Q3 Third Quarter</v>
      </c>
      <c r="B1" s="1055"/>
      <c r="C1" s="1055"/>
      <c r="D1" s="1055"/>
      <c r="E1" s="1055"/>
      <c r="F1" s="1055"/>
      <c r="G1" s="1055"/>
      <c r="H1" s="1055"/>
      <c r="I1" s="1055"/>
      <c r="J1" s="1055"/>
    </row>
    <row r="2" spans="1:10" x14ac:dyDescent="0.25">
      <c r="A2" s="1044" t="s">
        <v>887</v>
      </c>
      <c r="B2" s="139" t="str">
        <f>Head1</f>
        <v>2019/20</v>
      </c>
      <c r="C2" s="1039" t="str">
        <f>Head2</f>
        <v>Budget Year 2020/21</v>
      </c>
      <c r="D2" s="1040"/>
      <c r="E2" s="1040"/>
      <c r="F2" s="1040"/>
      <c r="G2" s="1040"/>
      <c r="H2" s="1040"/>
      <c r="I2" s="1040"/>
      <c r="J2" s="1041"/>
    </row>
    <row r="3" spans="1:10" ht="38.25" x14ac:dyDescent="0.25">
      <c r="A3" s="1045"/>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30125543.949999999</v>
      </c>
      <c r="F14" s="408">
        <f t="shared" si="3"/>
        <v>315959671.13999999</v>
      </c>
      <c r="G14" s="408">
        <f t="shared" si="4"/>
        <v>435668685.75</v>
      </c>
      <c r="H14" s="44">
        <f t="shared" si="0"/>
        <v>119709014.61000001</v>
      </c>
      <c r="I14" s="124">
        <f t="shared" si="1"/>
        <v>0.27477075705801979</v>
      </c>
      <c r="J14" s="674">
        <f t="shared" si="2"/>
        <v>0.54392193220648521</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315959671.13999999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5" t="s">
        <v>642</v>
      </c>
      <c r="B1" s="1006"/>
      <c r="C1" s="1006"/>
      <c r="D1" s="1007"/>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Q3 Third Quarter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0" t="s">
        <v>751</v>
      </c>
      <c r="B72" s="1011"/>
      <c r="C72" s="1011"/>
      <c r="D72" s="1012"/>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8" t="s">
        <v>794</v>
      </c>
      <c r="B76" s="1009"/>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"&amp;S71Sa&amp; " - "&amp;Head57</f>
        <v>KZN225 Msunduzi - Supporting Table SC13a Consolidated Monthly Budget Statement - capital expenditure on new assets by asset class - Q3 Third Quarter</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13706381.800000001</v>
      </c>
      <c r="G7" s="102">
        <f t="shared" si="0"/>
        <v>157993058.31999999</v>
      </c>
      <c r="H7" s="102">
        <f t="shared" si="0"/>
        <v>0</v>
      </c>
      <c r="I7" s="101">
        <f t="shared" ref="I7:I37" si="1">H7-G7</f>
        <v>-157993058.31999999</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6006623.3700000001</v>
      </c>
      <c r="G8" s="608">
        <f t="shared" si="3"/>
        <v>84849716.670000002</v>
      </c>
      <c r="H8" s="608">
        <f t="shared" si="3"/>
        <v>0</v>
      </c>
      <c r="I8" s="258">
        <f t="shared" si="1"/>
        <v>-84849716.670000002</v>
      </c>
      <c r="J8" s="575" t="e">
        <f t="shared" si="2"/>
        <v>#DIV/0!</v>
      </c>
      <c r="K8" s="610">
        <f>SUM(K9:K12)</f>
        <v>0</v>
      </c>
    </row>
    <row r="9" spans="1:11" ht="12.75" customHeight="1" x14ac:dyDescent="0.25">
      <c r="A9" s="574" t="s">
        <v>168</v>
      </c>
      <c r="B9" s="169"/>
      <c r="C9" s="748"/>
      <c r="D9" s="745">
        <v>10845780.900911285</v>
      </c>
      <c r="E9" s="733"/>
      <c r="F9" s="733">
        <v>6006623.3700000001</v>
      </c>
      <c r="G9" s="733">
        <v>7311758.1100000003</v>
      </c>
      <c r="H9" s="733">
        <f>E9/12*9</f>
        <v>0</v>
      </c>
      <c r="I9" s="258">
        <f t="shared" si="1"/>
        <v>-7311758.1100000003</v>
      </c>
      <c r="J9" s="575" t="e">
        <f t="shared" si="2"/>
        <v>#DIV/0!</v>
      </c>
      <c r="K9" s="735">
        <f>E9</f>
        <v>0</v>
      </c>
    </row>
    <row r="10" spans="1:11" ht="12.75" customHeight="1" x14ac:dyDescent="0.25">
      <c r="A10" s="574" t="s">
        <v>1217</v>
      </c>
      <c r="B10" s="169"/>
      <c r="C10" s="748"/>
      <c r="D10" s="745"/>
      <c r="E10" s="733"/>
      <c r="F10" s="733"/>
      <c r="G10" s="733">
        <v>77537958.560000002</v>
      </c>
      <c r="H10" s="733"/>
      <c r="I10" s="258">
        <f t="shared" si="1"/>
        <v>-77537958.560000002</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5329079.87</v>
      </c>
      <c r="G27" s="408">
        <f t="shared" si="6"/>
        <v>52660045.519999996</v>
      </c>
      <c r="H27" s="408">
        <f t="shared" si="6"/>
        <v>0</v>
      </c>
      <c r="I27" s="258">
        <f t="shared" si="1"/>
        <v>-52660045.519999996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1750034.32</v>
      </c>
      <c r="G30" s="733">
        <v>10952815.890000001</v>
      </c>
      <c r="H30" s="733"/>
      <c r="I30" s="258">
        <f t="shared" si="1"/>
        <v>-10952815.890000001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3579045.55</v>
      </c>
      <c r="G34" s="733">
        <v>41707229.629999995</v>
      </c>
      <c r="H34" s="733"/>
      <c r="I34" s="258">
        <f t="shared" si="1"/>
        <v>-41707229.629999995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2370678.56</v>
      </c>
      <c r="G38" s="408">
        <f t="shared" si="7"/>
        <v>20483296.129999999</v>
      </c>
      <c r="H38" s="408">
        <f t="shared" si="7"/>
        <v>0</v>
      </c>
      <c r="I38" s="258">
        <f t="shared" ref="I38:I44" si="8">H38-G38</f>
        <v>-20483296.129999999</v>
      </c>
      <c r="J38" s="575" t="e">
        <f t="shared" ref="J38:J44" si="9">IF(I38=0,"",I38/H38)</f>
        <v>#DIV/0!</v>
      </c>
      <c r="K38" s="642">
        <f>SUM(K39:K44)</f>
        <v>0</v>
      </c>
    </row>
    <row r="39" spans="1:11" ht="12.75" customHeight="1" x14ac:dyDescent="0.25">
      <c r="A39" s="574" t="s">
        <v>1244</v>
      </c>
      <c r="B39" s="169"/>
      <c r="C39" s="748"/>
      <c r="D39" s="745"/>
      <c r="E39" s="733"/>
      <c r="F39" s="733">
        <v>1378007.06</v>
      </c>
      <c r="G39" s="733">
        <v>9162391.1799999997</v>
      </c>
      <c r="H39" s="733"/>
      <c r="I39" s="258">
        <f t="shared" si="8"/>
        <v>-9162391.1799999997</v>
      </c>
      <c r="J39" s="575" t="e">
        <f t="shared" si="9"/>
        <v>#DIV/0!</v>
      </c>
      <c r="K39" s="735"/>
    </row>
    <row r="40" spans="1:11" ht="12.75" customHeight="1" x14ac:dyDescent="0.25">
      <c r="A40" s="574" t="s">
        <v>135</v>
      </c>
      <c r="B40" s="169"/>
      <c r="C40" s="748"/>
      <c r="D40" s="745">
        <v>48520598.76723469</v>
      </c>
      <c r="E40" s="733" t="s">
        <v>1475</v>
      </c>
      <c r="F40" s="733">
        <v>992671.5</v>
      </c>
      <c r="G40" s="733">
        <v>11320904.949999999</v>
      </c>
      <c r="H40" s="733"/>
      <c r="I40" s="258">
        <f>H40-G40</f>
        <v>-11320904.949999999</v>
      </c>
      <c r="J40" s="575" t="e">
        <f>IF(I40=0,"",I40/H40)</f>
        <v>#DIV/0!</v>
      </c>
      <c r="K40" s="735" t="str">
        <f>E40</f>
        <v xml:space="preserve"> </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967382</v>
      </c>
      <c r="G75" s="578">
        <f t="shared" si="17"/>
        <v>7117321.4100000001</v>
      </c>
      <c r="H75" s="578">
        <f t="shared" si="17"/>
        <v>1875000</v>
      </c>
      <c r="I75" s="578">
        <f>H75-G75</f>
        <v>-5242321.41</v>
      </c>
      <c r="J75" s="579">
        <f t="shared" si="16"/>
        <v>-2.7959047520000002</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717294.19000000006</v>
      </c>
      <c r="G76" s="408">
        <f>SUM(G77:G98)</f>
        <v>6867239.9199999999</v>
      </c>
      <c r="H76" s="408">
        <f t="shared" si="18"/>
        <v>1875000</v>
      </c>
      <c r="I76" s="258">
        <f t="shared" ref="I76:I87" si="19">H76-G76</f>
        <v>-4992239.92</v>
      </c>
      <c r="J76" s="575">
        <f t="shared" ref="J76:J87" si="20">IF(I76=0,"",I76/H76)</f>
        <v>-2.6625279573333334</v>
      </c>
      <c r="K76" s="642">
        <f>SUM(K77:K98)</f>
        <v>2500000</v>
      </c>
    </row>
    <row r="77" spans="1:11" ht="12.75" customHeight="1" x14ac:dyDescent="0.25">
      <c r="A77" s="574" t="s">
        <v>1269</v>
      </c>
      <c r="B77" s="169"/>
      <c r="C77" s="748"/>
      <c r="D77" s="753">
        <v>37464350.795641594</v>
      </c>
      <c r="E77" s="748"/>
      <c r="F77" s="733">
        <v>717294.19000000006</v>
      </c>
      <c r="G77" s="733">
        <v>5386969.8300000001</v>
      </c>
      <c r="H77" s="733">
        <f>E77/12*9</f>
        <v>0</v>
      </c>
      <c r="I77" s="44" t="e">
        <f>H77-#REF!</f>
        <v>#REF!</v>
      </c>
      <c r="J77" s="124" t="e">
        <f t="shared" si="20"/>
        <v>#REF!</v>
      </c>
      <c r="K77" s="735">
        <f>E77</f>
        <v>0</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v>1480270.14</v>
      </c>
      <c r="H96" s="733">
        <f>E96/12*9</f>
        <v>1875000</v>
      </c>
      <c r="I96" s="44">
        <f t="shared" si="21"/>
        <v>394729.8600000001</v>
      </c>
      <c r="J96" s="124">
        <f t="shared" si="22"/>
        <v>0.21052259200000006</v>
      </c>
      <c r="K96" s="735">
        <f>E96</f>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250087.81</v>
      </c>
      <c r="G99" s="408">
        <f t="shared" si="23"/>
        <v>250081.48999999993</v>
      </c>
      <c r="H99" s="408">
        <f t="shared" si="23"/>
        <v>0</v>
      </c>
      <c r="I99" s="258">
        <f t="shared" si="21"/>
        <v>-250081.48999999993</v>
      </c>
      <c r="J99" s="575" t="e">
        <f t="shared" si="22"/>
        <v>#DIV/0!</v>
      </c>
      <c r="K99" s="642">
        <f>SUM(K100:K102)</f>
        <v>0</v>
      </c>
    </row>
    <row r="100" spans="1:11" ht="12.75" customHeight="1" x14ac:dyDescent="0.25">
      <c r="A100" s="574" t="s">
        <v>1286</v>
      </c>
      <c r="B100" s="169"/>
      <c r="C100" s="748"/>
      <c r="D100" s="753"/>
      <c r="E100" s="733"/>
      <c r="F100" s="733">
        <v>250087.81</v>
      </c>
      <c r="G100" s="733">
        <v>250081.48999999993</v>
      </c>
      <c r="H100" s="733"/>
      <c r="I100" s="44">
        <f t="shared" si="21"/>
        <v>-250081.48999999993</v>
      </c>
      <c r="J100" s="124" t="e">
        <f t="shared" si="22"/>
        <v>#DIV/0!</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2072572.69</v>
      </c>
      <c r="G117" s="578">
        <f t="shared" si="28"/>
        <v>38828381.150000006</v>
      </c>
      <c r="H117" s="578">
        <f t="shared" si="28"/>
        <v>0</v>
      </c>
      <c r="I117" s="578">
        <f t="shared" si="21"/>
        <v>-38828381.150000006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0</v>
      </c>
      <c r="H118" s="408">
        <f t="shared" si="29"/>
        <v>0</v>
      </c>
      <c r="I118" s="258">
        <f t="shared" si="21"/>
        <v>0</v>
      </c>
      <c r="J118" s="575" t="str">
        <f t="shared" si="22"/>
        <v/>
      </c>
      <c r="K118" s="642">
        <f>SUM(K119:K129)</f>
        <v>0</v>
      </c>
    </row>
    <row r="119" spans="1:11" ht="12.75" customHeight="1" x14ac:dyDescent="0.25">
      <c r="A119" s="574" t="s">
        <v>1299</v>
      </c>
      <c r="B119" s="169"/>
      <c r="C119" s="748"/>
      <c r="D119" s="753">
        <v>3800000</v>
      </c>
      <c r="E119" s="733"/>
      <c r="F119" s="733"/>
      <c r="G119" s="733"/>
      <c r="H119" s="733">
        <f>E119/12*9</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2072572.69</v>
      </c>
      <c r="G130" s="408">
        <f t="shared" si="31"/>
        <v>38828381.150000006</v>
      </c>
      <c r="H130" s="408">
        <f t="shared" si="31"/>
        <v>0</v>
      </c>
      <c r="I130" s="258">
        <f t="shared" si="21"/>
        <v>-38828381.150000006</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2072572.69</v>
      </c>
      <c r="G132" s="733">
        <v>38828381.150000006</v>
      </c>
      <c r="H132" s="733"/>
      <c r="I132" s="44">
        <f t="shared" si="21"/>
        <v>-38828381.150000006</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-16340999.999999994</v>
      </c>
      <c r="I138" s="942">
        <f t="shared" ref="I138:I146" si="34">H138-G138</f>
        <v>-16340999.999999994</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-16340999.999999994</v>
      </c>
      <c r="I140" s="258">
        <f t="shared" si="34"/>
        <v>-16340999.999999994</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E144/12*9</f>
        <v>-16340999.999999994</v>
      </c>
      <c r="I144" s="44">
        <f t="shared" si="34"/>
        <v>-16340999.999999994</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1351525.9</v>
      </c>
      <c r="G148" s="578">
        <f t="shared" si="36"/>
        <v>5358223.7699999996</v>
      </c>
      <c r="H148" s="578">
        <f t="shared" si="36"/>
        <v>3832280.25</v>
      </c>
      <c r="I148" s="578">
        <f>H148-G148</f>
        <v>-1525943.5199999996</v>
      </c>
      <c r="J148" s="324">
        <f>IF(I148=0,"",I148/H148)</f>
        <v>-0.39818161002186608</v>
      </c>
      <c r="K148" s="580">
        <f>SUM(K149)</f>
        <v>5109707</v>
      </c>
    </row>
    <row r="149" spans="1:12" ht="12.75" customHeight="1" x14ac:dyDescent="0.25">
      <c r="A149" s="518" t="s">
        <v>1321</v>
      </c>
      <c r="B149" s="169"/>
      <c r="C149" s="748"/>
      <c r="D149" s="753">
        <v>30489488.019469682</v>
      </c>
      <c r="E149" s="733">
        <v>5109707</v>
      </c>
      <c r="F149" s="733">
        <v>1351525.9</v>
      </c>
      <c r="G149" s="733">
        <v>5358223.7699999996</v>
      </c>
      <c r="H149" s="733">
        <f>E149/12*9</f>
        <v>3832280.25</v>
      </c>
      <c r="I149" s="44">
        <f>H149-G149</f>
        <v>-1525943.5199999996</v>
      </c>
      <c r="J149" s="124">
        <f>IF(I149=0,"",I149/H149)</f>
        <v>-0.39818161002186608</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0</v>
      </c>
      <c r="G151" s="578">
        <f t="shared" si="37"/>
        <v>170000</v>
      </c>
      <c r="H151" s="578">
        <f t="shared" si="37"/>
        <v>5947062</v>
      </c>
      <c r="I151" s="578">
        <f>H151-G151</f>
        <v>5777062</v>
      </c>
      <c r="J151" s="324">
        <f>IF(I151=0,"",I151/H151)</f>
        <v>0.97141445641562174</v>
      </c>
      <c r="K151" s="580">
        <f>SUM(K152)</f>
        <v>7929416</v>
      </c>
    </row>
    <row r="152" spans="1:12" ht="12.75" customHeight="1" x14ac:dyDescent="0.25">
      <c r="A152" s="518" t="s">
        <v>1322</v>
      </c>
      <c r="B152" s="169"/>
      <c r="C152" s="748"/>
      <c r="D152" s="753">
        <v>26221102.404387362</v>
      </c>
      <c r="E152" s="733">
        <v>7929416</v>
      </c>
      <c r="F152" s="733"/>
      <c r="G152" s="733">
        <v>170000</v>
      </c>
      <c r="H152" s="733">
        <f>E152/12*9</f>
        <v>5947062</v>
      </c>
      <c r="I152" s="44">
        <f>H152-G152</f>
        <v>5777062</v>
      </c>
      <c r="J152" s="124">
        <f>IF(I152=0,"",I152/H152)</f>
        <v>0.97141445641562174</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 t="shared" si="38"/>
        <v>2355509.73</v>
      </c>
      <c r="G154" s="578">
        <f t="shared" si="38"/>
        <v>5183680.2300000004</v>
      </c>
      <c r="H154" s="578">
        <f t="shared" si="38"/>
        <v>5566525.5</v>
      </c>
      <c r="I154" s="578">
        <f>H154-G154</f>
        <v>382845.26999999955</v>
      </c>
      <c r="J154" s="324">
        <f>IF(I154=0,"",I154/H154)</f>
        <v>6.8776343519849056E-2</v>
      </c>
      <c r="K154" s="580">
        <f>SUM(K155)</f>
        <v>7422034</v>
      </c>
    </row>
    <row r="155" spans="1:12" ht="12.75" customHeight="1" x14ac:dyDescent="0.25">
      <c r="A155" s="518" t="s">
        <v>1323</v>
      </c>
      <c r="B155" s="169"/>
      <c r="C155" s="748"/>
      <c r="D155" s="753">
        <v>34478166.653423235</v>
      </c>
      <c r="E155" s="733">
        <v>7422034</v>
      </c>
      <c r="F155" s="733">
        <v>2355509.73</v>
      </c>
      <c r="G155" s="733">
        <v>5183680.2300000004</v>
      </c>
      <c r="H155" s="733">
        <f>E155/12*9</f>
        <v>5566525.5</v>
      </c>
      <c r="I155" s="44">
        <f>H155-G155</f>
        <v>382845.26999999955</v>
      </c>
      <c r="J155" s="124">
        <f>IF(I155=0,"",I155/H155)</f>
        <v>6.8776343519849056E-2</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0</v>
      </c>
      <c r="G157" s="578">
        <f t="shared" si="39"/>
        <v>736833.32999995234</v>
      </c>
      <c r="H157" s="578">
        <f t="shared" si="39"/>
        <v>16677624.75</v>
      </c>
      <c r="I157" s="578">
        <f>H157-G157</f>
        <v>15940791.420000048</v>
      </c>
      <c r="J157" s="324">
        <f>IF(I157=0,"",I157/H157)</f>
        <v>0.95581904851289146</v>
      </c>
      <c r="K157" s="580">
        <f>SUM(K158)</f>
        <v>22236833</v>
      </c>
    </row>
    <row r="158" spans="1:12" ht="12.75" customHeight="1" x14ac:dyDescent="0.25">
      <c r="A158" s="518" t="s">
        <v>1324</v>
      </c>
      <c r="B158" s="169"/>
      <c r="C158" s="748"/>
      <c r="D158" s="753"/>
      <c r="E158" s="733">
        <v>22236833</v>
      </c>
      <c r="F158" s="733"/>
      <c r="G158" s="733">
        <v>736833.32999995234</v>
      </c>
      <c r="H158" s="733">
        <f>E158/12*9</f>
        <v>16677624.75</v>
      </c>
      <c r="I158" s="44">
        <f>H158-G158</f>
        <v>15940791.420000048</v>
      </c>
      <c r="J158" s="124">
        <f>IF(I158=0,"",I158/H158)</f>
        <v>0.95581904851289146</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E161/12*8</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20453372.120000001</v>
      </c>
      <c r="G166" s="55">
        <f t="shared" si="42"/>
        <v>215387498.20999995</v>
      </c>
      <c r="H166" s="55">
        <f t="shared" si="42"/>
        <v>17557492.500000007</v>
      </c>
      <c r="I166" s="55">
        <f>H166-G166</f>
        <v>-197830005.70999995</v>
      </c>
      <c r="J166" s="290">
        <f>IF(I166=0,"",I166/H166)</f>
        <v>-11.267554618633604</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41"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"&amp;S71Sb&amp; " - "&amp;Head57</f>
        <v>KZN225 Msunduzi - Supporting Table SC13b Consolidated Monthly Budget Statement - capital expenditure on renewal of existing assets by asset class - Q3 Third Quarter</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5458866.7800000003</v>
      </c>
      <c r="G7" s="102">
        <f t="shared" si="0"/>
        <v>45286788.549999997</v>
      </c>
      <c r="H7" s="102">
        <f t="shared" si="0"/>
        <v>147197978.25</v>
      </c>
      <c r="I7" s="101">
        <f t="shared" ref="I7:I133" si="1">H7-G7</f>
        <v>101911189.7</v>
      </c>
      <c r="J7" s="579">
        <f t="shared" ref="J7:J136" si="2">IF(I7=0,"",I7/H7)</f>
        <v>0.69234096087185903</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3088885.5300000003</v>
      </c>
      <c r="G8" s="608">
        <f t="shared" si="3"/>
        <v>33554895.649999999</v>
      </c>
      <c r="H8" s="608">
        <f t="shared" si="3"/>
        <v>29586973.5</v>
      </c>
      <c r="I8" s="258">
        <f t="shared" si="1"/>
        <v>-3967922.1499999985</v>
      </c>
      <c r="J8" s="575">
        <f t="shared" si="2"/>
        <v>-0.13411044390870186</v>
      </c>
      <c r="K8" s="610">
        <f>SUM(K9:K12)</f>
        <v>39449298</v>
      </c>
    </row>
    <row r="9" spans="1:11" ht="12.75" customHeight="1" x14ac:dyDescent="0.25">
      <c r="A9" s="574" t="s">
        <v>168</v>
      </c>
      <c r="B9" s="169"/>
      <c r="C9" s="748"/>
      <c r="D9" s="745">
        <v>5914548.2937818393</v>
      </c>
      <c r="E9" s="733">
        <v>39449298</v>
      </c>
      <c r="F9" s="733">
        <v>3088885.5300000003</v>
      </c>
      <c r="G9" s="733">
        <v>33554895.649999999</v>
      </c>
      <c r="H9" s="733">
        <f>E9/12*9</f>
        <v>29586973.5</v>
      </c>
      <c r="I9" s="258">
        <f t="shared" si="1"/>
        <v>-3967922.1499999985</v>
      </c>
      <c r="J9" s="575">
        <f t="shared" si="2"/>
        <v>-0.13411044390870186</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7750747.5</v>
      </c>
      <c r="I17" s="258">
        <f t="shared" si="1"/>
        <v>7750747.5</v>
      </c>
      <c r="J17" s="575">
        <f t="shared" si="2"/>
        <v>1</v>
      </c>
      <c r="K17" s="642">
        <f>SUM(K18:K26)</f>
        <v>10334330</v>
      </c>
    </row>
    <row r="18" spans="1:11" ht="12.75" customHeight="1" x14ac:dyDescent="0.25">
      <c r="A18" s="574" t="s">
        <v>1225</v>
      </c>
      <c r="B18" s="169"/>
      <c r="C18" s="748"/>
      <c r="D18" s="745"/>
      <c r="E18" s="733">
        <v>10334330</v>
      </c>
      <c r="F18" s="733"/>
      <c r="G18" s="733"/>
      <c r="H18" s="733">
        <f>E18/12*9</f>
        <v>7750747.5</v>
      </c>
      <c r="I18" s="258">
        <f t="shared" si="1"/>
        <v>7750747.5</v>
      </c>
      <c r="J18" s="575">
        <f t="shared" si="2"/>
        <v>1</v>
      </c>
      <c r="K18" s="735">
        <f>E18</f>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119445.04</v>
      </c>
      <c r="G27" s="408">
        <f t="shared" si="6"/>
        <v>125883.62999999999</v>
      </c>
      <c r="H27" s="408">
        <f t="shared" si="6"/>
        <v>51495297.75</v>
      </c>
      <c r="I27" s="258">
        <f t="shared" si="1"/>
        <v>51369414.119999997</v>
      </c>
      <c r="J27" s="575">
        <f t="shared" si="2"/>
        <v>0.99755543446682948</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v>119445.04</v>
      </c>
      <c r="G30" s="733">
        <v>125883.62999999999</v>
      </c>
      <c r="H30" s="733">
        <f>E30/12*9</f>
        <v>51495297.75</v>
      </c>
      <c r="I30" s="258">
        <f t="shared" si="1"/>
        <v>51369414.119999997</v>
      </c>
      <c r="J30" s="575">
        <f t="shared" si="2"/>
        <v>0.99755543446682948</v>
      </c>
      <c r="K30" s="735">
        <f>E30</f>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2250536.21</v>
      </c>
      <c r="G38" s="408">
        <f t="shared" si="7"/>
        <v>11606009.269999998</v>
      </c>
      <c r="H38" s="408">
        <f t="shared" si="7"/>
        <v>24540000</v>
      </c>
      <c r="I38" s="258">
        <f t="shared" si="1"/>
        <v>12933990.730000002</v>
      </c>
      <c r="J38" s="575">
        <f t="shared" si="2"/>
        <v>0.52705748696006527</v>
      </c>
      <c r="K38" s="642">
        <f>SUM(K39:K44)</f>
        <v>32720000</v>
      </c>
    </row>
    <row r="39" spans="1:11" ht="12.75" customHeight="1" x14ac:dyDescent="0.25">
      <c r="A39" s="574" t="s">
        <v>1244</v>
      </c>
      <c r="B39" s="169"/>
      <c r="C39" s="748"/>
      <c r="D39" s="745"/>
      <c r="E39" s="733"/>
      <c r="F39" s="733"/>
      <c r="G39" s="733">
        <v>523296.39999999997</v>
      </c>
      <c r="H39" s="733"/>
      <c r="I39" s="258">
        <f t="shared" si="1"/>
        <v>-523296.39999999997</v>
      </c>
      <c r="J39" s="575" t="e">
        <f t="shared" si="2"/>
        <v>#DIV/0!</v>
      </c>
      <c r="K39" s="735"/>
    </row>
    <row r="40" spans="1:11" ht="12.75" customHeight="1" x14ac:dyDescent="0.25">
      <c r="A40" s="574" t="s">
        <v>135</v>
      </c>
      <c r="B40" s="169"/>
      <c r="C40" s="748"/>
      <c r="D40" s="745"/>
      <c r="E40" s="733">
        <v>30000000</v>
      </c>
      <c r="F40" s="733"/>
      <c r="G40" s="733"/>
      <c r="H40" s="733">
        <f t="shared" ref="H40:H41" si="8">E40/12*9</f>
        <v>22500000</v>
      </c>
      <c r="I40" s="258">
        <f t="shared" si="1"/>
        <v>22500000</v>
      </c>
      <c r="J40" s="575">
        <f t="shared" si="2"/>
        <v>1</v>
      </c>
      <c r="K40" s="735">
        <f t="shared" ref="K40:K41" si="9">E40</f>
        <v>30000000</v>
      </c>
    </row>
    <row r="41" spans="1:11" ht="12.75" customHeight="1" x14ac:dyDescent="0.25">
      <c r="A41" s="574" t="s">
        <v>1245</v>
      </c>
      <c r="B41" s="169"/>
      <c r="C41" s="748"/>
      <c r="D41" s="745"/>
      <c r="E41" s="733">
        <v>2720000</v>
      </c>
      <c r="F41" s="733"/>
      <c r="G41" s="733"/>
      <c r="H41" s="733">
        <f t="shared" si="8"/>
        <v>2040000</v>
      </c>
      <c r="I41" s="258">
        <f t="shared" si="1"/>
        <v>2040000</v>
      </c>
      <c r="J41" s="575">
        <f t="shared" si="2"/>
        <v>1</v>
      </c>
      <c r="K41" s="735">
        <f t="shared" si="9"/>
        <v>2720000</v>
      </c>
    </row>
    <row r="42" spans="1:11" ht="12.75" customHeight="1" x14ac:dyDescent="0.25">
      <c r="A42" s="574" t="s">
        <v>1246</v>
      </c>
      <c r="B42" s="169"/>
      <c r="C42" s="748"/>
      <c r="D42" s="745"/>
      <c r="E42" s="733"/>
      <c r="F42" s="733">
        <v>2250536.21</v>
      </c>
      <c r="G42" s="733">
        <v>11082712.869999997</v>
      </c>
      <c r="H42" s="733"/>
      <c r="I42" s="258">
        <f t="shared" si="1"/>
        <v>-11082712.869999997</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1556460.0773110106</v>
      </c>
      <c r="E45" s="408">
        <f t="shared" si="10"/>
        <v>45099946</v>
      </c>
      <c r="F45" s="408">
        <f t="shared" si="10"/>
        <v>0</v>
      </c>
      <c r="G45" s="408">
        <f t="shared" si="10"/>
        <v>0</v>
      </c>
      <c r="H45" s="408">
        <f t="shared" si="10"/>
        <v>33824959.5</v>
      </c>
      <c r="I45" s="258">
        <f t="shared" si="1"/>
        <v>33824959.5</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E46/12*9</f>
        <v>33824959.5</v>
      </c>
      <c r="I46" s="258">
        <f t="shared" si="1"/>
        <v>33824959.5</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0</v>
      </c>
      <c r="G53" s="408">
        <f t="shared" si="11"/>
        <v>0</v>
      </c>
      <c r="H53" s="408">
        <f t="shared" si="11"/>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0</v>
      </c>
      <c r="E75" s="578">
        <f t="shared" si="14"/>
        <v>12300000</v>
      </c>
      <c r="F75" s="578">
        <f t="shared" si="14"/>
        <v>0</v>
      </c>
      <c r="G75" s="578">
        <f t="shared" si="14"/>
        <v>8952126.6500000004</v>
      </c>
      <c r="H75" s="578">
        <f t="shared" si="14"/>
        <v>9225000</v>
      </c>
      <c r="I75" s="578">
        <f t="shared" si="1"/>
        <v>272873.34999999963</v>
      </c>
      <c r="J75" s="579">
        <f t="shared" si="2"/>
        <v>2.9579766937669335E-2</v>
      </c>
      <c r="K75" s="580">
        <f>+K76+K99</f>
        <v>12300000</v>
      </c>
    </row>
    <row r="76" spans="1:11" ht="12.75" customHeight="1" x14ac:dyDescent="0.25">
      <c r="A76" s="518" t="s">
        <v>1268</v>
      </c>
      <c r="B76" s="169"/>
      <c r="C76" s="648">
        <f t="shared" ref="C76:H76" si="15">SUM(C77:C98)</f>
        <v>0</v>
      </c>
      <c r="D76" s="649">
        <f t="shared" si="15"/>
        <v>0</v>
      </c>
      <c r="E76" s="408">
        <f t="shared" si="15"/>
        <v>12300000</v>
      </c>
      <c r="F76" s="408">
        <f t="shared" si="15"/>
        <v>0</v>
      </c>
      <c r="G76" s="408">
        <f t="shared" si="15"/>
        <v>8952126.6500000004</v>
      </c>
      <c r="H76" s="408">
        <f t="shared" si="15"/>
        <v>9225000</v>
      </c>
      <c r="I76" s="258">
        <f t="shared" si="1"/>
        <v>272873.34999999963</v>
      </c>
      <c r="J76" s="575">
        <f t="shared" si="2"/>
        <v>2.9579766937669335E-2</v>
      </c>
      <c r="K76" s="642">
        <f>SUM(K77:K98)</f>
        <v>12300000</v>
      </c>
    </row>
    <row r="77" spans="1:11" ht="12.75" customHeight="1" x14ac:dyDescent="0.25">
      <c r="A77" s="574" t="s">
        <v>1269</v>
      </c>
      <c r="B77" s="169"/>
      <c r="C77" s="748"/>
      <c r="D77" s="753"/>
      <c r="E77" s="733">
        <v>12300000</v>
      </c>
      <c r="F77" s="733"/>
      <c r="G77" s="733">
        <v>7773956.7000000002</v>
      </c>
      <c r="H77" s="733">
        <f>E77/12*9</f>
        <v>9225000</v>
      </c>
      <c r="I77" s="44">
        <f t="shared" si="1"/>
        <v>1451043.2999999998</v>
      </c>
      <c r="J77" s="124">
        <f t="shared" si="2"/>
        <v>0.15729466666666664</v>
      </c>
      <c r="K77" s="735">
        <f>E77</f>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0</v>
      </c>
      <c r="E99" s="408">
        <f t="shared" si="16"/>
        <v>0</v>
      </c>
      <c r="F99" s="408">
        <f t="shared" si="16"/>
        <v>0</v>
      </c>
      <c r="G99" s="408">
        <f t="shared" si="16"/>
        <v>0</v>
      </c>
      <c r="H99" s="408">
        <f t="shared" si="16"/>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7">SUM(C104:C108)</f>
        <v>0</v>
      </c>
      <c r="D103" s="264">
        <f t="shared" si="17"/>
        <v>0</v>
      </c>
      <c r="E103" s="99">
        <f t="shared" si="17"/>
        <v>4450000</v>
      </c>
      <c r="F103" s="99">
        <f t="shared" si="17"/>
        <v>0</v>
      </c>
      <c r="G103" s="99">
        <f t="shared" si="17"/>
        <v>0</v>
      </c>
      <c r="H103" s="99">
        <f t="shared" si="17"/>
        <v>3337500</v>
      </c>
      <c r="I103" s="99">
        <f t="shared" si="1"/>
        <v>3337500</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f>E108/12*9</f>
        <v>3337500</v>
      </c>
      <c r="I108" s="44">
        <f t="shared" si="1"/>
        <v>3337500</v>
      </c>
      <c r="J108" s="124">
        <f t="shared" si="2"/>
        <v>1</v>
      </c>
      <c r="K108" s="735">
        <f>E108</f>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5">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1">+C118+C130</f>
        <v>0</v>
      </c>
      <c r="D117" s="577">
        <f t="shared" si="21"/>
        <v>0</v>
      </c>
      <c r="E117" s="578">
        <f t="shared" si="21"/>
        <v>28589166.780000001</v>
      </c>
      <c r="F117" s="578">
        <f t="shared" si="21"/>
        <v>0</v>
      </c>
      <c r="G117" s="578">
        <f t="shared" si="21"/>
        <v>0</v>
      </c>
      <c r="H117" s="578">
        <f t="shared" si="21"/>
        <v>21441875.085000001</v>
      </c>
      <c r="I117" s="578">
        <f t="shared" si="1"/>
        <v>21441875.085000001</v>
      </c>
      <c r="J117" s="579">
        <f t="shared" si="2"/>
        <v>1</v>
      </c>
      <c r="K117" s="580">
        <f>+K118+K130</f>
        <v>28589166.780000001</v>
      </c>
    </row>
    <row r="118" spans="1:11" ht="12.75" customHeight="1" x14ac:dyDescent="0.25">
      <c r="A118" s="518" t="s">
        <v>1298</v>
      </c>
      <c r="B118" s="169"/>
      <c r="C118" s="648">
        <f t="shared" ref="C118:H118" si="22">SUM(C119:C129)</f>
        <v>0</v>
      </c>
      <c r="D118" s="649">
        <f t="shared" si="22"/>
        <v>0</v>
      </c>
      <c r="E118" s="408">
        <f t="shared" si="22"/>
        <v>0</v>
      </c>
      <c r="F118" s="408">
        <f t="shared" si="22"/>
        <v>0</v>
      </c>
      <c r="G118" s="408">
        <f t="shared" si="22"/>
        <v>0</v>
      </c>
      <c r="H118" s="408">
        <f t="shared" si="22"/>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3">SUM(C131:C133)</f>
        <v>0</v>
      </c>
      <c r="D130" s="649">
        <f t="shared" si="23"/>
        <v>0</v>
      </c>
      <c r="E130" s="408">
        <f t="shared" si="23"/>
        <v>28589166.780000001</v>
      </c>
      <c r="F130" s="408">
        <f t="shared" si="23"/>
        <v>0</v>
      </c>
      <c r="G130" s="408">
        <f t="shared" si="23"/>
        <v>0</v>
      </c>
      <c r="H130" s="408">
        <f t="shared" si="23"/>
        <v>21441875.085000001</v>
      </c>
      <c r="I130" s="258">
        <f t="shared" si="1"/>
        <v>21441875.085000001</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E132/12*9</f>
        <v>21441875.085000001</v>
      </c>
      <c r="I132" s="44">
        <f t="shared" si="1"/>
        <v>21441875.085000001</v>
      </c>
      <c r="J132" s="124">
        <f t="shared" si="2"/>
        <v>1</v>
      </c>
      <c r="K132" s="735">
        <f>E132</f>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5">IF(I137=0,"",I137/H137)</f>
        <v/>
      </c>
      <c r="K137" s="144"/>
    </row>
    <row r="138" spans="1:11" s="100" customFormat="1" ht="12.75" customHeight="1" x14ac:dyDescent="0.25">
      <c r="A138" s="549" t="s">
        <v>1312</v>
      </c>
      <c r="B138" s="171"/>
      <c r="C138" s="940">
        <f t="shared" ref="C138:H138" si="26">SUM(C139:C140)</f>
        <v>0</v>
      </c>
      <c r="D138" s="941">
        <f t="shared" si="26"/>
        <v>0</v>
      </c>
      <c r="E138" s="942">
        <f t="shared" si="26"/>
        <v>3250000</v>
      </c>
      <c r="F138" s="942">
        <f t="shared" si="26"/>
        <v>0</v>
      </c>
      <c r="G138" s="942">
        <f t="shared" si="26"/>
        <v>0</v>
      </c>
      <c r="H138" s="942">
        <f t="shared" si="26"/>
        <v>2437500</v>
      </c>
      <c r="I138" s="942">
        <f t="shared" ref="I138:I146" si="27">H138-G138</f>
        <v>2437500</v>
      </c>
      <c r="J138" s="324">
        <f t="shared" si="25"/>
        <v>1</v>
      </c>
      <c r="K138" s="943">
        <f>SUM(K139:K140)</f>
        <v>3250000</v>
      </c>
    </row>
    <row r="139" spans="1:11" ht="12.75" customHeight="1" x14ac:dyDescent="0.25">
      <c r="A139" s="517" t="s">
        <v>1313</v>
      </c>
      <c r="B139" s="169"/>
      <c r="C139" s="748"/>
      <c r="D139" s="753"/>
      <c r="E139" s="733"/>
      <c r="F139" s="733"/>
      <c r="G139" s="733"/>
      <c r="H139" s="733"/>
      <c r="I139" s="44">
        <f t="shared" si="27"/>
        <v>0</v>
      </c>
      <c r="J139" s="124" t="str">
        <f t="shared" si="25"/>
        <v/>
      </c>
      <c r="K139" s="735"/>
    </row>
    <row r="140" spans="1:11" ht="12.75" customHeight="1" x14ac:dyDescent="0.25">
      <c r="A140" s="517" t="s">
        <v>1314</v>
      </c>
      <c r="B140" s="169"/>
      <c r="C140" s="648">
        <f t="shared" ref="C140:H140" si="28">SUM(C141:C146)</f>
        <v>0</v>
      </c>
      <c r="D140" s="649">
        <f t="shared" si="28"/>
        <v>0</v>
      </c>
      <c r="E140" s="408">
        <f t="shared" si="28"/>
        <v>3250000</v>
      </c>
      <c r="F140" s="408">
        <f t="shared" si="28"/>
        <v>0</v>
      </c>
      <c r="G140" s="408">
        <f t="shared" si="28"/>
        <v>0</v>
      </c>
      <c r="H140" s="408">
        <f t="shared" si="28"/>
        <v>2437500</v>
      </c>
      <c r="I140" s="258">
        <f t="shared" si="27"/>
        <v>2437500</v>
      </c>
      <c r="J140" s="575">
        <f t="shared" si="25"/>
        <v>1</v>
      </c>
      <c r="K140" s="642">
        <f>SUM(K141:K146)</f>
        <v>3250000</v>
      </c>
    </row>
    <row r="141" spans="1:11" ht="12.75" customHeight="1" x14ac:dyDescent="0.25">
      <c r="A141" s="574" t="s">
        <v>1315</v>
      </c>
      <c r="B141" s="169"/>
      <c r="C141" s="748"/>
      <c r="D141" s="753"/>
      <c r="E141" s="733"/>
      <c r="F141" s="733"/>
      <c r="G141" s="733"/>
      <c r="H141" s="733"/>
      <c r="I141" s="44">
        <f t="shared" si="27"/>
        <v>0</v>
      </c>
      <c r="J141" s="124" t="str">
        <f t="shared" si="25"/>
        <v/>
      </c>
      <c r="K141" s="735"/>
    </row>
    <row r="142" spans="1:11" ht="12.75" customHeight="1" x14ac:dyDescent="0.25">
      <c r="A142" s="574" t="s">
        <v>1316</v>
      </c>
      <c r="B142" s="169"/>
      <c r="C142" s="748"/>
      <c r="D142" s="753"/>
      <c r="E142" s="733"/>
      <c r="F142" s="733"/>
      <c r="G142" s="733"/>
      <c r="H142" s="733"/>
      <c r="I142" s="44">
        <f t="shared" si="27"/>
        <v>0</v>
      </c>
      <c r="J142" s="124" t="str">
        <f t="shared" si="25"/>
        <v/>
      </c>
      <c r="K142" s="735"/>
    </row>
    <row r="143" spans="1:11" ht="12.75" customHeight="1" x14ac:dyDescent="0.25">
      <c r="A143" s="574" t="s">
        <v>1317</v>
      </c>
      <c r="B143" s="169"/>
      <c r="C143" s="748"/>
      <c r="D143" s="753"/>
      <c r="E143" s="733"/>
      <c r="F143" s="733"/>
      <c r="G143" s="733"/>
      <c r="H143" s="733"/>
      <c r="I143" s="44">
        <f t="shared" si="27"/>
        <v>0</v>
      </c>
      <c r="J143" s="124" t="str">
        <f t="shared" si="25"/>
        <v/>
      </c>
      <c r="K143" s="735"/>
    </row>
    <row r="144" spans="1:11" ht="12.75" customHeight="1" x14ac:dyDescent="0.25">
      <c r="A144" s="574" t="s">
        <v>1318</v>
      </c>
      <c r="B144" s="169"/>
      <c r="C144" s="748"/>
      <c r="D144" s="753"/>
      <c r="E144" s="733">
        <v>3250000</v>
      </c>
      <c r="F144" s="733"/>
      <c r="G144" s="733"/>
      <c r="H144" s="733">
        <f>E144/12*9</f>
        <v>2437500</v>
      </c>
      <c r="I144" s="44">
        <f t="shared" si="27"/>
        <v>2437500</v>
      </c>
      <c r="J144" s="124">
        <f t="shared" si="25"/>
        <v>1</v>
      </c>
      <c r="K144" s="735">
        <f>E144</f>
        <v>3250000</v>
      </c>
    </row>
    <row r="145" spans="1:12" ht="12.75" customHeight="1" x14ac:dyDescent="0.25">
      <c r="A145" s="574" t="s">
        <v>1319</v>
      </c>
      <c r="B145" s="169"/>
      <c r="C145" s="748"/>
      <c r="D145" s="753"/>
      <c r="E145" s="733"/>
      <c r="F145" s="733"/>
      <c r="G145" s="733"/>
      <c r="H145" s="733"/>
      <c r="I145" s="44">
        <f t="shared" si="27"/>
        <v>0</v>
      </c>
      <c r="J145" s="124" t="str">
        <f t="shared" si="25"/>
        <v/>
      </c>
      <c r="K145" s="735"/>
    </row>
    <row r="146" spans="1:12" ht="12.75" customHeight="1" x14ac:dyDescent="0.25">
      <c r="A146" s="574" t="s">
        <v>1320</v>
      </c>
      <c r="B146" s="169"/>
      <c r="C146" s="748"/>
      <c r="D146" s="753"/>
      <c r="E146" s="733"/>
      <c r="F146" s="733"/>
      <c r="G146" s="733"/>
      <c r="H146" s="733"/>
      <c r="I146" s="44">
        <f t="shared" si="27"/>
        <v>0</v>
      </c>
      <c r="J146" s="124" t="str">
        <f t="shared" si="25"/>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9">SUM(C149:C149)</f>
        <v>0</v>
      </c>
      <c r="D148" s="577">
        <f t="shared" si="29"/>
        <v>0</v>
      </c>
      <c r="E148" s="578">
        <f t="shared" si="29"/>
        <v>0</v>
      </c>
      <c r="F148" s="578">
        <f t="shared" si="29"/>
        <v>0</v>
      </c>
      <c r="G148" s="578">
        <f t="shared" si="29"/>
        <v>0</v>
      </c>
      <c r="H148" s="578">
        <f t="shared" si="29"/>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0">SUM(C152:C152)</f>
        <v>0</v>
      </c>
      <c r="D151" s="577">
        <f t="shared" si="30"/>
        <v>389115.01932775264</v>
      </c>
      <c r="E151" s="578">
        <f t="shared" si="30"/>
        <v>389115.01932775264</v>
      </c>
      <c r="F151" s="578">
        <f t="shared" si="30"/>
        <v>0</v>
      </c>
      <c r="G151" s="578">
        <f t="shared" si="30"/>
        <v>0</v>
      </c>
      <c r="H151" s="578">
        <f t="shared" si="30"/>
        <v>291836.26449581445</v>
      </c>
      <c r="I151" s="578">
        <f>H151-G151</f>
        <v>291836.26449581445</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E152/12*9</f>
        <v>291836.26449581445</v>
      </c>
      <c r="I152" s="44">
        <f>H152-G152</f>
        <v>291836.26449581445</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1">SUM(C155:C155)</f>
        <v>0</v>
      </c>
      <c r="D154" s="577">
        <f t="shared" si="31"/>
        <v>7339876.6095793974</v>
      </c>
      <c r="E154" s="578">
        <f t="shared" si="31"/>
        <v>4365000</v>
      </c>
      <c r="F154" s="578">
        <f t="shared" si="31"/>
        <v>0</v>
      </c>
      <c r="G154" s="578">
        <f t="shared" si="31"/>
        <v>0</v>
      </c>
      <c r="H154" s="578">
        <f t="shared" si="31"/>
        <v>3273750</v>
      </c>
      <c r="I154" s="578">
        <f>H154-G154</f>
        <v>3273750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E155/12*9</f>
        <v>3273750</v>
      </c>
      <c r="I155" s="44">
        <f>H155-G155</f>
        <v>3273750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2">SUM(C158:C158)</f>
        <v>0</v>
      </c>
      <c r="D157" s="577">
        <f t="shared" si="32"/>
        <v>0</v>
      </c>
      <c r="E157" s="578">
        <f t="shared" si="32"/>
        <v>10180000</v>
      </c>
      <c r="F157" s="578">
        <f t="shared" si="32"/>
        <v>0</v>
      </c>
      <c r="G157" s="578">
        <f t="shared" si="32"/>
        <v>0</v>
      </c>
      <c r="H157" s="578">
        <f t="shared" si="32"/>
        <v>7635000</v>
      </c>
      <c r="I157" s="578">
        <f>H157-G157</f>
        <v>7635000</v>
      </c>
      <c r="J157" s="324">
        <f>IF(I157=0,"",I157/H157)</f>
        <v>1</v>
      </c>
      <c r="K157" s="580">
        <f>SUM(K158)</f>
        <v>10180000</v>
      </c>
    </row>
    <row r="158" spans="1:12" ht="12.75" customHeight="1" x14ac:dyDescent="0.25">
      <c r="A158" s="518" t="s">
        <v>1324</v>
      </c>
      <c r="B158" s="169"/>
      <c r="C158" s="748"/>
      <c r="D158" s="753"/>
      <c r="E158" s="733">
        <v>10180000</v>
      </c>
      <c r="F158" s="733"/>
      <c r="G158" s="733"/>
      <c r="H158" s="733">
        <f>E158/12*9</f>
        <v>7635000</v>
      </c>
      <c r="I158" s="44">
        <f>H158-G158</f>
        <v>7635000</v>
      </c>
      <c r="J158" s="124">
        <f>IF(I158=0,"",I158/H158)</f>
        <v>1</v>
      </c>
      <c r="K158" s="735">
        <f>E158</f>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3">SUM(C161:C161)</f>
        <v>0</v>
      </c>
      <c r="D160" s="577">
        <f t="shared" si="33"/>
        <v>0</v>
      </c>
      <c r="E160" s="578">
        <f t="shared" si="33"/>
        <v>0</v>
      </c>
      <c r="F160" s="578">
        <f t="shared" si="33"/>
        <v>0</v>
      </c>
      <c r="G160" s="578">
        <f t="shared" si="33"/>
        <v>0</v>
      </c>
      <c r="H160" s="578">
        <f t="shared" si="33"/>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4">SUM(C164:C164)</f>
        <v>0</v>
      </c>
      <c r="D163" s="577">
        <f t="shared" si="34"/>
        <v>0</v>
      </c>
      <c r="E163" s="578">
        <f t="shared" si="34"/>
        <v>0</v>
      </c>
      <c r="F163" s="578">
        <f t="shared" si="34"/>
        <v>0</v>
      </c>
      <c r="G163" s="578">
        <f t="shared" si="34"/>
        <v>0</v>
      </c>
      <c r="H163" s="578">
        <f t="shared" si="34"/>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5">C7+C75+C103+C110+C117+C135+C138+C148+C151+C154+C157+C160+C163</f>
        <v>0</v>
      </c>
      <c r="D166" s="271">
        <f t="shared" si="35"/>
        <v>15200000</v>
      </c>
      <c r="E166" s="55">
        <f t="shared" si="35"/>
        <v>259787252.79932776</v>
      </c>
      <c r="F166" s="55">
        <f t="shared" si="35"/>
        <v>5458866.7800000003</v>
      </c>
      <c r="G166" s="55">
        <f t="shared" si="35"/>
        <v>54238915.199999996</v>
      </c>
      <c r="H166" s="55">
        <f t="shared" si="35"/>
        <v>194840439.59949583</v>
      </c>
      <c r="I166" s="55">
        <f>H166-G166</f>
        <v>140601524.39949584</v>
      </c>
      <c r="J166" s="290">
        <f>IF(I166=0,"",I166/H166)</f>
        <v>0.72162393335033137</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34"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"&amp;S71Sc&amp; " - "&amp;Head57</f>
        <v>KZN225 Msunduzi - Supporting Table SC13c Consolidated Monthly Budget Statement - expenditure on repairs and maintenance by asset class - Q3 Third Quarter</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5601357.3200000003</v>
      </c>
      <c r="G7" s="102">
        <f t="shared" si="0"/>
        <v>45480955.790000007</v>
      </c>
      <c r="H7" s="102">
        <f t="shared" si="0"/>
        <v>137106816.1421994</v>
      </c>
      <c r="I7" s="101">
        <f t="shared" ref="I7:I166" si="1">H7-G7</f>
        <v>91625860.352199391</v>
      </c>
      <c r="J7" s="579">
        <f t="shared" ref="J7:J166" si="2">IF(I7=0,"",I7/H7)</f>
        <v>0.6682808552506263</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50533062.489638597</v>
      </c>
      <c r="I8" s="258">
        <f t="shared" si="1"/>
        <v>50533062.489638597</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E9/12*9</f>
        <v>50533062.489638597</v>
      </c>
      <c r="I9" s="258">
        <f t="shared" si="1"/>
        <v>50533062.489638597</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5601357.3200000003</v>
      </c>
      <c r="G17" s="408">
        <f t="shared" si="5"/>
        <v>45480955.790000007</v>
      </c>
      <c r="H17" s="408">
        <f t="shared" si="5"/>
        <v>54276346.239146627</v>
      </c>
      <c r="I17" s="258">
        <f t="shared" si="1"/>
        <v>8795390.4491466209</v>
      </c>
      <c r="J17" s="575">
        <f t="shared" si="2"/>
        <v>0.16204831493986926</v>
      </c>
      <c r="K17" s="642">
        <f>SUM(K18:K26)</f>
        <v>72368461.652195498</v>
      </c>
    </row>
    <row r="18" spans="1:11" ht="12.75" customHeight="1" x14ac:dyDescent="0.25">
      <c r="A18" s="574" t="s">
        <v>1225</v>
      </c>
      <c r="B18" s="169"/>
      <c r="C18" s="748"/>
      <c r="D18" s="745">
        <v>72368461.652195498</v>
      </c>
      <c r="E18" s="733">
        <v>72368461.652195498</v>
      </c>
      <c r="F18" s="733"/>
      <c r="G18" s="733"/>
      <c r="H18" s="733">
        <f>E18/12*9</f>
        <v>54276346.239146627</v>
      </c>
      <c r="I18" s="258">
        <f t="shared" si="1"/>
        <v>54276346.239146627</v>
      </c>
      <c r="J18" s="575">
        <f t="shared" si="2"/>
        <v>1</v>
      </c>
      <c r="K18" s="735">
        <f>E18</f>
        <v>72368461.652195498</v>
      </c>
    </row>
    <row r="19" spans="1:11" ht="12.75" customHeight="1" x14ac:dyDescent="0.25">
      <c r="A19" s="574" t="s">
        <v>1226</v>
      </c>
      <c r="B19" s="169"/>
      <c r="C19" s="748"/>
      <c r="D19" s="745"/>
      <c r="E19" s="733"/>
      <c r="F19" s="733">
        <v>3225324.93</v>
      </c>
      <c r="G19" s="733">
        <v>12537270.150000002</v>
      </c>
      <c r="H19" s="733"/>
      <c r="I19" s="258">
        <f t="shared" si="1"/>
        <v>-12537270.150000002</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10316.89</v>
      </c>
      <c r="G22" s="733">
        <v>1005651.6700000002</v>
      </c>
      <c r="H22" s="733"/>
      <c r="I22" s="258">
        <f t="shared" si="1"/>
        <v>-1005651.6700000002</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2365715.5</v>
      </c>
      <c r="G25" s="733">
        <v>31938033.970000003</v>
      </c>
      <c r="H25" s="733"/>
      <c r="I25" s="258">
        <f t="shared" si="1"/>
        <v>-31938033.970000003</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16612226.105166685</v>
      </c>
      <c r="I27" s="258">
        <f t="shared" si="1"/>
        <v>16612226.105166685</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E34/12*9</f>
        <v>16612226.105166685</v>
      </c>
      <c r="I34" s="258">
        <f t="shared" si="1"/>
        <v>16612226.105166685</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6581544.9472542554</v>
      </c>
      <c r="I38" s="258">
        <f t="shared" si="1"/>
        <v>6581544.9472542554</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E41/12*9</f>
        <v>6581544.9472542554</v>
      </c>
      <c r="I41" s="258">
        <f t="shared" si="1"/>
        <v>6581544.9472542554</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9103636.3609932475</v>
      </c>
      <c r="I45" s="258">
        <f t="shared" si="1"/>
        <v>9103636.3609932475</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E46/12*9</f>
        <v>9103636.3609932475</v>
      </c>
      <c r="I46" s="258">
        <f t="shared" si="1"/>
        <v>9103636.3609932475</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17634541.011641257</v>
      </c>
      <c r="I75" s="578">
        <f t="shared" si="1"/>
        <v>17634541.011641257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17634541.011641257</v>
      </c>
      <c r="I76" s="258">
        <f t="shared" si="1"/>
        <v>17634541.011641257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E77/12*9</f>
        <v>695630.93607082684</v>
      </c>
      <c r="I77" s="44">
        <f t="shared" si="1"/>
        <v>695630.93607082684</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E80/12*9</f>
        <v>346728.05444834719</v>
      </c>
      <c r="I80" s="44">
        <f t="shared" si="1"/>
        <v>346728.05444834719</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E86/12*9</f>
        <v>658297.83560735709</v>
      </c>
      <c r="I86" s="44">
        <f t="shared" si="1"/>
        <v>658297.83560735709</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E88/12*9</f>
        <v>2857838.9549005516</v>
      </c>
      <c r="I88" s="44">
        <f t="shared" si="1"/>
        <v>2857838.9549005516</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E90/12*9</f>
        <v>9418659.6473586131</v>
      </c>
      <c r="I90" s="44">
        <f t="shared" si="1"/>
        <v>9418659.6473586131</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E93/12*9</f>
        <v>3657385.5832555629</v>
      </c>
      <c r="I93" s="44">
        <f t="shared" si="1"/>
        <v>3657385.5832555629</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20236503.598062307</v>
      </c>
      <c r="I103" s="99">
        <f t="shared" si="1"/>
        <v>20236503.598062307</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E105/12*9</f>
        <v>20236503.598062307</v>
      </c>
      <c r="I105" s="44">
        <f t="shared" si="1"/>
        <v>20236503.598062307</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3021988.47</v>
      </c>
      <c r="G117" s="578">
        <f t="shared" si="19"/>
        <v>7221260.8100000015</v>
      </c>
      <c r="H117" s="578">
        <f t="shared" si="19"/>
        <v>0</v>
      </c>
      <c r="I117" s="578">
        <f t="shared" si="1"/>
        <v>-7221260.8100000015</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3021988.47</v>
      </c>
      <c r="G118" s="408">
        <f t="shared" si="20"/>
        <v>7221260.8100000015</v>
      </c>
      <c r="H118" s="408">
        <f t="shared" si="20"/>
        <v>0</v>
      </c>
      <c r="I118" s="258">
        <f t="shared" si="1"/>
        <v>-7221260.8100000015</v>
      </c>
      <c r="J118" s="575" t="e">
        <f t="shared" si="2"/>
        <v>#DIV/0!</v>
      </c>
      <c r="K118" s="642">
        <f>SUM(K119:K129)</f>
        <v>0</v>
      </c>
    </row>
    <row r="119" spans="1:11" ht="12.75" customHeight="1" x14ac:dyDescent="0.25">
      <c r="A119" s="574" t="s">
        <v>1299</v>
      </c>
      <c r="B119" s="169"/>
      <c r="C119" s="748"/>
      <c r="D119" s="753"/>
      <c r="E119" s="733"/>
      <c r="F119" s="733">
        <v>3021988.47</v>
      </c>
      <c r="G119" s="733">
        <v>7221260.8100000015</v>
      </c>
      <c r="H119" s="733"/>
      <c r="I119" s="44">
        <f t="shared" si="1"/>
        <v>-7221260.8100000015</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4615172.7799999993</v>
      </c>
      <c r="G154" s="578">
        <f t="shared" si="29"/>
        <v>13105460.210000001</v>
      </c>
      <c r="H154" s="578">
        <f t="shared" si="29"/>
        <v>0</v>
      </c>
      <c r="I154" s="578">
        <f>H154-G154</f>
        <v>-13105460.210000001</v>
      </c>
      <c r="J154" s="324" t="e">
        <f>IF(I154=0,"",I154/H154)</f>
        <v>#DIV/0!</v>
      </c>
      <c r="K154" s="580">
        <f>SUM(K155)</f>
        <v>0</v>
      </c>
    </row>
    <row r="155" spans="1:12" ht="12.75" customHeight="1" x14ac:dyDescent="0.25">
      <c r="A155" s="518" t="s">
        <v>1323</v>
      </c>
      <c r="B155" s="169"/>
      <c r="C155" s="748"/>
      <c r="D155" s="753"/>
      <c r="E155" s="733"/>
      <c r="F155" s="733">
        <v>4615172.7799999993</v>
      </c>
      <c r="G155" s="733">
        <v>13105460.210000001</v>
      </c>
      <c r="H155" s="733"/>
      <c r="I155" s="44">
        <f>H155-G155</f>
        <v>-13105460.210000001</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13238518.57</v>
      </c>
      <c r="G166" s="55">
        <f t="shared" si="33"/>
        <v>65807676.81000001</v>
      </c>
      <c r="H166" s="55">
        <f t="shared" si="33"/>
        <v>174977860.75190297</v>
      </c>
      <c r="I166" s="55">
        <f t="shared" si="1"/>
        <v>109170183.94190297</v>
      </c>
      <c r="J166" s="290">
        <f t="shared" si="2"/>
        <v>0.62390855318943939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74"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"&amp;S71Sd&amp; " - "&amp;Head57</f>
        <v>KZN225 Msunduzi - Supporting Table SC13d Consolidated Monthly Budget Statement - depreciation by asset class - Q3 Third Quarter</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27284352.130000006</v>
      </c>
      <c r="G7" s="102">
        <f t="shared" si="0"/>
        <v>240721603.28</v>
      </c>
      <c r="H7" s="102">
        <f t="shared" si="0"/>
        <v>76639072.989723623</v>
      </c>
      <c r="I7" s="101">
        <f t="shared" ref="I7:I166" si="1">H7-G7</f>
        <v>-164082530.29027638</v>
      </c>
      <c r="J7" s="579">
        <f t="shared" ref="J7:J166" si="2">IF(I7=0,"",I7/H7)</f>
        <v>-2.1409774921504838</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10163200.650000004</v>
      </c>
      <c r="G8" s="608">
        <f t="shared" si="3"/>
        <v>89828279.470000014</v>
      </c>
      <c r="H8" s="608">
        <f t="shared" si="3"/>
        <v>11200214.972361982</v>
      </c>
      <c r="I8" s="258">
        <f t="shared" si="1"/>
        <v>-78628064.497638032</v>
      </c>
      <c r="J8" s="575">
        <f t="shared" si="2"/>
        <v>-7.020228155590158</v>
      </c>
      <c r="K8" s="610">
        <f>SUM(K9:K12)</f>
        <v>14933619.963149311</v>
      </c>
    </row>
    <row r="9" spans="1:11" ht="12.75" customHeight="1" x14ac:dyDescent="0.25">
      <c r="A9" s="574" t="s">
        <v>168</v>
      </c>
      <c r="B9" s="169"/>
      <c r="C9" s="748"/>
      <c r="D9" s="745">
        <v>14851561.889929518</v>
      </c>
      <c r="E9" s="733">
        <v>14851561.889929518</v>
      </c>
      <c r="F9" s="733">
        <v>10163200.650000004</v>
      </c>
      <c r="G9" s="733">
        <v>89828279.470000014</v>
      </c>
      <c r="H9" s="733">
        <f>E9/12*9</f>
        <v>11138671.417447139</v>
      </c>
      <c r="I9" s="258">
        <f t="shared" si="1"/>
        <v>-78689608.052552879</v>
      </c>
      <c r="J9" s="575">
        <f t="shared" si="2"/>
        <v>-7.0645416408726129</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E12/12*9</f>
        <v>61543.554914844077</v>
      </c>
      <c r="I12" s="258">
        <f t="shared" si="1"/>
        <v>61543.554914844077</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7896669.1299999999</v>
      </c>
      <c r="G17" s="408">
        <f t="shared" si="5"/>
        <v>69225347.909999996</v>
      </c>
      <c r="H17" s="408">
        <f t="shared" si="5"/>
        <v>60633517.690869778</v>
      </c>
      <c r="I17" s="258">
        <f t="shared" si="1"/>
        <v>-8591830.219130218</v>
      </c>
      <c r="J17" s="575">
        <f t="shared" si="2"/>
        <v>-0.14170100212450612</v>
      </c>
      <c r="K17" s="642">
        <f>SUM(K18:K26)</f>
        <v>80844690.254493043</v>
      </c>
    </row>
    <row r="18" spans="1:11" ht="12.75" customHeight="1" x14ac:dyDescent="0.25">
      <c r="A18" s="574" t="s">
        <v>1225</v>
      </c>
      <c r="B18" s="169"/>
      <c r="C18" s="748"/>
      <c r="D18" s="745"/>
      <c r="E18" s="733"/>
      <c r="F18" s="733">
        <v>3153885.2899999996</v>
      </c>
      <c r="G18" s="733">
        <v>26591063.610000003</v>
      </c>
      <c r="H18" s="733"/>
      <c r="I18" s="258">
        <f t="shared" si="1"/>
        <v>-26591063.610000003</v>
      </c>
      <c r="J18" s="575" t="e">
        <f t="shared" si="2"/>
        <v>#DIV/0!</v>
      </c>
      <c r="K18" s="735"/>
    </row>
    <row r="19" spans="1:11" ht="12.75" customHeight="1" x14ac:dyDescent="0.25">
      <c r="A19" s="574" t="s">
        <v>1226</v>
      </c>
      <c r="B19" s="169"/>
      <c r="C19" s="748"/>
      <c r="D19" s="745">
        <v>39300782.18353869</v>
      </c>
      <c r="E19" s="733">
        <v>39300782.18353869</v>
      </c>
      <c r="F19" s="733"/>
      <c r="G19" s="733"/>
      <c r="H19" s="733">
        <f t="shared" ref="H19:H22" si="6">E19/12*9</f>
        <v>29475586.637654018</v>
      </c>
      <c r="I19" s="258">
        <f t="shared" si="1"/>
        <v>29475586.637654018</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269602.32</v>
      </c>
      <c r="G20" s="733">
        <v>3024795.2700000005</v>
      </c>
      <c r="H20" s="733">
        <f t="shared" si="6"/>
        <v>22813208.270107761</v>
      </c>
      <c r="I20" s="258">
        <f t="shared" si="1"/>
        <v>19788413.000107761</v>
      </c>
      <c r="J20" s="575">
        <f t="shared" si="2"/>
        <v>0.86741035131111299</v>
      </c>
      <c r="K20" s="735">
        <f t="shared" si="7"/>
        <v>30417611.026810348</v>
      </c>
    </row>
    <row r="21" spans="1:11" ht="12.75" customHeight="1" x14ac:dyDescent="0.25">
      <c r="A21" s="574" t="s">
        <v>1228</v>
      </c>
      <c r="B21" s="169"/>
      <c r="C21" s="748"/>
      <c r="D21" s="745">
        <v>10972255.34036158</v>
      </c>
      <c r="E21" s="733">
        <v>10972255.34036158</v>
      </c>
      <c r="F21" s="733">
        <v>4473181.5200000005</v>
      </c>
      <c r="G21" s="733">
        <v>39609489.030000001</v>
      </c>
      <c r="H21" s="733">
        <f t="shared" si="6"/>
        <v>8229191.5052711852</v>
      </c>
      <c r="I21" s="258">
        <f t="shared" si="1"/>
        <v>-31380297.524728816</v>
      </c>
      <c r="J21" s="575">
        <f t="shared" si="2"/>
        <v>-3.8132904677972626</v>
      </c>
      <c r="K21" s="735">
        <f t="shared" si="7"/>
        <v>10972255.34036158</v>
      </c>
    </row>
    <row r="22" spans="1:11" ht="12.75" customHeight="1" x14ac:dyDescent="0.25">
      <c r="A22" s="574" t="s">
        <v>1229</v>
      </c>
      <c r="B22" s="169"/>
      <c r="C22" s="748"/>
      <c r="D22" s="745">
        <v>154041.70378242273</v>
      </c>
      <c r="E22" s="733">
        <v>154041.70378242273</v>
      </c>
      <c r="F22" s="733"/>
      <c r="G22" s="733"/>
      <c r="H22" s="733">
        <f t="shared" si="6"/>
        <v>115531.27783681704</v>
      </c>
      <c r="I22" s="258">
        <f t="shared" si="1"/>
        <v>115531.27783681704</v>
      </c>
      <c r="J22" s="575">
        <f t="shared" si="2"/>
        <v>1</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7226008.1199999992</v>
      </c>
      <c r="G27" s="408">
        <f t="shared" si="8"/>
        <v>63867985.680000015</v>
      </c>
      <c r="H27" s="408">
        <f t="shared" si="8"/>
        <v>4805340.3264918625</v>
      </c>
      <c r="I27" s="258">
        <f t="shared" si="1"/>
        <v>-59062645.353508152</v>
      </c>
      <c r="J27" s="575">
        <f t="shared" si="2"/>
        <v>-12.291043160438715</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E30/12*9</f>
        <v>4805340.3264918625</v>
      </c>
      <c r="I30" s="258">
        <f t="shared" si="1"/>
        <v>4805340.3264918625</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7226008.1199999992</v>
      </c>
      <c r="G34" s="733">
        <v>63867985.680000015</v>
      </c>
      <c r="H34" s="733"/>
      <c r="I34" s="258">
        <f t="shared" si="1"/>
        <v>-63867985.680000015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1712371.0599999998</v>
      </c>
      <c r="G38" s="408">
        <f t="shared" si="9"/>
        <v>15130640.15</v>
      </c>
      <c r="H38" s="408">
        <f t="shared" si="9"/>
        <v>0</v>
      </c>
      <c r="I38" s="258">
        <f t="shared" si="1"/>
        <v>-15130640.15</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1712371.0599999998</v>
      </c>
      <c r="G41" s="733">
        <v>15130640.15</v>
      </c>
      <c r="H41" s="733"/>
      <c r="I41" s="258">
        <f t="shared" si="1"/>
        <v>-15130640.15</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117892.01</v>
      </c>
      <c r="G45" s="408">
        <f t="shared" si="10"/>
        <v>1042014.26</v>
      </c>
      <c r="H45" s="408">
        <f t="shared" si="10"/>
        <v>0</v>
      </c>
      <c r="I45" s="258">
        <f t="shared" si="1"/>
        <v>-1042014.26</v>
      </c>
      <c r="J45" s="575" t="e">
        <f t="shared" si="2"/>
        <v>#DIV/0!</v>
      </c>
      <c r="K45" s="642">
        <f>SUM(K46:K52)</f>
        <v>0</v>
      </c>
    </row>
    <row r="46" spans="1:11" ht="12.75" customHeight="1" x14ac:dyDescent="0.25">
      <c r="A46" s="574" t="s">
        <v>1249</v>
      </c>
      <c r="B46" s="169"/>
      <c r="C46" s="748"/>
      <c r="D46" s="745"/>
      <c r="E46" s="733"/>
      <c r="F46" s="733">
        <v>117892.01</v>
      </c>
      <c r="G46" s="733">
        <v>1042014.26</v>
      </c>
      <c r="H46" s="733"/>
      <c r="I46" s="258">
        <f t="shared" si="1"/>
        <v>-1042014.26</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168211.16</v>
      </c>
      <c r="G53" s="408">
        <f t="shared" si="11"/>
        <v>1627335.8099999996</v>
      </c>
      <c r="H53" s="408">
        <f t="shared" si="11"/>
        <v>0</v>
      </c>
      <c r="I53" s="258">
        <f t="shared" si="1"/>
        <v>-1627335.8099999996</v>
      </c>
      <c r="J53" s="575" t="e">
        <f t="shared" si="2"/>
        <v>#DIV/0!</v>
      </c>
      <c r="K53" s="642">
        <f>SUM(K54:K62)</f>
        <v>0</v>
      </c>
    </row>
    <row r="54" spans="1:11" ht="12.75" customHeight="1" x14ac:dyDescent="0.25">
      <c r="A54" s="574" t="s">
        <v>1256</v>
      </c>
      <c r="B54" s="169"/>
      <c r="C54" s="748"/>
      <c r="D54" s="745"/>
      <c r="E54" s="733"/>
      <c r="F54" s="733">
        <v>10133.209999999999</v>
      </c>
      <c r="G54" s="733">
        <v>89564.66</v>
      </c>
      <c r="H54" s="733"/>
      <c r="I54" s="258">
        <f t="shared" si="1"/>
        <v>-89564.66</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v>158077.95000000001</v>
      </c>
      <c r="G61" s="733">
        <v>1537771.1499999997</v>
      </c>
      <c r="H61" s="733"/>
      <c r="I61" s="258">
        <f t="shared" si="1"/>
        <v>-1537771.1499999997</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2543273.2699999996</v>
      </c>
      <c r="G75" s="578">
        <f t="shared" si="14"/>
        <v>22474308.979999997</v>
      </c>
      <c r="H75" s="578">
        <f t="shared" si="14"/>
        <v>28747658.796469972</v>
      </c>
      <c r="I75" s="578">
        <f t="shared" si="1"/>
        <v>6273349.8164699748</v>
      </c>
      <c r="J75" s="579">
        <f t="shared" si="2"/>
        <v>0.21822124232392454</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1403319.52</v>
      </c>
      <c r="G76" s="408">
        <f t="shared" si="15"/>
        <v>12398587.76</v>
      </c>
      <c r="H76" s="408">
        <f t="shared" si="15"/>
        <v>16659723.452846501</v>
      </c>
      <c r="I76" s="258">
        <f t="shared" si="1"/>
        <v>4261135.6928465012</v>
      </c>
      <c r="J76" s="575">
        <f t="shared" si="2"/>
        <v>0.25577469547481824</v>
      </c>
      <c r="K76" s="642">
        <f>SUM(K77:K98)</f>
        <v>22212964.603795335</v>
      </c>
    </row>
    <row r="77" spans="1:11" ht="12.75" customHeight="1" x14ac:dyDescent="0.25">
      <c r="A77" s="574" t="s">
        <v>1269</v>
      </c>
      <c r="B77" s="169"/>
      <c r="C77" s="748"/>
      <c r="D77" s="753">
        <v>216338.10110699103</v>
      </c>
      <c r="E77" s="733">
        <v>216338.10110699103</v>
      </c>
      <c r="F77" s="733"/>
      <c r="G77" s="733"/>
      <c r="H77" s="733">
        <f>E77/12*9</f>
        <v>162253.5758302433</v>
      </c>
      <c r="I77" s="44">
        <f t="shared" si="1"/>
        <v>162253.5758302433</v>
      </c>
      <c r="J77" s="124">
        <f t="shared" si="2"/>
        <v>1</v>
      </c>
      <c r="K77" s="735">
        <f>E77</f>
        <v>216338.10110699103</v>
      </c>
    </row>
    <row r="78" spans="1:11" ht="12.75" customHeight="1" x14ac:dyDescent="0.25">
      <c r="A78" s="574" t="s">
        <v>1270</v>
      </c>
      <c r="B78" s="169"/>
      <c r="C78" s="748"/>
      <c r="D78" s="753"/>
      <c r="E78" s="733"/>
      <c r="F78" s="733">
        <v>303295.71000000008</v>
      </c>
      <c r="G78" s="733">
        <v>2680742.4999999995</v>
      </c>
      <c r="H78" s="733"/>
      <c r="I78" s="44">
        <f t="shared" si="1"/>
        <v>-2680742.4999999995</v>
      </c>
      <c r="J78" s="124" t="e">
        <f t="shared" si="2"/>
        <v>#DIV/0!</v>
      </c>
      <c r="K78" s="735"/>
    </row>
    <row r="79" spans="1:11" ht="12.75" customHeight="1" x14ac:dyDescent="0.25">
      <c r="A79" s="574" t="s">
        <v>1271</v>
      </c>
      <c r="B79" s="169"/>
      <c r="C79" s="748"/>
      <c r="D79" s="753"/>
      <c r="E79" s="733"/>
      <c r="F79" s="733">
        <v>42468.800000000003</v>
      </c>
      <c r="G79" s="733">
        <v>375369.01999999996</v>
      </c>
      <c r="H79" s="733"/>
      <c r="I79" s="44">
        <f t="shared" si="1"/>
        <v>-375369.01999999996</v>
      </c>
      <c r="J79" s="124" t="e">
        <f t="shared" si="2"/>
        <v>#DIV/0!</v>
      </c>
      <c r="K79" s="735"/>
    </row>
    <row r="80" spans="1:11" ht="12.75" customHeight="1" x14ac:dyDescent="0.25">
      <c r="A80" s="574" t="s">
        <v>1272</v>
      </c>
      <c r="B80" s="169"/>
      <c r="C80" s="748"/>
      <c r="D80" s="753">
        <v>11576837.362840936</v>
      </c>
      <c r="E80" s="733">
        <v>11576837.362840936</v>
      </c>
      <c r="F80" s="733">
        <v>59173.79</v>
      </c>
      <c r="G80" s="733">
        <v>523019.80000000005</v>
      </c>
      <c r="H80" s="733">
        <f t="shared" ref="H80:H81" si="16">E80/12*9</f>
        <v>8682628.0221307017</v>
      </c>
      <c r="I80" s="44">
        <f t="shared" si="1"/>
        <v>8159608.2221307019</v>
      </c>
      <c r="J80" s="124">
        <f t="shared" si="2"/>
        <v>0.93976250063150213</v>
      </c>
      <c r="K80" s="735">
        <f t="shared" ref="K80:K81" si="17">E80</f>
        <v>11576837.362840936</v>
      </c>
    </row>
    <row r="81" spans="1:11" ht="12.75" customHeight="1" x14ac:dyDescent="0.25">
      <c r="A81" s="574" t="s">
        <v>1273</v>
      </c>
      <c r="B81" s="169"/>
      <c r="C81" s="748"/>
      <c r="D81" s="753">
        <v>4052316.8497124896</v>
      </c>
      <c r="E81" s="733">
        <v>4052316.8497124896</v>
      </c>
      <c r="F81" s="733">
        <v>52548.399999999994</v>
      </c>
      <c r="G81" s="733">
        <v>464460.52999999997</v>
      </c>
      <c r="H81" s="733">
        <f t="shared" si="16"/>
        <v>3039237.6372843673</v>
      </c>
      <c r="I81" s="44">
        <f t="shared" si="1"/>
        <v>2574777.1072843676</v>
      </c>
      <c r="J81" s="124">
        <f t="shared" si="2"/>
        <v>0.84717860679857648</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32249.23</v>
      </c>
      <c r="G85" s="733">
        <v>285041.51</v>
      </c>
      <c r="H85" s="733"/>
      <c r="I85" s="44">
        <f t="shared" si="1"/>
        <v>-285041.51</v>
      </c>
      <c r="J85" s="124" t="e">
        <f t="shared" si="2"/>
        <v>#DIV/0!</v>
      </c>
      <c r="K85" s="735"/>
    </row>
    <row r="86" spans="1:11" ht="12.75" customHeight="1" x14ac:dyDescent="0.25">
      <c r="A86" s="574" t="s">
        <v>553</v>
      </c>
      <c r="B86" s="169"/>
      <c r="C86" s="748"/>
      <c r="D86" s="753">
        <v>5202994.7779857824</v>
      </c>
      <c r="E86" s="733">
        <v>5202994.7779857824</v>
      </c>
      <c r="F86" s="733">
        <v>232523.83000000002</v>
      </c>
      <c r="G86" s="733">
        <v>2055210.7</v>
      </c>
      <c r="H86" s="733">
        <f>E86/12*9</f>
        <v>3902246.083489337</v>
      </c>
      <c r="I86" s="44">
        <f t="shared" si="1"/>
        <v>1847035.3834893371</v>
      </c>
      <c r="J86" s="124">
        <f t="shared" si="2"/>
        <v>0.47332621879083092</v>
      </c>
      <c r="K86" s="735">
        <f>E86</f>
        <v>5202994.7779857824</v>
      </c>
    </row>
    <row r="87" spans="1:11" ht="12.75" customHeight="1" x14ac:dyDescent="0.25">
      <c r="A87" s="574" t="s">
        <v>1277</v>
      </c>
      <c r="B87" s="169"/>
      <c r="C87" s="748"/>
      <c r="D87" s="753"/>
      <c r="E87" s="733"/>
      <c r="F87" s="733">
        <v>37931.229999999996</v>
      </c>
      <c r="G87" s="733">
        <v>335262.72000000003</v>
      </c>
      <c r="H87" s="733"/>
      <c r="I87" s="44">
        <f t="shared" si="1"/>
        <v>-335262.72000000003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E89/12*9</f>
        <v>522821.06251111766</v>
      </c>
      <c r="I89" s="44">
        <f t="shared" si="1"/>
        <v>522821.06251111766</v>
      </c>
      <c r="J89" s="124">
        <f t="shared" si="2"/>
        <v>1</v>
      </c>
      <c r="K89" s="735">
        <f>E89</f>
        <v>697094.75001482351</v>
      </c>
    </row>
    <row r="90" spans="1:11" ht="12.75" customHeight="1" x14ac:dyDescent="0.25">
      <c r="A90" s="574" t="s">
        <v>1279</v>
      </c>
      <c r="B90" s="169"/>
      <c r="C90" s="748"/>
      <c r="D90" s="753"/>
      <c r="E90" s="733"/>
      <c r="F90" s="733">
        <v>8163.89</v>
      </c>
      <c r="G90" s="733">
        <v>72158.31</v>
      </c>
      <c r="H90" s="733"/>
      <c r="I90" s="44">
        <f t="shared" si="1"/>
        <v>-72158.31</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88003.08</v>
      </c>
      <c r="G92" s="733">
        <v>777833.2899999998</v>
      </c>
      <c r="H92" s="733">
        <f>E92/12*9</f>
        <v>350537.07160073397</v>
      </c>
      <c r="I92" s="44">
        <f t="shared" si="1"/>
        <v>-427296.21839926584</v>
      </c>
      <c r="J92" s="124">
        <f t="shared" si="2"/>
        <v>-1.2189758317087829</v>
      </c>
      <c r="K92" s="735">
        <f>E92</f>
        <v>467382.76213431195</v>
      </c>
    </row>
    <row r="93" spans="1:11" ht="12.75" customHeight="1" x14ac:dyDescent="0.25">
      <c r="A93" s="574" t="s">
        <v>441</v>
      </c>
      <c r="B93" s="169"/>
      <c r="C93" s="748"/>
      <c r="D93" s="753"/>
      <c r="E93" s="733"/>
      <c r="F93" s="733">
        <v>489462.37</v>
      </c>
      <c r="G93" s="733">
        <v>4321270.55</v>
      </c>
      <c r="H93" s="733"/>
      <c r="I93" s="44">
        <f t="shared" si="1"/>
        <v>-4321270.55</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57499.19</v>
      </c>
      <c r="G96" s="733">
        <v>508218.82999999996</v>
      </c>
      <c r="H96" s="733"/>
      <c r="I96" s="44">
        <f t="shared" si="1"/>
        <v>-508218.82999999996</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1139953.7499999995</v>
      </c>
      <c r="G99" s="408">
        <f t="shared" si="18"/>
        <v>10075721.219999999</v>
      </c>
      <c r="H99" s="408">
        <f t="shared" si="18"/>
        <v>12087935.343623471</v>
      </c>
      <c r="I99" s="258">
        <f t="shared" si="1"/>
        <v>2012214.1236234717</v>
      </c>
      <c r="J99" s="575">
        <f t="shared" si="2"/>
        <v>0.16646466633236406</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E100/12*9</f>
        <v>32598.734463779976</v>
      </c>
      <c r="I100" s="44">
        <f t="shared" si="1"/>
        <v>32598.734463779976</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1139953.7499999995</v>
      </c>
      <c r="G101" s="733">
        <v>10075721.219999999</v>
      </c>
      <c r="H101" s="733">
        <f t="shared" si="19"/>
        <v>6502115.8683458995</v>
      </c>
      <c r="I101" s="44">
        <f>H101-G101</f>
        <v>-3573605.3516540993</v>
      </c>
      <c r="J101" s="124">
        <f>IF(I101=0,"",I101/H101)</f>
        <v>-0.54960653178319996</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5553220.7408137899</v>
      </c>
      <c r="I102" s="44">
        <f t="shared" si="1"/>
        <v>5553220.7408137899</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2205713.3600000008</v>
      </c>
      <c r="G117" s="578">
        <f t="shared" si="25"/>
        <v>19495861.209999993</v>
      </c>
      <c r="H117" s="578">
        <f t="shared" si="25"/>
        <v>122267977.17574482</v>
      </c>
      <c r="I117" s="578">
        <f t="shared" si="1"/>
        <v>102772115.96574482</v>
      </c>
      <c r="J117" s="579">
        <f t="shared" si="2"/>
        <v>0.84054810048932804</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2202715.9300000006</v>
      </c>
      <c r="G118" s="408">
        <f t="shared" si="26"/>
        <v>19469367.469999995</v>
      </c>
      <c r="H118" s="408">
        <f t="shared" si="26"/>
        <v>122267977.17574482</v>
      </c>
      <c r="I118" s="258">
        <f t="shared" si="1"/>
        <v>102798609.70574482</v>
      </c>
      <c r="J118" s="575">
        <f t="shared" si="2"/>
        <v>0.84076478633473073</v>
      </c>
      <c r="K118" s="642">
        <f>SUM(K119:K129)</f>
        <v>163023969.56765977</v>
      </c>
    </row>
    <row r="119" spans="1:11" ht="12.75" customHeight="1" x14ac:dyDescent="0.25">
      <c r="A119" s="574" t="s">
        <v>1299</v>
      </c>
      <c r="B119" s="169"/>
      <c r="C119" s="748"/>
      <c r="D119" s="753">
        <v>108029891.92018634</v>
      </c>
      <c r="E119" s="733">
        <v>108029891.92018634</v>
      </c>
      <c r="F119" s="733">
        <v>2132320.5000000005</v>
      </c>
      <c r="G119" s="733">
        <v>18847163.089999996</v>
      </c>
      <c r="H119" s="733">
        <f>E119/12*9</f>
        <v>81022418.940139756</v>
      </c>
      <c r="I119" s="44">
        <f t="shared" si="1"/>
        <v>62175255.850139759</v>
      </c>
      <c r="J119" s="124">
        <f t="shared" si="2"/>
        <v>0.76738335714310768</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70395.429999999993</v>
      </c>
      <c r="G122" s="733">
        <v>622204.38</v>
      </c>
      <c r="H122" s="733">
        <f>E122/12*9</f>
        <v>1296617.6831637679</v>
      </c>
      <c r="I122" s="44">
        <f t="shared" si="1"/>
        <v>674413.30316376791</v>
      </c>
      <c r="J122" s="124">
        <f t="shared" si="2"/>
        <v>0.52013273605692978</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E129/12*9</f>
        <v>39948940.552441299</v>
      </c>
      <c r="I129" s="44">
        <f t="shared" si="1"/>
        <v>39948940.552441299</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2997.43</v>
      </c>
      <c r="G130" s="408">
        <f t="shared" si="27"/>
        <v>26493.74</v>
      </c>
      <c r="H130" s="408">
        <f t="shared" si="27"/>
        <v>0</v>
      </c>
      <c r="I130" s="258">
        <f t="shared" si="1"/>
        <v>-26493.74</v>
      </c>
      <c r="J130" s="575" t="e">
        <f t="shared" si="2"/>
        <v>#DIV/0!</v>
      </c>
      <c r="K130" s="642">
        <f>SUM(K131:K133)</f>
        <v>0</v>
      </c>
    </row>
    <row r="131" spans="1:11" ht="12.75" customHeight="1" x14ac:dyDescent="0.25">
      <c r="A131" s="574" t="s">
        <v>1309</v>
      </c>
      <c r="B131" s="169"/>
      <c r="C131" s="748"/>
      <c r="D131" s="753"/>
      <c r="E131" s="733"/>
      <c r="F131" s="733">
        <v>2997.43</v>
      </c>
      <c r="G131" s="733">
        <v>26493.74</v>
      </c>
      <c r="H131" s="733"/>
      <c r="I131" s="44">
        <f t="shared" si="1"/>
        <v>-26493.74</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889563.83999999985</v>
      </c>
      <c r="G138" s="942">
        <f t="shared" si="30"/>
        <v>7862596.54</v>
      </c>
      <c r="H138" s="942">
        <f t="shared" si="30"/>
        <v>63671280.0031408</v>
      </c>
      <c r="I138" s="942">
        <f t="shared" ref="I138:I146" si="31">H138-G138</f>
        <v>55808683.463140801</v>
      </c>
      <c r="J138" s="324">
        <f t="shared" si="29"/>
        <v>0.8765126672557525</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889563.83999999985</v>
      </c>
      <c r="G140" s="408">
        <f t="shared" si="32"/>
        <v>7862596.54</v>
      </c>
      <c r="H140" s="408">
        <f t="shared" si="32"/>
        <v>63671280.0031408</v>
      </c>
      <c r="I140" s="258">
        <f t="shared" si="31"/>
        <v>55808683.463140801</v>
      </c>
      <c r="J140" s="575">
        <f t="shared" si="29"/>
        <v>0.8765126672557525</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889563.83999999985</v>
      </c>
      <c r="G144" s="733">
        <v>7862596.54</v>
      </c>
      <c r="H144" s="733">
        <f t="shared" ref="H144:H145" si="33">E144/12*9</f>
        <v>62341489.435918495</v>
      </c>
      <c r="I144" s="44">
        <f t="shared" si="31"/>
        <v>54478892.895918496</v>
      </c>
      <c r="J144" s="124">
        <f t="shared" si="29"/>
        <v>0.87387859014690294</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1329790.5672223053</v>
      </c>
      <c r="I145" s="44">
        <f t="shared" si="31"/>
        <v>1329790.5672223053</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922507.33999999985</v>
      </c>
      <c r="G148" s="578">
        <f t="shared" si="35"/>
        <v>7640509.7400000002</v>
      </c>
      <c r="H148" s="578">
        <f t="shared" si="35"/>
        <v>43174426.855345286</v>
      </c>
      <c r="I148" s="578">
        <f>H148-G148</f>
        <v>35533917.115345284</v>
      </c>
      <c r="J148" s="324">
        <f>IF(I148=0,"",I148/H148)</f>
        <v>0.8230315884539865</v>
      </c>
      <c r="K148" s="580">
        <f>SUM(K149)</f>
        <v>57565902.473793715</v>
      </c>
    </row>
    <row r="149" spans="1:12" ht="12.75" customHeight="1" x14ac:dyDescent="0.25">
      <c r="A149" s="518" t="s">
        <v>1321</v>
      </c>
      <c r="B149" s="169"/>
      <c r="C149" s="748"/>
      <c r="D149" s="753">
        <v>65065902.198033363</v>
      </c>
      <c r="E149" s="733">
        <v>57565902.473793715</v>
      </c>
      <c r="F149" s="733">
        <v>922507.33999999985</v>
      </c>
      <c r="G149" s="733">
        <v>7640509.7400000002</v>
      </c>
      <c r="H149" s="733">
        <f>E149/12*9</f>
        <v>43174426.855345286</v>
      </c>
      <c r="I149" s="44">
        <f>H149-G149</f>
        <v>35533917.115345284</v>
      </c>
      <c r="J149" s="124">
        <f>IF(I149=0,"",I149/H149)</f>
        <v>0.8230315884539865</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140310.70000000001</v>
      </c>
      <c r="G151" s="578">
        <f t="shared" si="36"/>
        <v>1223053.68</v>
      </c>
      <c r="H151" s="578">
        <f t="shared" si="36"/>
        <v>20974146.215446126</v>
      </c>
      <c r="I151" s="578">
        <f>H151-G151</f>
        <v>19751092.535446126</v>
      </c>
      <c r="J151" s="324">
        <f>IF(I151=0,"",I151/H151)</f>
        <v>0.94168755822350003</v>
      </c>
      <c r="K151" s="580">
        <f>SUM(K152)</f>
        <v>27965528.287261501</v>
      </c>
    </row>
    <row r="152" spans="1:12" ht="12.75" customHeight="1" x14ac:dyDescent="0.25">
      <c r="A152" s="518" t="s">
        <v>1322</v>
      </c>
      <c r="B152" s="169"/>
      <c r="C152" s="748"/>
      <c r="D152" s="753">
        <v>27965528.287261501</v>
      </c>
      <c r="E152" s="733">
        <v>27965528.287261501</v>
      </c>
      <c r="F152" s="733">
        <v>140310.70000000001</v>
      </c>
      <c r="G152" s="733">
        <v>1223053.68</v>
      </c>
      <c r="H152" s="733">
        <f>E152/12*9</f>
        <v>20974146.215446126</v>
      </c>
      <c r="I152" s="44">
        <f>H152-G152</f>
        <v>19751092.535446126</v>
      </c>
      <c r="J152" s="124">
        <f>IF(I152=0,"",I152/H152)</f>
        <v>0.94168755822350003</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769009.49000000046</v>
      </c>
      <c r="G154" s="578">
        <f t="shared" si="37"/>
        <v>6672874.3999999994</v>
      </c>
      <c r="H154" s="578">
        <f t="shared" si="37"/>
        <v>6276529.1436375948</v>
      </c>
      <c r="I154" s="578">
        <f>H154-G154</f>
        <v>-396345.25636240467</v>
      </c>
      <c r="J154" s="324">
        <f>IF(I154=0,"",I154/H154)</f>
        <v>-6.3147202425431703E-2</v>
      </c>
      <c r="K154" s="580">
        <f>SUM(K155)</f>
        <v>8368705.5248501254</v>
      </c>
    </row>
    <row r="155" spans="1:12" ht="12.75" customHeight="1" x14ac:dyDescent="0.25">
      <c r="A155" s="518" t="s">
        <v>1323</v>
      </c>
      <c r="B155" s="169"/>
      <c r="C155" s="748"/>
      <c r="D155" s="753">
        <v>7418705.5248501254</v>
      </c>
      <c r="E155" s="733">
        <v>8368705.5248501254</v>
      </c>
      <c r="F155" s="733">
        <v>769009.49000000046</v>
      </c>
      <c r="G155" s="733">
        <v>6672874.3999999994</v>
      </c>
      <c r="H155" s="733">
        <f>E155/12*9</f>
        <v>6276529.1436375948</v>
      </c>
      <c r="I155" s="44">
        <f>H155-G155</f>
        <v>-396345.25636240467</v>
      </c>
      <c r="J155" s="124">
        <f>IF(I155=0,"",I155/H155)</f>
        <v>-6.3147202425431703E-2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1302328.3600000001</v>
      </c>
      <c r="G157" s="578">
        <f t="shared" si="38"/>
        <v>11186490.599999994</v>
      </c>
      <c r="H157" s="578">
        <f t="shared" si="38"/>
        <v>79995.233367010092</v>
      </c>
      <c r="I157" s="578">
        <f>H157-G157</f>
        <v>-11106495.366632983</v>
      </c>
      <c r="J157" s="324">
        <f>IF(I157=0,"",I157/H157)</f>
        <v>-138.83946454256215</v>
      </c>
      <c r="K157" s="580">
        <f>SUM(K158)</f>
        <v>106660.31115601346</v>
      </c>
    </row>
    <row r="158" spans="1:12" ht="12.75" customHeight="1" x14ac:dyDescent="0.25">
      <c r="A158" s="518" t="s">
        <v>1324</v>
      </c>
      <c r="B158" s="169"/>
      <c r="C158" s="748"/>
      <c r="D158" s="753">
        <v>106660.31115601346</v>
      </c>
      <c r="E158" s="733">
        <v>106660.31115601346</v>
      </c>
      <c r="F158" s="733">
        <v>1302328.3600000001</v>
      </c>
      <c r="G158" s="733">
        <v>11186490.599999994</v>
      </c>
      <c r="H158" s="733">
        <f>E158/12*9</f>
        <v>79995.233367010092</v>
      </c>
      <c r="I158" s="44">
        <f>H158-G158</f>
        <v>-11106495.366632983</v>
      </c>
      <c r="J158" s="124">
        <f>IF(I158=0,"",I158/H158)</f>
        <v>-138.83946454256215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36057058.49000001</v>
      </c>
      <c r="G166" s="55">
        <f t="shared" si="41"/>
        <v>317277298.42999995</v>
      </c>
      <c r="H166" s="55">
        <f t="shared" si="41"/>
        <v>361831086.41287524</v>
      </c>
      <c r="I166" s="55">
        <f t="shared" si="1"/>
        <v>44553787.982875288</v>
      </c>
      <c r="J166" s="290">
        <f t="shared" si="2"/>
        <v>0.12313421830217268</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"&amp;S71Se&amp; " - "&amp;Head57</f>
        <v>KZN225 Msunduzi - Supporting Table SC13e Monthly Budget Statement - capital expenditure on upgrading of existing assets by asset class - Q3 Third Quarter</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4213305.0599999996</v>
      </c>
      <c r="G7" s="102">
        <f t="shared" si="0"/>
        <v>39229130.310000002</v>
      </c>
      <c r="H7" s="102">
        <f t="shared" si="0"/>
        <v>76710095.486812785</v>
      </c>
      <c r="I7" s="101">
        <f t="shared" ref="I7:I133" si="1">H7-G7</f>
        <v>37480965.176812783</v>
      </c>
      <c r="J7" s="579">
        <f t="shared" ref="J7:J136" si="2">IF(I7=0,"",I7/H7)</f>
        <v>0.4886053776749128</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4213305.0599999996</v>
      </c>
      <c r="G8" s="608">
        <f t="shared" si="3"/>
        <v>37697122.660000004</v>
      </c>
      <c r="H8" s="608">
        <f t="shared" si="3"/>
        <v>53114259</v>
      </c>
      <c r="I8" s="258">
        <f t="shared" si="1"/>
        <v>15417136.339999996</v>
      </c>
      <c r="J8" s="575">
        <f t="shared" si="2"/>
        <v>0.29026360586146926</v>
      </c>
      <c r="K8" s="610">
        <f>SUM(K9:K12)</f>
        <v>70819012</v>
      </c>
    </row>
    <row r="9" spans="1:11" ht="12.75" customHeight="1" x14ac:dyDescent="0.25">
      <c r="A9" s="574" t="s">
        <v>168</v>
      </c>
      <c r="B9" s="169"/>
      <c r="C9" s="748"/>
      <c r="D9" s="745">
        <v>31255314.729466628</v>
      </c>
      <c r="E9" s="733">
        <v>70819012</v>
      </c>
      <c r="F9" s="733">
        <v>4213305.0599999996</v>
      </c>
      <c r="G9" s="733">
        <v>37697122.660000004</v>
      </c>
      <c r="H9" s="733">
        <f>E9/12*9</f>
        <v>53114259</v>
      </c>
      <c r="I9" s="258">
        <f t="shared" si="1"/>
        <v>15417136.339999996</v>
      </c>
      <c r="J9" s="575">
        <f t="shared" si="2"/>
        <v>0.29026360586146926</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12139109.887172157</v>
      </c>
      <c r="I17" s="258">
        <f t="shared" si="1"/>
        <v>12139109.887172157</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E18/12*9</f>
        <v>12139109.887172157</v>
      </c>
      <c r="I18" s="258">
        <f t="shared" si="1"/>
        <v>12139109.887172157</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0</v>
      </c>
      <c r="H27" s="408">
        <f t="shared" si="6"/>
        <v>4097407.8496406283</v>
      </c>
      <c r="I27" s="258">
        <f t="shared" si="1"/>
        <v>4097407.8496406283</v>
      </c>
      <c r="J27" s="575">
        <f t="shared" si="2"/>
        <v>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E30/12*9</f>
        <v>4097407.8496406283</v>
      </c>
      <c r="I30" s="258">
        <f t="shared" si="1"/>
        <v>4097407.8496406283</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1532007.65</v>
      </c>
      <c r="H45" s="408">
        <f t="shared" si="8"/>
        <v>7359318.75</v>
      </c>
      <c r="I45" s="258">
        <f t="shared" si="1"/>
        <v>5827311.0999999996</v>
      </c>
      <c r="J45" s="575">
        <f t="shared" si="2"/>
        <v>0.7918275180022607</v>
      </c>
      <c r="K45" s="642">
        <f>SUM(K46:K52)</f>
        <v>9812425</v>
      </c>
    </row>
    <row r="46" spans="1:11" ht="12.75" customHeight="1" x14ac:dyDescent="0.25">
      <c r="A46" s="574" t="s">
        <v>1249</v>
      </c>
      <c r="B46" s="169"/>
      <c r="C46" s="748"/>
      <c r="D46" s="745">
        <v>4127956.9724179767</v>
      </c>
      <c r="E46" s="733">
        <v>9812425</v>
      </c>
      <c r="F46" s="733"/>
      <c r="G46" s="733">
        <v>1532007.65</v>
      </c>
      <c r="H46" s="733">
        <f>E46/12*9</f>
        <v>7359318.75</v>
      </c>
      <c r="I46" s="258">
        <f t="shared" si="1"/>
        <v>5827311.0999999996</v>
      </c>
      <c r="J46" s="575">
        <f t="shared" si="2"/>
        <v>0.7918275180022607</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-0.01</v>
      </c>
      <c r="G75" s="578">
        <f t="shared" si="12"/>
        <v>7273679.4700000007</v>
      </c>
      <c r="H75" s="578">
        <f t="shared" si="12"/>
        <v>6292853.25</v>
      </c>
      <c r="I75" s="578">
        <f t="shared" si="1"/>
        <v>-980826.22000000067</v>
      </c>
      <c r="J75" s="579">
        <f t="shared" si="2"/>
        <v>-0.1558635138996767</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-0.01</v>
      </c>
      <c r="G76" s="408">
        <f t="shared" si="13"/>
        <v>7273679.4700000007</v>
      </c>
      <c r="H76" s="408">
        <f t="shared" si="13"/>
        <v>4330807.5</v>
      </c>
      <c r="I76" s="258">
        <f t="shared" si="1"/>
        <v>-2942871.9700000007</v>
      </c>
      <c r="J76" s="575">
        <f t="shared" si="2"/>
        <v>-0.67952038274617388</v>
      </c>
      <c r="K76" s="642">
        <f>SUM(K77:K98)</f>
        <v>5774410</v>
      </c>
    </row>
    <row r="77" spans="1:11" ht="12.75" customHeight="1" x14ac:dyDescent="0.25">
      <c r="A77" s="574" t="s">
        <v>1269</v>
      </c>
      <c r="B77" s="169"/>
      <c r="C77" s="748"/>
      <c r="D77" s="753"/>
      <c r="E77" s="733">
        <v>5774410</v>
      </c>
      <c r="F77" s="733"/>
      <c r="G77" s="733">
        <v>640258.68999999994</v>
      </c>
      <c r="H77" s="733">
        <f>E77/12*9</f>
        <v>4330807.5</v>
      </c>
      <c r="I77" s="44">
        <f t="shared" si="1"/>
        <v>3690548.81</v>
      </c>
      <c r="J77" s="124">
        <f t="shared" si="2"/>
        <v>0.85216182201587121</v>
      </c>
      <c r="K77" s="735">
        <f>E77</f>
        <v>5774410</v>
      </c>
    </row>
    <row r="78" spans="1:11" ht="12.75" customHeight="1" x14ac:dyDescent="0.25">
      <c r="A78" s="574" t="s">
        <v>1270</v>
      </c>
      <c r="B78" s="169"/>
      <c r="C78" s="748"/>
      <c r="D78" s="753"/>
      <c r="E78" s="733"/>
      <c r="F78" s="733">
        <v>-0.01</v>
      </c>
      <c r="G78" s="733">
        <v>5878100.7800000003</v>
      </c>
      <c r="H78" s="733"/>
      <c r="I78" s="44">
        <f t="shared" si="1"/>
        <v>-5878100.7800000003</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630320</v>
      </c>
      <c r="H86" s="733"/>
      <c r="I86" s="44">
        <f t="shared" si="1"/>
        <v>-630320</v>
      </c>
      <c r="J86" s="124" t="e">
        <f t="shared" si="2"/>
        <v>#DIV/0!</v>
      </c>
      <c r="K86" s="735"/>
    </row>
    <row r="87" spans="1:11" ht="12.75" customHeight="1" x14ac:dyDescent="0.25">
      <c r="A87" s="574" t="s">
        <v>1277</v>
      </c>
      <c r="B87" s="169"/>
      <c r="C87" s="748"/>
      <c r="D87" s="753"/>
      <c r="E87" s="733"/>
      <c r="F87" s="733"/>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1962045.75</v>
      </c>
      <c r="I99" s="258">
        <f t="shared" si="1"/>
        <v>1962045.75</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E101/12*9</f>
        <v>1962045.75</v>
      </c>
      <c r="I101" s="44">
        <f>H101-G101</f>
        <v>1962045.75</v>
      </c>
      <c r="J101" s="124">
        <f>IF(I101=0,"",I101/H101)</f>
        <v>1</v>
      </c>
      <c r="K101" s="735">
        <f>E101</f>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6225000</v>
      </c>
      <c r="I103" s="99">
        <f t="shared" si="1"/>
        <v>6225000</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E108/12*9</f>
        <v>6225000</v>
      </c>
      <c r="I108" s="44">
        <f t="shared" si="1"/>
        <v>6225000</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183198000</v>
      </c>
      <c r="I117" s="578">
        <f t="shared" si="1"/>
        <v>183198000</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183198000</v>
      </c>
      <c r="I130" s="258">
        <f t="shared" si="1"/>
        <v>183198000</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E132/12*9</f>
        <v>183198000</v>
      </c>
      <c r="I132" s="44">
        <f t="shared" si="1"/>
        <v>183198000</v>
      </c>
      <c r="J132" s="124">
        <f t="shared" si="2"/>
        <v>1</v>
      </c>
      <c r="K132" s="735">
        <f>E132</f>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225000</v>
      </c>
      <c r="I138" s="942">
        <f t="shared" ref="I138:I146" si="25">H138-G138</f>
        <v>225000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225000</v>
      </c>
      <c r="I140" s="258">
        <f t="shared" si="25"/>
        <v>225000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E144/12*9</f>
        <v>225000</v>
      </c>
      <c r="I144" s="44">
        <f t="shared" si="25"/>
        <v>225000</v>
      </c>
      <c r="J144" s="124">
        <f t="shared" si="23"/>
        <v>1</v>
      </c>
      <c r="K144" s="735">
        <f>E144</f>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150000</v>
      </c>
      <c r="I148" s="578">
        <f>H148-G148</f>
        <v>150000</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E149/12*9</f>
        <v>150000</v>
      </c>
      <c r="I149" s="44">
        <f>H149-G149</f>
        <v>150000</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8625145.9986914098</v>
      </c>
      <c r="I151" s="578">
        <f>H151-G151</f>
        <v>8625145.9986914098</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E152/12*9</f>
        <v>8625145.9986914098</v>
      </c>
      <c r="I152" s="44">
        <f>H152-G152</f>
        <v>8625145.9986914098</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66568743</v>
      </c>
      <c r="I157" s="578">
        <f>H157-G157</f>
        <v>66568743</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E158/12*9</f>
        <v>66568743</v>
      </c>
      <c r="I158" s="44">
        <f>H158-G158</f>
        <v>66568743</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463993116.98067224</v>
      </c>
      <c r="F166" s="55">
        <f t="shared" si="33"/>
        <v>4213305.05</v>
      </c>
      <c r="G166" s="55">
        <f t="shared" si="33"/>
        <v>46502809.780000001</v>
      </c>
      <c r="H166" s="55">
        <f t="shared" si="33"/>
        <v>347994837.73550415</v>
      </c>
      <c r="I166" s="55">
        <f>H166-G166</f>
        <v>301492027.95550418</v>
      </c>
      <c r="J166" s="290">
        <f>IF(I166=0,"",I166/H166)</f>
        <v>0.86636925397340303</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X32" sqref="X32"/>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30125543.949999999</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315959671.13999999</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416285119.5800001</v>
      </c>
      <c r="C53" s="43">
        <f>'SC3'!D14</f>
        <v>141144055.75</v>
      </c>
      <c r="D53" s="43">
        <f>'SC3'!E14</f>
        <v>108374105.27000001</v>
      </c>
      <c r="E53" s="43">
        <f>'SC3'!F14</f>
        <v>107771172.45</v>
      </c>
      <c r="F53" s="43">
        <f>'SC3'!G14</f>
        <v>118045645.27000003</v>
      </c>
      <c r="G53" s="43">
        <f>'SC3'!H14</f>
        <v>101583833.47999999</v>
      </c>
      <c r="H53" s="43">
        <f>'SC3'!I14</f>
        <v>487194493.30000001</v>
      </c>
      <c r="I53" s="43">
        <f>'SC3'!J14</f>
        <v>3361079459.0299993</v>
      </c>
    </row>
    <row r="54" spans="1:9" x14ac:dyDescent="0.25">
      <c r="A54" s="61" t="str">
        <f>Head1</f>
        <v>2019/20</v>
      </c>
      <c r="B54" s="43">
        <f>'SC3'!C15</f>
        <v>642595431.96000004</v>
      </c>
      <c r="C54" s="43">
        <f>'SC3'!D15</f>
        <v>108240381.34</v>
      </c>
      <c r="D54" s="43">
        <f>'SC3'!E15</f>
        <v>44009736.210000008</v>
      </c>
      <c r="E54" s="43">
        <f>'SC3'!F15</f>
        <v>108503285.74000002</v>
      </c>
      <c r="F54" s="43">
        <f>'SC3'!G15</f>
        <v>76879044.390000001</v>
      </c>
      <c r="G54" s="43">
        <f>'SC3'!H15</f>
        <v>93223283.939999998</v>
      </c>
      <c r="H54" s="43">
        <f>'SC3'!I15</f>
        <v>428350856.12</v>
      </c>
      <c r="I54" s="43">
        <f>'SC3'!J15</f>
        <v>2602563840.0400004</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219518126.72580001</v>
      </c>
      <c r="C78" s="43">
        <f>'SC3'!K17</f>
        <v>226307347.14000002</v>
      </c>
      <c r="D78" s="43"/>
      <c r="E78" s="43"/>
      <c r="F78" s="43"/>
      <c r="G78" s="43"/>
      <c r="H78" s="43"/>
      <c r="I78" s="43"/>
      <c r="J78" s="43"/>
    </row>
    <row r="79" spans="1:10" x14ac:dyDescent="0.25">
      <c r="A79" s="61" t="str">
        <f>'SC3'!A18</f>
        <v>Commercial</v>
      </c>
      <c r="B79" s="43">
        <f>C79*0.97</f>
        <v>700680273.61379993</v>
      </c>
      <c r="C79" s="43">
        <f>'SC3'!K18</f>
        <v>722350797.53999996</v>
      </c>
      <c r="D79" s="43"/>
      <c r="E79" s="43"/>
      <c r="F79" s="43"/>
      <c r="G79" s="43"/>
      <c r="H79" s="43"/>
      <c r="I79" s="43"/>
      <c r="J79" s="43"/>
    </row>
    <row r="80" spans="1:10" x14ac:dyDescent="0.25">
      <c r="A80" s="61" t="str">
        <f>'SC3'!A19</f>
        <v>Households</v>
      </c>
      <c r="B80" s="43">
        <f>C80*0.97</f>
        <v>3536926294.5331998</v>
      </c>
      <c r="C80" s="43">
        <f>'SC3'!K19</f>
        <v>3646315767.5599999</v>
      </c>
    </row>
    <row r="81" spans="1:3" x14ac:dyDescent="0.25">
      <c r="A81" s="61" t="str">
        <f>'SC3'!A20</f>
        <v>Other</v>
      </c>
      <c r="B81" s="43">
        <f>C81*0.97</f>
        <v>239108852.7333</v>
      </c>
      <c r="C81" s="43">
        <f>'SC3'!K20</f>
        <v>246503971.89000002</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139486629.58000001</v>
      </c>
      <c r="C103" s="405">
        <f>'SC4'!L7</f>
        <v>88812802.599999994</v>
      </c>
      <c r="D103" s="405">
        <f>'SC4'!L8</f>
        <v>0</v>
      </c>
      <c r="E103" s="405">
        <f>'SC4'!L9</f>
        <v>195068066.08000001</v>
      </c>
      <c r="F103" s="405">
        <f>'SC4'!L10</f>
        <v>0</v>
      </c>
      <c r="G103" s="405">
        <f>'SC4'!L11</f>
        <v>0</v>
      </c>
      <c r="H103" s="405">
        <f>'SC4'!L12</f>
        <v>45976996.170000002</v>
      </c>
      <c r="I103" s="405">
        <f>'SC4'!L13</f>
        <v>0</v>
      </c>
      <c r="J103" s="405">
        <f>'SC4'!L14</f>
        <v>204059176.5</v>
      </c>
    </row>
    <row r="104" spans="1:10" x14ac:dyDescent="0.25">
      <c r="A104" s="61" t="str">
        <f>A53</f>
        <v>Budget Year 2020/21</v>
      </c>
      <c r="B104" s="43">
        <f>'SC4'!K6</f>
        <v>144579432.5</v>
      </c>
      <c r="C104" s="43">
        <f>'SC4'!K7</f>
        <v>196700877.12999997</v>
      </c>
      <c r="D104" s="43">
        <f>'SC4'!K8</f>
        <v>0</v>
      </c>
      <c r="E104" s="43">
        <f>'SC4'!K9</f>
        <v>223802867.35999998</v>
      </c>
      <c r="F104" s="43">
        <f>'SC4'!K10</f>
        <v>0</v>
      </c>
      <c r="G104" s="43">
        <f>'SC4'!K11</f>
        <v>0</v>
      </c>
      <c r="H104" s="43">
        <f>'SC4'!K12</f>
        <v>46899310.449999996</v>
      </c>
      <c r="I104" s="43">
        <f>'SC4'!K13</f>
        <v>0</v>
      </c>
      <c r="J104" s="43">
        <f>'SC4'!K14</f>
        <v>254272708.17000002</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D32" sqref="D32:D39"/>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7"/>
      <c r="D8" s="1017"/>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8"/>
      <c r="D11" s="1019"/>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0"/>
      <c r="D13" s="1020"/>
      <c r="F13" s="823"/>
      <c r="G13" s="823"/>
      <c r="H13" s="823"/>
      <c r="I13" s="853"/>
      <c r="J13" s="823"/>
      <c r="K13" s="824"/>
      <c r="L13" s="824"/>
      <c r="M13" s="824"/>
      <c r="N13" s="824"/>
      <c r="O13" s="824"/>
      <c r="P13" s="825"/>
    </row>
    <row r="14" spans="1:17" ht="13.5" customHeight="1" thickBot="1" x14ac:dyDescent="0.25">
      <c r="A14" s="1021" t="s">
        <v>345</v>
      </c>
      <c r="B14" s="1022"/>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3" t="s">
        <v>356</v>
      </c>
      <c r="B30" s="1024"/>
      <c r="C30" s="1025"/>
      <c r="D30" s="1026"/>
      <c r="P30" s="825"/>
    </row>
    <row r="31" spans="1:17" ht="13.5" customHeight="1" thickTop="1" x14ac:dyDescent="0.2">
      <c r="A31" s="863" t="s">
        <v>357</v>
      </c>
      <c r="B31" s="864"/>
      <c r="C31" s="1027" t="s">
        <v>358</v>
      </c>
      <c r="D31" s="1031"/>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29" t="s">
        <v>362</v>
      </c>
      <c r="B40" s="1032"/>
      <c r="C40" s="1029" t="s">
        <v>363</v>
      </c>
      <c r="D40" s="1032"/>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9" t="s">
        <v>364</v>
      </c>
      <c r="B49" s="1032"/>
      <c r="C49" s="1029" t="s">
        <v>365</v>
      </c>
      <c r="D49" s="1032"/>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3" t="s">
        <v>366</v>
      </c>
      <c r="B58" s="1034"/>
      <c r="C58" s="1025"/>
      <c r="D58" s="1035"/>
      <c r="E58" s="812"/>
      <c r="F58" s="854"/>
      <c r="G58" s="824"/>
      <c r="P58" s="825"/>
    </row>
    <row r="59" spans="1:17" s="874" customFormat="1" ht="13.5" customHeight="1" thickTop="1" x14ac:dyDescent="0.2">
      <c r="A59" s="863" t="s">
        <v>367</v>
      </c>
      <c r="B59" s="864"/>
      <c r="C59" s="1027" t="s">
        <v>368</v>
      </c>
      <c r="D59" s="1028"/>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9" t="s">
        <v>370</v>
      </c>
      <c r="D68" s="1030"/>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3" t="s">
        <v>371</v>
      </c>
      <c r="B77" s="1014"/>
      <c r="C77" s="1013" t="s">
        <v>371</v>
      </c>
      <c r="D77" s="1014"/>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3" t="s">
        <v>371</v>
      </c>
      <c r="B85" s="1014"/>
      <c r="C85" s="1013" t="s">
        <v>371</v>
      </c>
      <c r="D85" s="1014"/>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3" t="s">
        <v>371</v>
      </c>
      <c r="B93" s="1014"/>
      <c r="C93" s="1013" t="s">
        <v>371</v>
      </c>
      <c r="D93" s="1014"/>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3" t="s">
        <v>371</v>
      </c>
      <c r="B101" s="1014"/>
      <c r="C101" s="1013" t="s">
        <v>371</v>
      </c>
      <c r="D101" s="1014"/>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3" t="s">
        <v>371</v>
      </c>
      <c r="B109" s="1014"/>
      <c r="C109" s="1013" t="s">
        <v>371</v>
      </c>
      <c r="D109" s="1014"/>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3" t="s">
        <v>371</v>
      </c>
      <c r="B117" s="1014"/>
      <c r="C117" s="1013" t="s">
        <v>371</v>
      </c>
      <c r="D117" s="1014"/>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3" t="s">
        <v>371</v>
      </c>
      <c r="B125" s="1014"/>
      <c r="C125" s="1013" t="s">
        <v>371</v>
      </c>
      <c r="D125" s="1014"/>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3" t="s">
        <v>371</v>
      </c>
      <c r="B133" s="1014"/>
      <c r="C133" s="1015"/>
      <c r="D133" s="1016"/>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O29" sqref="O29"/>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Q3 Third Quarter</v>
      </c>
      <c r="B1" s="346"/>
      <c r="C1" s="346"/>
      <c r="D1" s="346"/>
      <c r="E1" s="346"/>
      <c r="F1" s="346"/>
      <c r="G1" s="346"/>
      <c r="H1" s="346"/>
      <c r="I1" s="346"/>
      <c r="J1" s="346"/>
    </row>
    <row r="2" spans="1:10" x14ac:dyDescent="0.25">
      <c r="A2" s="1037" t="str">
        <f>desc</f>
        <v>Description</v>
      </c>
      <c r="B2" s="158" t="str">
        <f>Head1</f>
        <v>2019/20</v>
      </c>
      <c r="C2" s="1039" t="str">
        <f>Head2</f>
        <v>Budget Year 2020/21</v>
      </c>
      <c r="D2" s="1040"/>
      <c r="E2" s="1040"/>
      <c r="F2" s="1040"/>
      <c r="G2" s="1040"/>
      <c r="H2" s="1040"/>
      <c r="I2" s="1040"/>
      <c r="J2" s="1041"/>
    </row>
    <row r="3" spans="1:10" ht="25.5" x14ac:dyDescent="0.25">
      <c r="A3" s="1038"/>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100165168.69</v>
      </c>
      <c r="F6" s="408">
        <f>SUM('C4-FinPerf RE'!G6:G6)</f>
        <v>913041670.25999999</v>
      </c>
      <c r="G6" s="650">
        <f>SUM('C4-FinPerf RE'!H6:H6)</f>
        <v>952345945.51634979</v>
      </c>
      <c r="H6" s="408">
        <f>F6-G6</f>
        <v>-39304275.256349802</v>
      </c>
      <c r="I6" s="591">
        <f>IF(H6=0,"",H6/G6)</f>
        <v>-4.1271006026113256E-2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254615285.95999998</v>
      </c>
      <c r="F7" s="408">
        <f>SUM('C4-FinPerf RE'!G7:G10)</f>
        <v>2496619385.6099997</v>
      </c>
      <c r="G7" s="650">
        <f>SUM('C4-FinPerf RE'!H7:H10)</f>
        <v>2681822701.7196836</v>
      </c>
      <c r="H7" s="408">
        <f>F7-G7</f>
        <v>-185203316.10968399</v>
      </c>
      <c r="I7" s="207">
        <f>IF(H7=0,"",H7/G7)</f>
        <v>-6.9058747243404564E-2</v>
      </c>
      <c r="J7" s="642">
        <f>SUM('C4-FinPerf RE'!K7:K10)</f>
        <v>3575763602.2929115</v>
      </c>
    </row>
    <row r="8" spans="1:10" ht="12.75" customHeight="1" x14ac:dyDescent="0.25">
      <c r="A8" s="152" t="s">
        <v>496</v>
      </c>
      <c r="B8" s="648">
        <f>'C4-FinPerf RE'!C13</f>
        <v>0</v>
      </c>
      <c r="C8" s="649">
        <f>'C4-FinPerf RE'!D13</f>
        <v>15260422.42725</v>
      </c>
      <c r="D8" s="408">
        <f>'C4-FinPerf RE'!E13</f>
        <v>15369322.42725</v>
      </c>
      <c r="E8" s="408">
        <f>'C4-FinPerf RE'!F13</f>
        <v>648954.51</v>
      </c>
      <c r="F8" s="408">
        <f>'C4-FinPerf RE'!G13</f>
        <v>5433647.0099999998</v>
      </c>
      <c r="G8" s="650">
        <f>'C4-FinPerf RE'!H13</f>
        <v>11526991.8204375</v>
      </c>
      <c r="H8" s="408">
        <f>F8-G8</f>
        <v>-6093344.8104375005</v>
      </c>
      <c r="I8" s="207">
        <f>IF(H8=0,"",H8/G8)</f>
        <v>-0.5286153495514696</v>
      </c>
      <c r="J8" s="642">
        <f>'C4-FinPerf RE'!K13</f>
        <v>15369322.42725</v>
      </c>
    </row>
    <row r="9" spans="1:10" ht="12.75" customHeight="1" x14ac:dyDescent="0.25">
      <c r="A9" s="152" t="s">
        <v>1118</v>
      </c>
      <c r="B9" s="648">
        <f>'C4-FinPerf RE'!C19</f>
        <v>0</v>
      </c>
      <c r="C9" s="649">
        <f>'C4-FinPerf RE'!D19</f>
        <v>675483240</v>
      </c>
      <c r="D9" s="408">
        <f>'C4-FinPerf RE'!E19</f>
        <v>819982787</v>
      </c>
      <c r="E9" s="408">
        <f>'C4-FinPerf RE'!F19</f>
        <v>156240288.65000001</v>
      </c>
      <c r="F9" s="408">
        <f>'C4-FinPerf RE'!G19</f>
        <v>734264386.21000004</v>
      </c>
      <c r="G9" s="650">
        <f>'C4-FinPerf RE'!H19</f>
        <v>614987090.25</v>
      </c>
      <c r="H9" s="408">
        <f>F9-G9</f>
        <v>119277295.96000004</v>
      </c>
      <c r="I9" s="207">
        <f>IF(H9=0,"",H9/G9)</f>
        <v>0.19395089401228294</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25499648.789999999</v>
      </c>
      <c r="F10" s="409">
        <f>'C4-FinPerf RE'!G12+'C4-FinPerf RE'!G14+'C4-FinPerf RE'!G15+'C4-FinPerf RE'!G16+'C4-FinPerf RE'!G17+'C4-FinPerf RE'!G18+'C4-FinPerf RE'!G20+'C4-FinPerf RE'!G21</f>
        <v>212828926.97999999</v>
      </c>
      <c r="G10" s="653">
        <f>'C4-FinPerf RE'!H12+'C4-FinPerf RE'!H14+'C4-FinPerf RE'!H15+'C4-FinPerf RE'!H16+'C4-FinPerf RE'!H17+'C4-FinPerf RE'!H18+'C4-FinPerf RE'!H20+'C4-FinPerf RE'!H21</f>
        <v>286131299.34757495</v>
      </c>
      <c r="H10" s="409">
        <f>F10-G10</f>
        <v>-73302372.36757496</v>
      </c>
      <c r="I10" s="208">
        <f>IF(H10=0,"",H10/G10)</f>
        <v>-0.25618438994516179</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6062418704.8720617</v>
      </c>
      <c r="E11" s="657">
        <f t="shared" si="0"/>
        <v>537169346.5999999</v>
      </c>
      <c r="F11" s="657">
        <f t="shared" si="0"/>
        <v>4362188016.0699997</v>
      </c>
      <c r="G11" s="658">
        <f t="shared" si="0"/>
        <v>4546814028.6540461</v>
      </c>
      <c r="H11" s="657">
        <f t="shared" ref="H11:H25" si="1">F11-G11</f>
        <v>-184626012.58404636</v>
      </c>
      <c r="I11" s="593">
        <f t="shared" ref="I11:I25" si="2">IF(H11=0,"",H11/G11)</f>
        <v>-4.0605578196190178E-2</v>
      </c>
      <c r="J11" s="659">
        <f t="shared" si="0"/>
        <v>6062418704.8720617</v>
      </c>
    </row>
    <row r="12" spans="1:10" ht="12.75" customHeight="1" x14ac:dyDescent="0.25">
      <c r="A12" s="152" t="s">
        <v>475</v>
      </c>
      <c r="B12" s="648">
        <f>'C4-FinPerf RE'!C25</f>
        <v>0</v>
      </c>
      <c r="C12" s="649">
        <f>'C4-FinPerf RE'!D25</f>
        <v>1478324301.5741799</v>
      </c>
      <c r="D12" s="408">
        <f>'C4-FinPerf RE'!E25</f>
        <v>1474657970.2495086</v>
      </c>
      <c r="E12" s="408">
        <f>'C4-FinPerf RE'!F25</f>
        <v>106639899.91999997</v>
      </c>
      <c r="F12" s="408">
        <f>'C4-FinPerf RE'!G25</f>
        <v>1022274013.5300012</v>
      </c>
      <c r="G12" s="650">
        <f>'C4-FinPerf RE'!H25</f>
        <v>1105993477.6871314</v>
      </c>
      <c r="H12" s="408">
        <f t="shared" si="1"/>
        <v>-83719464.157130241</v>
      </c>
      <c r="I12" s="207">
        <f t="shared" si="2"/>
        <v>-7.5696164440504227E-2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3997359.1</v>
      </c>
      <c r="F13" s="408">
        <f>'C4-FinPerf RE'!G26</f>
        <v>39550378.029999994</v>
      </c>
      <c r="G13" s="650">
        <f>'C4-FinPerf RE'!H26</f>
        <v>40237801.079999998</v>
      </c>
      <c r="H13" s="408">
        <f t="shared" si="1"/>
        <v>-687423.05000000447</v>
      </c>
      <c r="I13" s="207">
        <f t="shared" si="2"/>
        <v>-1.7084011341307732E-2</v>
      </c>
      <c r="J13" s="642">
        <f>'C4-FinPerf RE'!K26</f>
        <v>53650401.439999998</v>
      </c>
    </row>
    <row r="14" spans="1:10" ht="12.75" customHeight="1" x14ac:dyDescent="0.25">
      <c r="A14" s="581" t="s">
        <v>664</v>
      </c>
      <c r="B14" s="648">
        <f>'C4-FinPerf RE'!C28</f>
        <v>0</v>
      </c>
      <c r="C14" s="649">
        <f>'C4-FinPerf RE'!D28</f>
        <v>489941448.27473986</v>
      </c>
      <c r="D14" s="408">
        <f>'C4-FinPerf RE'!E28</f>
        <v>482441449.27473998</v>
      </c>
      <c r="E14" s="408">
        <f>'C4-FinPerf RE'!F28</f>
        <v>36057058.489999942</v>
      </c>
      <c r="F14" s="408">
        <f>'C4-FinPerf RE'!G28</f>
        <v>317277298.43000007</v>
      </c>
      <c r="G14" s="650">
        <f>'C4-FinPerf RE'!H28</f>
        <v>361831086.95605499</v>
      </c>
      <c r="H14" s="408">
        <f t="shared" si="1"/>
        <v>-44553788.526054919</v>
      </c>
      <c r="I14" s="207">
        <f t="shared" si="2"/>
        <v>-0.12313421961852065</v>
      </c>
      <c r="J14" s="642">
        <f>'C4-FinPerf RE'!K28</f>
        <v>482441449.27473998</v>
      </c>
    </row>
    <row r="15" spans="1:10" ht="12.75" customHeight="1" x14ac:dyDescent="0.25">
      <c r="A15" s="152" t="s">
        <v>452</v>
      </c>
      <c r="B15" s="648">
        <f>'C4-FinPerf RE'!C29</f>
        <v>0</v>
      </c>
      <c r="C15" s="649">
        <f>'C4-FinPerf RE'!D29</f>
        <v>31793212.220000003</v>
      </c>
      <c r="D15" s="408">
        <f>'C4-FinPerf RE'!E29</f>
        <v>36505334.219999969</v>
      </c>
      <c r="E15" s="408">
        <f>'C4-FinPerf RE'!F29</f>
        <v>2879298.91</v>
      </c>
      <c r="F15" s="408">
        <f>'C4-FinPerf RE'!G29</f>
        <v>27849273.010000002</v>
      </c>
      <c r="G15" s="650">
        <f>'C4-FinPerf RE'!H29</f>
        <v>27379000.664999977</v>
      </c>
      <c r="H15" s="408">
        <f t="shared" si="1"/>
        <v>470272.34500002488</v>
      </c>
      <c r="I15" s="207">
        <f t="shared" si="2"/>
        <v>1.7176388238347898E-2</v>
      </c>
      <c r="J15" s="642">
        <f>'C4-FinPerf RE'!K29</f>
        <v>36505334.219999969</v>
      </c>
    </row>
    <row r="16" spans="1:10" ht="12.75" customHeight="1" x14ac:dyDescent="0.25">
      <c r="A16" s="152" t="s">
        <v>495</v>
      </c>
      <c r="B16" s="648">
        <f>SUM('C4-FinPerf RE'!C30:C31)</f>
        <v>0</v>
      </c>
      <c r="C16" s="649">
        <f>SUM('C4-FinPerf RE'!D30:D31)</f>
        <v>2654837499.1911387</v>
      </c>
      <c r="D16" s="408">
        <f>SUM('C4-FinPerf RE'!E30:E31)</f>
        <v>2617809631.6479759</v>
      </c>
      <c r="E16" s="408">
        <f>SUM('C4-FinPerf RE'!F30:F31)</f>
        <v>197971016.69</v>
      </c>
      <c r="F16" s="408">
        <f>SUM('C4-FinPerf RE'!G30:G31)</f>
        <v>1990334423.5000002</v>
      </c>
      <c r="G16" s="650">
        <f>SUM('C4-FinPerf RE'!H30:H31)</f>
        <v>1963357223.7359822</v>
      </c>
      <c r="H16" s="408">
        <f t="shared" si="1"/>
        <v>26977199.764018059</v>
      </c>
      <c r="I16" s="591">
        <f t="shared" si="2"/>
        <v>1.3740342021246845E-2</v>
      </c>
      <c r="J16" s="642">
        <f>SUM('C4-FinPerf RE'!K30:K31)</f>
        <v>2617809631.6479759</v>
      </c>
    </row>
    <row r="17" spans="1:11" ht="12.75" customHeight="1" x14ac:dyDescent="0.25">
      <c r="A17" s="152" t="s">
        <v>1118</v>
      </c>
      <c r="B17" s="648">
        <f>'C4-FinPerf RE'!C33</f>
        <v>0</v>
      </c>
      <c r="C17" s="649">
        <f>'C4-FinPerf RE'!D33</f>
        <v>25080461.44304001</v>
      </c>
      <c r="D17" s="408">
        <f>'C4-FinPerf RE'!E33</f>
        <v>59680462</v>
      </c>
      <c r="E17" s="408">
        <f>'C4-FinPerf RE'!F33</f>
        <v>2628957.9500000002</v>
      </c>
      <c r="F17" s="408">
        <f>'C4-FinPerf RE'!G33</f>
        <v>34111917.270000003</v>
      </c>
      <c r="G17" s="650">
        <f>'C4-FinPerf RE'!H33</f>
        <v>44760346.5</v>
      </c>
      <c r="H17" s="408">
        <f t="shared" si="1"/>
        <v>-10648429.229999997</v>
      </c>
      <c r="I17" s="207">
        <f t="shared" si="2"/>
        <v>-0.23789872203067053</v>
      </c>
      <c r="J17" s="642">
        <f>'C4-FinPerf RE'!K33</f>
        <v>59680462</v>
      </c>
    </row>
    <row r="18" spans="1:11" ht="12.75" customHeight="1" x14ac:dyDescent="0.25">
      <c r="A18" s="152" t="s">
        <v>434</v>
      </c>
      <c r="B18" s="648">
        <f>'C4-FinPerf RE'!C36-SUM('C1-Sum'!B12:B17)</f>
        <v>0</v>
      </c>
      <c r="C18" s="649">
        <f>'C4-FinPerf RE'!D36-SUM('C1-Sum'!C12:C17)</f>
        <v>782850145.72604942</v>
      </c>
      <c r="D18" s="408">
        <f>'C4-FinPerf RE'!E36-SUM('C1-Sum'!D12:D17)</f>
        <v>948405778.58908653</v>
      </c>
      <c r="E18" s="408">
        <f>'C4-FinPerf RE'!F36-SUM('C1-Sum'!E12:E17)</f>
        <v>71218977.899999976</v>
      </c>
      <c r="F18" s="408">
        <f>'C4-FinPerf RE'!G36-SUM('C1-Sum'!F12:F17)</f>
        <v>552567699.75999975</v>
      </c>
      <c r="G18" s="650">
        <f>'C4-FinPerf RE'!H36-SUM('C1-Sum'!G12:G17)</f>
        <v>711304333.94181442</v>
      </c>
      <c r="H18" s="408">
        <f t="shared" si="1"/>
        <v>-158736634.18181467</v>
      </c>
      <c r="I18" s="207">
        <f t="shared" si="2"/>
        <v>-0.22316275412262498</v>
      </c>
      <c r="J18" s="642">
        <f>'C4-FinPerf RE'!K36-SUM('C1-Sum'!J12:J17)</f>
        <v>948405778.58908653</v>
      </c>
    </row>
    <row r="19" spans="1:11" ht="12.75" customHeight="1" x14ac:dyDescent="0.25">
      <c r="A19" s="583" t="s">
        <v>488</v>
      </c>
      <c r="B19" s="660">
        <f t="shared" ref="B19:G19" si="3">SUM(B12:B18)</f>
        <v>0</v>
      </c>
      <c r="C19" s="661">
        <f t="shared" si="3"/>
        <v>5516477469.5446281</v>
      </c>
      <c r="D19" s="662">
        <f t="shared" si="3"/>
        <v>5673151027.4213114</v>
      </c>
      <c r="E19" s="662">
        <f t="shared" si="3"/>
        <v>421392568.95999986</v>
      </c>
      <c r="F19" s="662">
        <f t="shared" si="3"/>
        <v>3983965003.5300012</v>
      </c>
      <c r="G19" s="663">
        <f t="shared" si="3"/>
        <v>4254863270.5659828</v>
      </c>
      <c r="H19" s="662">
        <f t="shared" si="1"/>
        <v>-270898267.03598166</v>
      </c>
      <c r="I19" s="382">
        <f t="shared" si="2"/>
        <v>-6.3667913587255348E-2</v>
      </c>
      <c r="J19" s="664">
        <f>SUM(J12:J18)</f>
        <v>5673151027.4213114</v>
      </c>
    </row>
    <row r="20" spans="1:11" ht="12.75" customHeight="1" x14ac:dyDescent="0.25">
      <c r="A20" s="153" t="s">
        <v>489</v>
      </c>
      <c r="B20" s="665">
        <f t="shared" ref="B20:G20" si="4">B11-B19</f>
        <v>0</v>
      </c>
      <c r="C20" s="666">
        <f t="shared" si="4"/>
        <v>401332788.32743359</v>
      </c>
      <c r="D20" s="637">
        <f t="shared" si="4"/>
        <v>389267677.45075035</v>
      </c>
      <c r="E20" s="637">
        <f t="shared" si="4"/>
        <v>115776777.64000005</v>
      </c>
      <c r="F20" s="637">
        <f t="shared" si="4"/>
        <v>378223012.53999853</v>
      </c>
      <c r="G20" s="667">
        <f t="shared" si="4"/>
        <v>291950758.08806324</v>
      </c>
      <c r="H20" s="637">
        <f t="shared" si="1"/>
        <v>86272254.451935291</v>
      </c>
      <c r="I20" s="206">
        <f t="shared" si="2"/>
        <v>0.29550275881082783</v>
      </c>
      <c r="J20" s="641">
        <f>J11-J19</f>
        <v>389267677.45075035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22230840.719999999</v>
      </c>
      <c r="F21" s="983">
        <f>'C4-FinPerf RE'!G39</f>
        <v>307536873.04000002</v>
      </c>
      <c r="G21" s="984">
        <f>'C4-FinPerf RE'!H39</f>
        <v>394864001.24999982</v>
      </c>
      <c r="H21" s="983">
        <f t="shared" si="1"/>
        <v>-87327128.2099998</v>
      </c>
      <c r="I21" s="985">
        <f t="shared" si="2"/>
        <v>-0.2211574819014977</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915753012.45075011</v>
      </c>
      <c r="E23" s="657">
        <f t="shared" si="5"/>
        <v>138007618.36000004</v>
      </c>
      <c r="F23" s="657">
        <f t="shared" si="5"/>
        <v>685759885.57999849</v>
      </c>
      <c r="G23" s="658">
        <f t="shared" si="5"/>
        <v>686814759.338063</v>
      </c>
      <c r="H23" s="657">
        <f t="shared" si="1"/>
        <v>-1054873.7580645084</v>
      </c>
      <c r="I23" s="592">
        <f t="shared" si="2"/>
        <v>-1.5358926751678614E-3</v>
      </c>
      <c r="J23" s="659">
        <f>J20+J21+J22</f>
        <v>915753012.45075011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915753012.45075011</v>
      </c>
      <c r="E25" s="637">
        <f t="shared" si="6"/>
        <v>138007618.36000004</v>
      </c>
      <c r="F25" s="637">
        <f t="shared" si="6"/>
        <v>685759885.57999849</v>
      </c>
      <c r="G25" s="667">
        <f t="shared" si="6"/>
        <v>686814759.338063</v>
      </c>
      <c r="H25" s="637">
        <f t="shared" si="1"/>
        <v>-1054873.7580645084</v>
      </c>
      <c r="I25" s="206">
        <f t="shared" si="2"/>
        <v>-1.5358926751678614E-3</v>
      </c>
      <c r="J25" s="641">
        <f>J23+J24</f>
        <v>915753012.45075011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30125543.949999999</v>
      </c>
      <c r="F28" s="662">
        <f>'C5-Capex'!G40</f>
        <v>316129223.18999994</v>
      </c>
      <c r="G28" s="663">
        <f>'C5-Capex'!H40</f>
        <v>560392769.83500004</v>
      </c>
      <c r="H28" s="662">
        <f t="shared" ref="H28:H33" si="7">F28-G28</f>
        <v>-244263546.6450001</v>
      </c>
      <c r="I28" s="382">
        <f t="shared" ref="I28:I33" si="8">IF(H28=0,"",H28/G28)</f>
        <v>-0.43587919008469744</v>
      </c>
      <c r="J28" s="664">
        <f>'C5-Capex'!K40</f>
        <v>747190359.77999997</v>
      </c>
    </row>
    <row r="29" spans="1:11" ht="12.75" customHeight="1" x14ac:dyDescent="0.25">
      <c r="A29" s="152" t="s">
        <v>499</v>
      </c>
      <c r="B29" s="648">
        <f>'C5-Capex'!C70</f>
        <v>0</v>
      </c>
      <c r="C29" s="649">
        <f>'C5-Capex'!D70</f>
        <v>525891580.99999988</v>
      </c>
      <c r="D29" s="408">
        <f>'C5-Capex'!E70</f>
        <v>648605943.77999997</v>
      </c>
      <c r="E29" s="408">
        <f>'C5-Capex'!F70</f>
        <v>20347770.800000001</v>
      </c>
      <c r="F29" s="408">
        <f>'C5-Capex'!G70</f>
        <v>276302741.88</v>
      </c>
      <c r="G29" s="650">
        <f>'C5-Capex'!H70</f>
        <v>486454457.83499998</v>
      </c>
      <c r="H29" s="408">
        <f t="shared" si="7"/>
        <v>-210151715.95499998</v>
      </c>
      <c r="I29" s="591">
        <f t="shared" si="8"/>
        <v>-0.43200696914217845</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9777773.1500000004</v>
      </c>
      <c r="F32" s="662">
        <f>'C5-Capex'!G73</f>
        <v>39826481.30999995</v>
      </c>
      <c r="G32" s="663">
        <f>'C5-Capex'!H73</f>
        <v>73938310.5</v>
      </c>
      <c r="H32" s="662">
        <f t="shared" si="7"/>
        <v>-34111829.19000005</v>
      </c>
      <c r="I32" s="382">
        <f t="shared" si="8"/>
        <v>-0.46135526980968883</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30125543.950000003</v>
      </c>
      <c r="F33" s="611">
        <f t="shared" si="9"/>
        <v>316129223.18999994</v>
      </c>
      <c r="G33" s="612">
        <f t="shared" si="9"/>
        <v>560392768.33500004</v>
      </c>
      <c r="H33" s="611">
        <f t="shared" si="7"/>
        <v>-244263545.1450001</v>
      </c>
      <c r="I33" s="594">
        <f t="shared" si="8"/>
        <v>-0.43587918857471863</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2694173744.3592668</v>
      </c>
      <c r="E36" s="408"/>
      <c r="F36" s="408">
        <f>'C6-FinPos'!F13</f>
        <v>3130622150.8899975</v>
      </c>
      <c r="G36" s="217"/>
      <c r="H36" s="217"/>
      <c r="I36" s="219"/>
      <c r="J36" s="642">
        <f>'C6-FinPos'!G13</f>
        <v>2694173744.3592668</v>
      </c>
    </row>
    <row r="37" spans="1:10" ht="12.75" customHeight="1" x14ac:dyDescent="0.25">
      <c r="A37" s="152" t="s">
        <v>631</v>
      </c>
      <c r="B37" s="648">
        <f>'C6-FinPos'!C25</f>
        <v>0</v>
      </c>
      <c r="C37" s="649">
        <f>'C6-FinPos'!D25</f>
        <v>8340425652.5764656</v>
      </c>
      <c r="D37" s="408">
        <f>'C6-FinPos'!E25</f>
        <v>8511254429.0807037</v>
      </c>
      <c r="E37" s="408"/>
      <c r="F37" s="408">
        <f>'C6-FinPos'!F25</f>
        <v>7483734312.8500004</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1429485882.3899999</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8767715757.0954189</v>
      </c>
      <c r="E40" s="408"/>
      <c r="F40" s="637">
        <f>'C6-FinPos'!F48</f>
        <v>8368372746.0599976</v>
      </c>
      <c r="G40" s="595"/>
      <c r="H40" s="595"/>
      <c r="I40" s="596"/>
      <c r="J40" s="641">
        <f>'C6-FinPos'!G48</f>
        <v>8767715757.0954189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594287085.52309227</v>
      </c>
      <c r="E43" s="408">
        <f>'C7-CFlow'!F18</f>
        <v>-108817441.29999995</v>
      </c>
      <c r="F43" s="408">
        <f>'C7-CFlow'!G18</f>
        <v>-46065531.979999781</v>
      </c>
      <c r="G43" s="650">
        <f>'C7-CFlow'!H18</f>
        <v>445715314.1423192</v>
      </c>
      <c r="H43" s="408">
        <f>G43-F43</f>
        <v>491780846.12231898</v>
      </c>
      <c r="I43" s="207">
        <f>IF(H43=0,"",H43/G43)</f>
        <v>1.1033519166121601</v>
      </c>
      <c r="J43" s="642">
        <f>'C7-CFlow'!K18</f>
        <v>594287085.52309227</v>
      </c>
    </row>
    <row r="44" spans="1:10" ht="12.75" customHeight="1" x14ac:dyDescent="0.25">
      <c r="A44" s="152" t="s">
        <v>649</v>
      </c>
      <c r="B44" s="648">
        <f>'C7-CFlow'!C28</f>
        <v>0</v>
      </c>
      <c r="C44" s="649">
        <f>'C7-CFlow'!D28</f>
        <v>-580891580.99999988</v>
      </c>
      <c r="D44" s="408">
        <f>'C7-CFlow'!E28</f>
        <v>-747190357.77999985</v>
      </c>
      <c r="E44" s="408">
        <f>'C7-CFlow'!F28</f>
        <v>-51606411.259999998</v>
      </c>
      <c r="F44" s="408">
        <f>'C7-CFlow'!G28</f>
        <v>-32833404.490000002</v>
      </c>
      <c r="G44" s="650">
        <f>'C7-CFlow'!H28</f>
        <v>-560392768.33499992</v>
      </c>
      <c r="H44" s="408">
        <f>G44-F44</f>
        <v>-527559363.84499991</v>
      </c>
      <c r="I44" s="207">
        <f>IF(H44=0,"",H44/G44)</f>
        <v>0.94141001393085011</v>
      </c>
      <c r="J44" s="642">
        <f>'C7-CFlow'!K28</f>
        <v>-747190357.77999985</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-59404500</v>
      </c>
      <c r="H45" s="408">
        <f>G45-F45</f>
        <v>-39148309.629999995</v>
      </c>
      <c r="I45" s="207">
        <f>IF(H45=0,"",H45/G45)</f>
        <v>0.65901252649210074</v>
      </c>
      <c r="J45" s="642">
        <f>'C7-CFlow'!K37</f>
        <v>-79206000</v>
      </c>
    </row>
    <row r="46" spans="1:10" ht="12.75" customHeight="1" x14ac:dyDescent="0.25">
      <c r="A46" s="153" t="s">
        <v>54</v>
      </c>
      <c r="B46" s="665">
        <f>'C7-CFlow'!C41</f>
        <v>0</v>
      </c>
      <c r="C46" s="666">
        <f>'C7-CFlow'!D41</f>
        <v>382435849.43256199</v>
      </c>
      <c r="D46" s="637">
        <f>'C7-CFlow'!E41</f>
        <v>286867694.74309242</v>
      </c>
      <c r="E46" s="637">
        <f>'C7-CFlow'!F41</f>
        <v>0</v>
      </c>
      <c r="F46" s="637">
        <f>'C7-CFlow'!G41</f>
        <v>370893122.16000021</v>
      </c>
      <c r="G46" s="667">
        <f>'C7-CFlow'!H41</f>
        <v>344895012.80731928</v>
      </c>
      <c r="H46" s="637">
        <f>G46-F46</f>
        <v>-25998109.352680922</v>
      </c>
      <c r="I46" s="206">
        <f>IF(H46=0,"",H46/G46)</f>
        <v>-7.5379777576561099E-2</v>
      </c>
      <c r="J46" s="641">
        <f>'C7-CFlow'!K41</f>
        <v>237938976.74309242</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416285119.5800001</v>
      </c>
      <c r="C50" s="649">
        <f>'SC3'!D14</f>
        <v>141144055.75</v>
      </c>
      <c r="D50" s="408">
        <f>'SC3'!E14</f>
        <v>108374105.27000001</v>
      </c>
      <c r="E50" s="408">
        <f>'SC3'!F14</f>
        <v>107771172.45</v>
      </c>
      <c r="F50" s="408">
        <f>'SC3'!G14</f>
        <v>118045645.27000003</v>
      </c>
      <c r="G50" s="650">
        <f>'SC3'!H14</f>
        <v>101583833.47999999</v>
      </c>
      <c r="H50" s="408">
        <f>'SC3'!I14</f>
        <v>487194493.30000001</v>
      </c>
      <c r="I50" s="650">
        <f>'SC3'!J14</f>
        <v>3361079459.0299993</v>
      </c>
      <c r="J50" s="642">
        <f>'SC3'!K14</f>
        <v>4841477884.1300001</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837609588.1500001</v>
      </c>
      <c r="C52" s="649">
        <f>'SC4'!D15</f>
        <v>598308.42999999993</v>
      </c>
      <c r="D52" s="408">
        <f>'SC4'!E15</f>
        <v>7785.98</v>
      </c>
      <c r="E52" s="408">
        <f>'SC4'!F15</f>
        <v>411215.25999999995</v>
      </c>
      <c r="F52" s="408">
        <f>'SC4'!G15</f>
        <v>27628297.789999966</v>
      </c>
      <c r="G52" s="650">
        <f>'SC4'!H15</f>
        <v>0</v>
      </c>
      <c r="H52" s="408">
        <f>'SC4'!I15</f>
        <v>0</v>
      </c>
      <c r="I52" s="650">
        <f>'SC4'!J15</f>
        <v>0</v>
      </c>
      <c r="J52" s="642">
        <f>'SC4'!K15</f>
        <v>866255195.61000013</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6"/>
      <c r="B55" s="1036"/>
      <c r="C55" s="1036"/>
      <c r="D55" s="1036"/>
      <c r="E55" s="1036"/>
      <c r="F55" s="1036"/>
      <c r="G55" s="1036"/>
      <c r="H55" s="1036"/>
      <c r="I55" s="1036"/>
      <c r="J55" s="1036"/>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P29" sqref="P29"/>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6" t="str">
        <f>muni&amp; " - "&amp;S71A&amp; " - "&amp;date</f>
        <v>KZN225 Msunduzi - Table C2 Consolidated Monthly Budget Statement - Financial Performance (functional classification)  - Q3 Third Quarter</v>
      </c>
      <c r="B1" s="1046"/>
      <c r="C1" s="1046"/>
      <c r="D1" s="1046"/>
      <c r="E1" s="1046"/>
      <c r="F1" s="1046"/>
      <c r="G1" s="1046"/>
      <c r="H1" s="1046"/>
      <c r="I1" s="1046"/>
      <c r="J1" s="1046"/>
      <c r="K1" s="1046"/>
    </row>
    <row r="2" spans="1:18" x14ac:dyDescent="0.25">
      <c r="A2" s="1044" t="str">
        <f>desc</f>
        <v>Description</v>
      </c>
      <c r="B2" s="1042" t="str">
        <f>head27</f>
        <v>Ref</v>
      </c>
      <c r="C2" s="24" t="str">
        <f>Head1</f>
        <v>2019/20</v>
      </c>
      <c r="D2" s="231" t="str">
        <f>Head2</f>
        <v>Budget Year 2020/21</v>
      </c>
      <c r="E2" s="229"/>
      <c r="F2" s="229"/>
      <c r="G2" s="229"/>
      <c r="H2" s="229"/>
      <c r="I2" s="229"/>
      <c r="J2" s="229"/>
      <c r="K2" s="230"/>
    </row>
    <row r="3" spans="1:18"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190686654.28</v>
      </c>
      <c r="G6" s="637">
        <f t="shared" si="0"/>
        <v>1369439612.8200002</v>
      </c>
      <c r="H6" s="637">
        <f t="shared" si="0"/>
        <v>1246002376.738137</v>
      </c>
      <c r="I6" s="47">
        <f t="shared" ref="I6:I13" si="1">G6-H6</f>
        <v>123437236.08186316</v>
      </c>
      <c r="J6" s="200">
        <f>IF(I6=0,"",I6/H6)</f>
        <v>9.9066613664899161E-2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649731.93000000005</v>
      </c>
      <c r="G7" s="408">
        <f>'C2C'!G7</f>
        <v>2692737.93</v>
      </c>
      <c r="H7" s="408">
        <f>'C2C'!H7</f>
        <v>3335647.5100499997</v>
      </c>
      <c r="I7" s="47">
        <f t="shared" si="1"/>
        <v>-642909.58004999952</v>
      </c>
      <c r="J7" s="200">
        <f t="shared" ref="J7:J26" si="2">IF(I7=0,"",I7/H7)</f>
        <v>-0.1927390643384746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190036922.34999999</v>
      </c>
      <c r="G8" s="672">
        <f>'C2C'!G10</f>
        <v>1366746874.8900001</v>
      </c>
      <c r="H8" s="672">
        <f>'C2C'!H10</f>
        <v>1242666729.2280869</v>
      </c>
      <c r="I8" s="47">
        <f t="shared" si="1"/>
        <v>124080145.66191316</v>
      </c>
      <c r="J8" s="200">
        <f t="shared" si="2"/>
        <v>9.984989759803789E-2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12030525.029999999</v>
      </c>
      <c r="G10" s="637">
        <f t="shared" si="3"/>
        <v>101392088.75999999</v>
      </c>
      <c r="H10" s="637">
        <f t="shared" si="3"/>
        <v>315866058.35791183</v>
      </c>
      <c r="I10" s="47">
        <f t="shared" si="1"/>
        <v>-214473969.59791183</v>
      </c>
      <c r="J10" s="200">
        <f t="shared" si="2"/>
        <v>-0.67900289987754447</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1557526.53</v>
      </c>
      <c r="G11" s="408">
        <f>'C2C'!G27</f>
        <v>18456277.510000002</v>
      </c>
      <c r="H11" s="408">
        <f>'C2C'!H27</f>
        <v>19986016.262024999</v>
      </c>
      <c r="I11" s="47">
        <f t="shared" si="1"/>
        <v>-1529738.752024997</v>
      </c>
      <c r="J11" s="200">
        <f t="shared" si="2"/>
        <v>-7.6540453683689877E-2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259311.38</v>
      </c>
      <c r="G12" s="408">
        <f>'C2C'!G49</f>
        <v>315994.15999999997</v>
      </c>
      <c r="H12" s="408">
        <f>'C2C'!H49</f>
        <v>8251541.0904513225</v>
      </c>
      <c r="I12" s="47">
        <f t="shared" si="1"/>
        <v>-7935546.9304513223</v>
      </c>
      <c r="J12" s="200">
        <f t="shared" si="2"/>
        <v>-0.96170483106899041</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3692683.3699999996</v>
      </c>
      <c r="G13" s="408">
        <f>'C2C'!G55</f>
        <v>11528553.539999999</v>
      </c>
      <c r="H13" s="408">
        <f>'C2C'!H55</f>
        <v>2826551.5979249999</v>
      </c>
      <c r="I13" s="47">
        <f t="shared" si="1"/>
        <v>8702001.9420749992</v>
      </c>
      <c r="J13" s="200">
        <f t="shared" si="2"/>
        <v>3.0786637500137011</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6521003.75</v>
      </c>
      <c r="G14" s="408">
        <f>'C2C'!G64</f>
        <v>71091263.549999997</v>
      </c>
      <c r="H14" s="408">
        <f>'C2C'!H64</f>
        <v>284801949.40751052</v>
      </c>
      <c r="I14" s="47">
        <f t="shared" ref="I14:I19" si="4">G14-H14</f>
        <v>-213710685.85751051</v>
      </c>
      <c r="J14" s="200">
        <f t="shared" ref="J14:J19" si="5">IF(I14=0,"",I14/H14)</f>
        <v>-0.75038350791525421</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9390229.1400000006</v>
      </c>
      <c r="G16" s="637">
        <f t="shared" si="6"/>
        <v>143858394.56</v>
      </c>
      <c r="H16" s="637">
        <f t="shared" si="6"/>
        <v>82445653.030361399</v>
      </c>
      <c r="I16" s="47">
        <f t="shared" si="4"/>
        <v>61412741.529638603</v>
      </c>
      <c r="J16" s="200">
        <f t="shared" si="5"/>
        <v>0.74488756256224664</v>
      </c>
      <c r="K16" s="641">
        <f>SUM(K17:K19)</f>
        <v>109927537.37381519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963458.38</v>
      </c>
      <c r="G17" s="408">
        <f>'C2C'!G76</f>
        <v>3427295.18</v>
      </c>
      <c r="H17" s="408">
        <f>'C2C'!H76</f>
        <v>33019792.618799999</v>
      </c>
      <c r="I17" s="47">
        <f t="shared" si="4"/>
        <v>-29592497.4388</v>
      </c>
      <c r="J17" s="200">
        <f t="shared" si="5"/>
        <v>-0.8962048241923648</v>
      </c>
      <c r="K17" s="642">
        <f>'C2C'!K76</f>
        <v>44026390.158399999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8425770.7599999998</v>
      </c>
      <c r="G18" s="408">
        <f>'C2C'!G87</f>
        <v>140386099.38</v>
      </c>
      <c r="H18" s="408">
        <f>'C2C'!H87</f>
        <v>49344599.816486403</v>
      </c>
      <c r="I18" s="47">
        <f t="shared" si="4"/>
        <v>91041499.563513592</v>
      </c>
      <c r="J18" s="200">
        <f t="shared" si="5"/>
        <v>1.8450144474187415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1000</v>
      </c>
      <c r="G19" s="408">
        <f>'C2C'!G92</f>
        <v>45000</v>
      </c>
      <c r="H19" s="408">
        <f>'C2C'!H92</f>
        <v>81260.59507499999</v>
      </c>
      <c r="I19" s="47">
        <f t="shared" si="4"/>
        <v>-36260.59507499999</v>
      </c>
      <c r="J19" s="200">
        <f t="shared" si="5"/>
        <v>-0.4462260587869562</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344884136.66000003</v>
      </c>
      <c r="G20" s="637">
        <f t="shared" si="7"/>
        <v>3034045963.8800001</v>
      </c>
      <c r="H20" s="637">
        <f t="shared" si="7"/>
        <v>3248683460.2631388</v>
      </c>
      <c r="I20" s="47">
        <f t="shared" si="7"/>
        <v>-214637496.38313881</v>
      </c>
      <c r="J20" s="200">
        <f t="shared" si="2"/>
        <v>-6.6069070443001379E-2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182937684.86000001</v>
      </c>
      <c r="G21" s="408">
        <f>'C2C'!G100</f>
        <v>1761883418.8800001</v>
      </c>
      <c r="H21" s="408">
        <f>'C2C'!H100</f>
        <v>1991252106.6905146</v>
      </c>
      <c r="I21" s="47">
        <f>G21-H21</f>
        <v>-229368687.81051445</v>
      </c>
      <c r="J21" s="200">
        <f t="shared" si="2"/>
        <v>-0.1151881708196799</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119201949.01000001</v>
      </c>
      <c r="G22" s="408">
        <f>'C2C'!G104</f>
        <v>930468570.89999998</v>
      </c>
      <c r="H22" s="408">
        <f>'C2C'!H104</f>
        <v>939880612.50087881</v>
      </c>
      <c r="I22" s="47">
        <f>G22-H22</f>
        <v>-9412041.6008788347</v>
      </c>
      <c r="J22" s="200">
        <f t="shared" si="2"/>
        <v>-1.0014082082015532E-2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27766583.850000001</v>
      </c>
      <c r="G23" s="672">
        <f>'C2C'!G108</f>
        <v>219121808.06</v>
      </c>
      <c r="H23" s="672">
        <f>'C2C'!H108</f>
        <v>130156664.92636746</v>
      </c>
      <c r="I23" s="47">
        <f>G23-H23</f>
        <v>88965143.133632541</v>
      </c>
      <c r="J23" s="200">
        <f t="shared" si="2"/>
        <v>0.68352353053884807</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14977918.940000001</v>
      </c>
      <c r="G24" s="408">
        <f>'C2C'!G113</f>
        <v>122572166.03999999</v>
      </c>
      <c r="H24" s="408">
        <f>'C2C'!H113</f>
        <v>187394076.14537805</v>
      </c>
      <c r="I24" s="47">
        <f>G24-H24</f>
        <v>-64821910.105378062</v>
      </c>
      <c r="J24" s="200">
        <f t="shared" si="2"/>
        <v>-0.34591226915353507</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2408642.21</v>
      </c>
      <c r="G25" s="637">
        <f>'C2C'!G118</f>
        <v>20988829.09</v>
      </c>
      <c r="H25" s="637">
        <f>'C2C'!H118</f>
        <v>47708175.514500007</v>
      </c>
      <c r="I25" s="102">
        <f>G25-H25</f>
        <v>-26719346.424500007</v>
      </c>
      <c r="J25" s="713">
        <f t="shared" si="2"/>
        <v>-0.56005802226453116</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559400187.32000005</v>
      </c>
      <c r="G26" s="545">
        <f t="shared" si="8"/>
        <v>4669724889.1100006</v>
      </c>
      <c r="H26" s="545">
        <f t="shared" si="8"/>
        <v>4940705723.9040489</v>
      </c>
      <c r="I26" s="545">
        <f t="shared" si="8"/>
        <v>-270980834.79404885</v>
      </c>
      <c r="J26" s="599">
        <f t="shared" si="2"/>
        <v>-5.4846584665626495E-2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76932532.930000007</v>
      </c>
      <c r="G29" s="637">
        <f t="shared" si="9"/>
        <v>715381735.91000009</v>
      </c>
      <c r="H29" s="637">
        <f t="shared" si="9"/>
        <v>1053989380.5247778</v>
      </c>
      <c r="I29" s="47">
        <f t="shared" ref="I29:I48" si="10">G29-H29</f>
        <v>-338607644.61477768</v>
      </c>
      <c r="J29" s="200">
        <f>IF(I29=0,"",I29/H29)</f>
        <v>-0.32126286172464669</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8642586.6900000013</v>
      </c>
      <c r="G30" s="408">
        <f>'C2C'!G129</f>
        <v>77131083.719999999</v>
      </c>
      <c r="H30" s="408">
        <f>'C2C'!H129</f>
        <v>103957487.04589018</v>
      </c>
      <c r="I30" s="47">
        <f t="shared" si="10"/>
        <v>-26826403.325890183</v>
      </c>
      <c r="J30" s="200">
        <f t="shared" ref="J30:J49" si="11">IF(I30=0,"",I30/H30)</f>
        <v>-0.25805167177663835</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67007835.980000004</v>
      </c>
      <c r="G31" s="672">
        <f>'C2C'!G132</f>
        <v>626186121.70000005</v>
      </c>
      <c r="H31" s="672">
        <f>'C2C'!H132</f>
        <v>933339493.890064</v>
      </c>
      <c r="I31" s="47">
        <f t="shared" si="10"/>
        <v>-307153372.19006395</v>
      </c>
      <c r="J31" s="200">
        <f t="shared" si="11"/>
        <v>-0.3290907265799714</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1282110.26</v>
      </c>
      <c r="G32" s="408">
        <f>'C2C'!G146</f>
        <v>12064530.489999995</v>
      </c>
      <c r="H32" s="408">
        <f>'C2C'!H146</f>
        <v>16692399.588823499</v>
      </c>
      <c r="I32" s="47">
        <f t="shared" si="10"/>
        <v>-4627869.0988235045</v>
      </c>
      <c r="J32" s="200">
        <f t="shared" si="11"/>
        <v>-0.27724408789747179</v>
      </c>
      <c r="K32" s="642">
        <f>'C2C'!K146</f>
        <v>22256532.785097998</v>
      </c>
      <c r="L32" s="100"/>
      <c r="Q32" s="69"/>
    </row>
    <row r="33" spans="1:17" ht="12.75" customHeight="1" x14ac:dyDescent="0.25">
      <c r="A33" s="414" t="s">
        <v>109</v>
      </c>
      <c r="B33" s="428"/>
      <c r="C33" s="641">
        <f t="shared" ref="C33:H33" si="12">SUM(C34:C38)</f>
        <v>0</v>
      </c>
      <c r="D33" s="669">
        <f t="shared" si="12"/>
        <v>440067727.15977156</v>
      </c>
      <c r="E33" s="637">
        <f t="shared" si="12"/>
        <v>533334006.71673155</v>
      </c>
      <c r="F33" s="637">
        <f t="shared" si="12"/>
        <v>42969632.43</v>
      </c>
      <c r="G33" s="637">
        <f t="shared" si="12"/>
        <v>408682506.80000001</v>
      </c>
      <c r="H33" s="637">
        <f t="shared" si="12"/>
        <v>400000505.03754872</v>
      </c>
      <c r="I33" s="47">
        <f t="shared" si="10"/>
        <v>8682001.7624512911</v>
      </c>
      <c r="J33" s="200">
        <f t="shared" si="11"/>
        <v>2.1704977001557279E-2</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10946769.749999998</v>
      </c>
      <c r="G34" s="408">
        <f>'C2C'!G149</f>
        <v>114769108.18999998</v>
      </c>
      <c r="H34" s="408">
        <f>'C2C'!H149</f>
        <v>98167453.3491427</v>
      </c>
      <c r="I34" s="47">
        <f t="shared" si="10"/>
        <v>16601654.840857282</v>
      </c>
      <c r="J34" s="200">
        <f t="shared" si="11"/>
        <v>0.16911567199173214</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9888331.5599999987</v>
      </c>
      <c r="G35" s="408">
        <f>'C2C'!G171</f>
        <v>90837920.960000008</v>
      </c>
      <c r="H35" s="408">
        <f>'C2C'!H171</f>
        <v>85911354.516720057</v>
      </c>
      <c r="I35" s="47">
        <f t="shared" si="10"/>
        <v>4926566.4432799518</v>
      </c>
      <c r="J35" s="200">
        <f t="shared" si="11"/>
        <v>5.7344765089475384E-2</v>
      </c>
      <c r="K35" s="642">
        <f>'C2C'!K171</f>
        <v>114548472.68896006</v>
      </c>
      <c r="L35" s="100"/>
      <c r="Q35" s="69"/>
    </row>
    <row r="36" spans="1:17" ht="12.75" customHeight="1" x14ac:dyDescent="0.25">
      <c r="A36" s="416" t="s">
        <v>112</v>
      </c>
      <c r="B36" s="426"/>
      <c r="C36" s="642">
        <f>'C2C'!C177</f>
        <v>0</v>
      </c>
      <c r="D36" s="670">
        <f>'C2C'!D177</f>
        <v>106871795.2822189</v>
      </c>
      <c r="E36" s="408">
        <f>'C2C'!E177</f>
        <v>140511795.83917889</v>
      </c>
      <c r="F36" s="408">
        <f>'C2C'!F177</f>
        <v>14655603.27</v>
      </c>
      <c r="G36" s="408">
        <f>'C2C'!G177</f>
        <v>146458882.84</v>
      </c>
      <c r="H36" s="408">
        <f>'C2C'!H177</f>
        <v>105383846.87938417</v>
      </c>
      <c r="I36" s="47">
        <f t="shared" si="10"/>
        <v>41075035.960615829</v>
      </c>
      <c r="J36" s="200">
        <f t="shared" si="11"/>
        <v>0.38976595727832719</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6743027.7000000002</v>
      </c>
      <c r="G37" s="408">
        <f>'C2C'!G186</f>
        <v>49433605.000000022</v>
      </c>
      <c r="H37" s="408">
        <f>'C2C'!H186</f>
        <v>110332436.52134845</v>
      </c>
      <c r="I37" s="47">
        <f t="shared" si="10"/>
        <v>-60898831.521348424</v>
      </c>
      <c r="J37" s="200">
        <f t="shared" si="11"/>
        <v>-0.55195764220764754</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735900.15000000014</v>
      </c>
      <c r="G38" s="672">
        <f>'C2C'!G189</f>
        <v>7182989.8099999987</v>
      </c>
      <c r="H38" s="672">
        <f>'C2C'!H189</f>
        <v>205413.77095333135</v>
      </c>
      <c r="I38" s="47">
        <f t="shared" si="10"/>
        <v>6977576.0390466675</v>
      </c>
      <c r="J38" s="200">
        <f t="shared" si="11"/>
        <v>33.96839465369596</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294605680.61754364</v>
      </c>
      <c r="F39" s="637">
        <f t="shared" si="13"/>
        <v>27554003.309999999</v>
      </c>
      <c r="G39" s="637">
        <f t="shared" si="13"/>
        <v>241187304.64999998</v>
      </c>
      <c r="H39" s="637">
        <f t="shared" si="13"/>
        <v>220954260.46315771</v>
      </c>
      <c r="I39" s="47">
        <f t="shared" si="10"/>
        <v>20233044.186842263</v>
      </c>
      <c r="J39" s="200">
        <f t="shared" si="11"/>
        <v>9.1571188283178437E-2</v>
      </c>
      <c r="K39" s="641">
        <f>SUM(K40:K42)</f>
        <v>294605680.61754364</v>
      </c>
      <c r="L39" s="100"/>
      <c r="Q39" s="70"/>
    </row>
    <row r="40" spans="1:17" ht="12.75" customHeight="1" x14ac:dyDescent="0.25">
      <c r="A40" s="416" t="s">
        <v>114</v>
      </c>
      <c r="B40" s="426"/>
      <c r="C40" s="642">
        <f>'C2C'!C198</f>
        <v>0</v>
      </c>
      <c r="D40" s="670">
        <f>'C2C'!D198</f>
        <v>92239503.875528902</v>
      </c>
      <c r="E40" s="408">
        <f>'C2C'!E198</f>
        <v>94069123.875528887</v>
      </c>
      <c r="F40" s="408">
        <f>'C2C'!F198</f>
        <v>5534432.089999998</v>
      </c>
      <c r="G40" s="408">
        <f>'C2C'!G198</f>
        <v>48801281.229999982</v>
      </c>
      <c r="H40" s="408">
        <f>'C2C'!H198</f>
        <v>70551842.906646669</v>
      </c>
      <c r="I40" s="47">
        <f t="shared" si="10"/>
        <v>-21750561.676646687</v>
      </c>
      <c r="J40" s="200">
        <f t="shared" si="11"/>
        <v>-0.30829189969462262</v>
      </c>
      <c r="K40" s="642">
        <f>'C2C'!K198</f>
        <v>94069123.875528887</v>
      </c>
      <c r="L40" s="100"/>
      <c r="Q40" s="70"/>
    </row>
    <row r="41" spans="1:17" ht="12.75" customHeight="1" x14ac:dyDescent="0.25">
      <c r="A41" s="416" t="s">
        <v>115</v>
      </c>
      <c r="B41" s="426"/>
      <c r="C41" s="642">
        <f>'C2C'!C209</f>
        <v>0</v>
      </c>
      <c r="D41" s="670">
        <f>'C2C'!D209</f>
        <v>171068986.74871668</v>
      </c>
      <c r="E41" s="408">
        <f>'C2C'!E209</f>
        <v>175671731.78281486</v>
      </c>
      <c r="F41" s="408">
        <f>'C2C'!F209</f>
        <v>20304636.169999998</v>
      </c>
      <c r="G41" s="408">
        <f>'C2C'!G209</f>
        <v>176951637.25999999</v>
      </c>
      <c r="H41" s="408">
        <f>'C2C'!H209</f>
        <v>131753798.83711112</v>
      </c>
      <c r="I41" s="47">
        <f t="shared" si="10"/>
        <v>45197838.422888875</v>
      </c>
      <c r="J41" s="200">
        <f t="shared" si="11"/>
        <v>0.34304770581049837</v>
      </c>
      <c r="K41" s="642">
        <f>'C2C'!K209</f>
        <v>175671731.78281486</v>
      </c>
      <c r="L41" s="100"/>
      <c r="Q41" s="70"/>
    </row>
    <row r="42" spans="1:17" ht="12.75" customHeight="1" x14ac:dyDescent="0.25">
      <c r="A42" s="416" t="s">
        <v>116</v>
      </c>
      <c r="B42" s="426"/>
      <c r="C42" s="642">
        <f>'C2C'!C214</f>
        <v>0</v>
      </c>
      <c r="D42" s="670">
        <f>'C2C'!D214</f>
        <v>24864824.959199883</v>
      </c>
      <c r="E42" s="408">
        <f>'C2C'!E214</f>
        <v>24864824.959199883</v>
      </c>
      <c r="F42" s="408">
        <f>'C2C'!F214</f>
        <v>1714935.0500000003</v>
      </c>
      <c r="G42" s="408">
        <f>'C2C'!G214</f>
        <v>15434386.16</v>
      </c>
      <c r="H42" s="408">
        <f>'C2C'!H214</f>
        <v>18648618.719399914</v>
      </c>
      <c r="I42" s="47">
        <f t="shared" si="10"/>
        <v>-3214232.559399914</v>
      </c>
      <c r="J42" s="200">
        <f t="shared" si="11"/>
        <v>-0.17235767472988173</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264188601.09000003</v>
      </c>
      <c r="G43" s="637">
        <f t="shared" si="14"/>
        <v>2569370421.9900007</v>
      </c>
      <c r="H43" s="637">
        <f t="shared" si="14"/>
        <v>2518943389.085618</v>
      </c>
      <c r="I43" s="47">
        <f t="shared" si="14"/>
        <v>50427032.904382825</v>
      </c>
      <c r="J43" s="200">
        <f t="shared" si="11"/>
        <v>2.0019121161229409E-2</v>
      </c>
      <c r="K43" s="641">
        <f>SUM(K44:K47)</f>
        <v>3358591185.4474902</v>
      </c>
      <c r="L43" s="100"/>
      <c r="Q43" s="70"/>
    </row>
    <row r="44" spans="1:17" ht="12.75" customHeight="1" x14ac:dyDescent="0.25">
      <c r="A44" s="416" t="s">
        <v>1191</v>
      </c>
      <c r="B44" s="426"/>
      <c r="C44" s="642">
        <f>'C2C'!C222</f>
        <v>0</v>
      </c>
      <c r="D44" s="670">
        <f>'C2C'!D222</f>
        <v>2291332272.7237678</v>
      </c>
      <c r="E44" s="408">
        <f>'C2C'!E222</f>
        <v>2205525042.7237678</v>
      </c>
      <c r="F44" s="408">
        <f>'C2C'!F222</f>
        <v>147822805.04000002</v>
      </c>
      <c r="G44" s="408">
        <f>'C2C'!G222</f>
        <v>1621917859.7800007</v>
      </c>
      <c r="H44" s="408">
        <f>'C2C'!H222</f>
        <v>1654143782.0428257</v>
      </c>
      <c r="I44" s="47">
        <f t="shared" si="10"/>
        <v>-32225922.262825012</v>
      </c>
      <c r="J44" s="200">
        <f t="shared" si="11"/>
        <v>-1.9481935375065651E-2</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86789679.75999999</v>
      </c>
      <c r="G45" s="408">
        <f>'C2C'!G226</f>
        <v>677042782.80999994</v>
      </c>
      <c r="H45" s="408">
        <f>'C2C'!H226</f>
        <v>23267555.077500001</v>
      </c>
      <c r="I45" s="47">
        <f t="shared" si="10"/>
        <v>653775227.73249996</v>
      </c>
      <c r="J45" s="200">
        <f t="shared" si="11"/>
        <v>28.098148926902436</v>
      </c>
      <c r="K45" s="642">
        <f>'C2C'!K226</f>
        <v>31023406.77</v>
      </c>
      <c r="L45" s="100"/>
      <c r="Q45" s="70"/>
    </row>
    <row r="46" spans="1:17" ht="12.75" customHeight="1" x14ac:dyDescent="0.25">
      <c r="A46" s="416" t="s">
        <v>118</v>
      </c>
      <c r="B46" s="426"/>
      <c r="C46" s="643">
        <f>'C2C'!C230</f>
        <v>0</v>
      </c>
      <c r="D46" s="671">
        <f>'C2C'!D230</f>
        <v>931929869.0260967</v>
      </c>
      <c r="E46" s="672">
        <f>'C2C'!E230</f>
        <v>995608331.02609658</v>
      </c>
      <c r="F46" s="672">
        <f>'C2C'!F230</f>
        <v>19648484.710000001</v>
      </c>
      <c r="G46" s="672">
        <f>'C2C'!G230</f>
        <v>182957261.24999994</v>
      </c>
      <c r="H46" s="672">
        <f>'C2C'!H230</f>
        <v>746706248.2695725</v>
      </c>
      <c r="I46" s="47">
        <f t="shared" si="10"/>
        <v>-563748987.0195725</v>
      </c>
      <c r="J46" s="200">
        <f t="shared" si="11"/>
        <v>-0.75498094240675273</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9927631.5800000001</v>
      </c>
      <c r="G47" s="408">
        <f>'C2C'!G235</f>
        <v>87452518.149999961</v>
      </c>
      <c r="H47" s="408">
        <f>'C2C'!H235</f>
        <v>94825803.695719585</v>
      </c>
      <c r="I47" s="47">
        <f t="shared" si="10"/>
        <v>-7373285.5457196236</v>
      </c>
      <c r="J47" s="200">
        <f t="shared" si="11"/>
        <v>-7.7756109184998687E-2</v>
      </c>
      <c r="K47" s="642">
        <f>'C2C'!K235</f>
        <v>126434404.92762612</v>
      </c>
      <c r="L47" s="100"/>
      <c r="Q47" s="70"/>
    </row>
    <row r="48" spans="1:17" ht="12.75" customHeight="1" x14ac:dyDescent="0.25">
      <c r="A48" s="414" t="s">
        <v>718</v>
      </c>
      <c r="B48" s="426"/>
      <c r="C48" s="641">
        <f>'C2C'!C240</f>
        <v>0</v>
      </c>
      <c r="D48" s="669">
        <f>'C2C'!D240</f>
        <v>81300979.882271051</v>
      </c>
      <c r="E48" s="637">
        <f>'C2C'!E240</f>
        <v>81300979.882271051</v>
      </c>
      <c r="F48" s="637">
        <f>'C2C'!F240</f>
        <v>9747799.2000000011</v>
      </c>
      <c r="G48" s="637">
        <f>'C2C'!G240</f>
        <v>49343034.180000007</v>
      </c>
      <c r="H48" s="637">
        <f>'C2C'!H240</f>
        <v>60975734.911703296</v>
      </c>
      <c r="I48" s="102">
        <f t="shared" si="10"/>
        <v>-11632700.731703289</v>
      </c>
      <c r="J48" s="713">
        <f t="shared" si="11"/>
        <v>-0.19077590042249054</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5673151026.697073</v>
      </c>
      <c r="F49" s="545">
        <f t="shared" si="15"/>
        <v>421392568.96000004</v>
      </c>
      <c r="G49" s="545">
        <f t="shared" si="15"/>
        <v>3983965003.5300007</v>
      </c>
      <c r="H49" s="545">
        <f t="shared" si="15"/>
        <v>4254863270.0228052</v>
      </c>
      <c r="I49" s="545">
        <f t="shared" si="15"/>
        <v>-270898266.49280459</v>
      </c>
      <c r="J49" s="599">
        <f t="shared" si="11"/>
        <v>-6.3667913467722936E-2</v>
      </c>
      <c r="K49" s="720">
        <f>K29+K33+K39+K43+K48</f>
        <v>5673151026.697073</v>
      </c>
      <c r="L49" s="100"/>
      <c r="Q49" s="75"/>
    </row>
    <row r="50" spans="1:17" ht="12.75" customHeight="1" x14ac:dyDescent="0.25">
      <c r="A50" s="94" t="s">
        <v>893</v>
      </c>
      <c r="B50" s="429"/>
      <c r="C50" s="540">
        <f t="shared" ref="C50:H50" si="16">C26-C49</f>
        <v>0</v>
      </c>
      <c r="D50" s="640">
        <f t="shared" si="16"/>
        <v>927224369.32743168</v>
      </c>
      <c r="E50" s="634">
        <f t="shared" si="16"/>
        <v>914456605.17499161</v>
      </c>
      <c r="F50" s="634">
        <f t="shared" si="16"/>
        <v>138007618.36000001</v>
      </c>
      <c r="G50" s="634">
        <f t="shared" si="16"/>
        <v>685759885.57999992</v>
      </c>
      <c r="H50" s="634">
        <f t="shared" si="16"/>
        <v>685842453.88124371</v>
      </c>
      <c r="I50" s="634">
        <f>I26-I49</f>
        <v>-82568.301244258881</v>
      </c>
      <c r="J50" s="638">
        <f>IF(I50=0,"",I50/H50)</f>
        <v>-1.2038960373041576E-4</v>
      </c>
      <c r="K50" s="639">
        <f>K26-K49</f>
        <v>914456605.17499161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7" t="s">
        <v>1212</v>
      </c>
      <c r="B55" s="1047"/>
      <c r="C55" s="1047"/>
      <c r="D55" s="1047"/>
      <c r="E55" s="1047"/>
      <c r="F55" s="1047"/>
      <c r="G55" s="1047"/>
      <c r="H55" s="1047"/>
      <c r="I55" s="1047"/>
      <c r="J55" s="1047"/>
      <c r="K55" s="1047"/>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85" activePane="bottomRight" state="frozen"/>
      <selection pane="topRight"/>
      <selection pane="bottomLeft"/>
      <selection pane="bottomRight" activeCell="F182" sqref="F182:G182"/>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6" t="str">
        <f>muni&amp; " - "&amp;S71A&amp; " - "&amp;date</f>
        <v>KZN225 Msunduzi - Table C2 Consolidated Monthly Budget Statement - Financial Performance (functional classification)  - Q3 Third Quarter</v>
      </c>
      <c r="B1" s="1046"/>
      <c r="C1" s="1046"/>
      <c r="D1" s="1046"/>
      <c r="E1" s="1046"/>
      <c r="F1" s="1046"/>
      <c r="G1" s="1046"/>
      <c r="H1" s="1046"/>
      <c r="I1" s="1046"/>
      <c r="J1" s="1046"/>
      <c r="K1" s="1046"/>
    </row>
    <row r="2" spans="1:12" ht="13.5" customHeight="1" x14ac:dyDescent="0.25">
      <c r="A2" s="1044" t="str">
        <f>desc</f>
        <v>Description</v>
      </c>
      <c r="B2" s="1042" t="str">
        <f>head27</f>
        <v>Ref</v>
      </c>
      <c r="C2" s="24" t="str">
        <f>Head1</f>
        <v>2019/20</v>
      </c>
      <c r="D2" s="231" t="str">
        <f>Head2</f>
        <v>Budget Year 2020/21</v>
      </c>
      <c r="E2" s="229"/>
      <c r="F2" s="229"/>
      <c r="G2" s="229"/>
      <c r="H2" s="229"/>
      <c r="I2" s="229"/>
      <c r="J2" s="229"/>
      <c r="K2" s="230"/>
    </row>
    <row r="3" spans="1:12"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190686654.28</v>
      </c>
      <c r="G6" s="605">
        <f t="shared" si="0"/>
        <v>1369439612.8200002</v>
      </c>
      <c r="H6" s="605">
        <f t="shared" si="0"/>
        <v>1246002376.738137</v>
      </c>
      <c r="I6" s="632">
        <f>G6-H6</f>
        <v>123437236.08186316</v>
      </c>
      <c r="J6" s="633">
        <f>IF(I6=0,"",I6/H6)</f>
        <v>9.9066613664899161E-2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649731.93000000005</v>
      </c>
      <c r="G7" s="608">
        <f t="shared" si="1"/>
        <v>2692737.93</v>
      </c>
      <c r="H7" s="608">
        <f t="shared" si="1"/>
        <v>3335647.5100499997</v>
      </c>
      <c r="I7" s="608">
        <f t="shared" ref="I7:I123" si="2">G7-H7</f>
        <v>-642909.58004999952</v>
      </c>
      <c r="J7" s="608">
        <f t="shared" ref="J7:J123" si="3">IF(I7=0,"",I7/H7)</f>
        <v>-0.1927390643384746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649731.93000000005</v>
      </c>
      <c r="G9" s="733">
        <v>2692737.93</v>
      </c>
      <c r="H9" s="733">
        <f>E9/12*9</f>
        <v>3335647.5100499997</v>
      </c>
      <c r="I9" s="408">
        <f t="shared" si="2"/>
        <v>-642909.58004999952</v>
      </c>
      <c r="J9" s="408">
        <f t="shared" si="3"/>
        <v>-0.1927390643384746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190036922.34999999</v>
      </c>
      <c r="G10" s="608">
        <f t="shared" si="4"/>
        <v>1366746874.8900001</v>
      </c>
      <c r="H10" s="608">
        <f t="shared" si="4"/>
        <v>1242666729.2280869</v>
      </c>
      <c r="I10" s="608">
        <f t="shared" ref="I10:I15" si="5">G10-H10</f>
        <v>124080145.66191316</v>
      </c>
      <c r="J10" s="608">
        <f t="shared" ref="J10:J15" si="6">IF(I10=0,"",I10/H10)</f>
        <v>9.984989759803789E-2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188369752.56</v>
      </c>
      <c r="G13" s="733">
        <v>1358011033.1900001</v>
      </c>
      <c r="H13" s="733">
        <f>E13/12*9</f>
        <v>1228237343.713212</v>
      </c>
      <c r="I13" s="408">
        <f t="shared" si="5"/>
        <v>129773689.47678804</v>
      </c>
      <c r="J13" s="408">
        <f t="shared" si="6"/>
        <v>0.10565847890966718</v>
      </c>
      <c r="K13" s="735">
        <f>E13</f>
        <v>1637649791.6176159</v>
      </c>
      <c r="L13" s="100"/>
    </row>
    <row r="14" spans="1:12" x14ac:dyDescent="0.25">
      <c r="A14" s="695" t="s">
        <v>1127</v>
      </c>
      <c r="B14" s="415"/>
      <c r="C14" s="733"/>
      <c r="D14" s="733"/>
      <c r="E14" s="733">
        <v>0</v>
      </c>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476270.78</v>
      </c>
      <c r="G15" s="733">
        <v>6137002.2599999998</v>
      </c>
      <c r="H15" s="733">
        <f t="shared" ref="H15:H17" si="7">E15/12*9</f>
        <v>14235043.980675001</v>
      </c>
      <c r="I15" s="408">
        <f t="shared" si="5"/>
        <v>-8098041.7206750009</v>
      </c>
      <c r="J15" s="408">
        <f t="shared" si="6"/>
        <v>-0.5688806955334047</v>
      </c>
      <c r="K15" s="735">
        <f>E15</f>
        <v>18980058.640900001</v>
      </c>
      <c r="L15" s="100"/>
    </row>
    <row r="16" spans="1:12" x14ac:dyDescent="0.25">
      <c r="A16" s="695" t="s">
        <v>162</v>
      </c>
      <c r="B16" s="415"/>
      <c r="C16" s="733"/>
      <c r="D16" s="733">
        <v>2016.0139999999999</v>
      </c>
      <c r="E16" s="733">
        <v>2016.0139999999999</v>
      </c>
      <c r="F16" s="733"/>
      <c r="G16" s="733">
        <v>116.52</v>
      </c>
      <c r="H16" s="733">
        <f t="shared" si="7"/>
        <v>1512.0104999999999</v>
      </c>
      <c r="I16" s="408">
        <f t="shared" ref="I16:I23" si="8">G16-H16</f>
        <v>-1395.4904999999999</v>
      </c>
      <c r="J16" s="408">
        <f t="shared" ref="J16:J23" si="9">IF(I16=0,"",I16/H16)</f>
        <v>-0.92293704309593083</v>
      </c>
      <c r="K16" s="735">
        <f>E16</f>
        <v>2016.0139999999999</v>
      </c>
      <c r="L16" s="100"/>
    </row>
    <row r="17" spans="1:12" x14ac:dyDescent="0.25">
      <c r="A17" s="695" t="s">
        <v>1128</v>
      </c>
      <c r="B17" s="415"/>
      <c r="C17" s="733"/>
      <c r="D17" s="733">
        <v>257106.03159999999</v>
      </c>
      <c r="E17" s="733">
        <v>257106.03159999999</v>
      </c>
      <c r="F17" s="733"/>
      <c r="G17" s="733"/>
      <c r="H17" s="733">
        <f t="shared" si="7"/>
        <v>192829.52369999999</v>
      </c>
      <c r="I17" s="408">
        <f t="shared" si="8"/>
        <v>-192829.52369999999</v>
      </c>
      <c r="J17" s="408">
        <f t="shared" si="9"/>
        <v>-1</v>
      </c>
      <c r="K17" s="735">
        <f>E17</f>
        <v>257106.03159999999</v>
      </c>
      <c r="L17" s="100"/>
    </row>
    <row r="18" spans="1:12" ht="22.5" x14ac:dyDescent="0.25">
      <c r="A18" s="695" t="s">
        <v>1129</v>
      </c>
      <c r="B18" s="415"/>
      <c r="C18" s="733"/>
      <c r="D18" s="733"/>
      <c r="E18" s="733"/>
      <c r="F18" s="733"/>
      <c r="G18" s="733"/>
      <c r="H18" s="733"/>
      <c r="I18" s="408">
        <f t="shared" si="8"/>
        <v>0</v>
      </c>
      <c r="J18" s="408" t="str">
        <f t="shared" si="9"/>
        <v/>
      </c>
      <c r="K18" s="735"/>
      <c r="L18" s="100"/>
    </row>
    <row r="19" spans="1:12" x14ac:dyDescent="0.25">
      <c r="A19" s="695" t="s">
        <v>163</v>
      </c>
      <c r="B19" s="415"/>
      <c r="C19" s="733"/>
      <c r="D19" s="733"/>
      <c r="E19" s="733"/>
      <c r="F19" s="733">
        <v>1182504.97</v>
      </c>
      <c r="G19" s="733">
        <v>2512252.2200000002</v>
      </c>
      <c r="H19" s="733"/>
      <c r="I19" s="408">
        <f t="shared" si="8"/>
        <v>2512252.2200000002</v>
      </c>
      <c r="J19" s="408" t="e">
        <f t="shared" si="9"/>
        <v>#DIV/0!</v>
      </c>
      <c r="K19" s="735"/>
      <c r="L19" s="100"/>
    </row>
    <row r="20" spans="1:12" x14ac:dyDescent="0.25">
      <c r="A20" s="695" t="s">
        <v>1130</v>
      </c>
      <c r="B20" s="415"/>
      <c r="C20" s="733"/>
      <c r="D20" s="733"/>
      <c r="E20" s="733"/>
      <c r="F20" s="733"/>
      <c r="G20" s="733"/>
      <c r="H20" s="733"/>
      <c r="I20" s="408">
        <f t="shared" si="8"/>
        <v>0</v>
      </c>
      <c r="J20" s="408" t="str">
        <f t="shared" si="9"/>
        <v/>
      </c>
      <c r="K20" s="735"/>
      <c r="L20" s="100"/>
    </row>
    <row r="21" spans="1:12" x14ac:dyDescent="0.25">
      <c r="A21" s="695" t="s">
        <v>1131</v>
      </c>
      <c r="B21" s="415"/>
      <c r="C21" s="733"/>
      <c r="D21" s="733"/>
      <c r="E21" s="733"/>
      <c r="F21" s="733"/>
      <c r="G21" s="733"/>
      <c r="H21" s="733"/>
      <c r="I21" s="408">
        <f t="shared" si="8"/>
        <v>0</v>
      </c>
      <c r="J21" s="408" t="str">
        <f t="shared" si="9"/>
        <v/>
      </c>
      <c r="K21" s="735"/>
      <c r="L21" s="100"/>
    </row>
    <row r="22" spans="1:12" x14ac:dyDescent="0.25">
      <c r="A22" s="695" t="s">
        <v>1132</v>
      </c>
      <c r="B22" s="415"/>
      <c r="C22" s="733"/>
      <c r="D22" s="733"/>
      <c r="E22" s="733"/>
      <c r="F22" s="733">
        <v>8394.0400000000009</v>
      </c>
      <c r="G22" s="733">
        <v>86470.7</v>
      </c>
      <c r="H22" s="733"/>
      <c r="I22" s="408">
        <f t="shared" si="8"/>
        <v>86470.7</v>
      </c>
      <c r="J22" s="408" t="e">
        <f t="shared" si="9"/>
        <v>#DIV/0!</v>
      </c>
      <c r="K22" s="735"/>
      <c r="L22" s="100"/>
    </row>
    <row r="23" spans="1:12" x14ac:dyDescent="0.25">
      <c r="A23" s="695" t="s">
        <v>1133</v>
      </c>
      <c r="B23" s="415"/>
      <c r="C23" s="733"/>
      <c r="D23" s="733"/>
      <c r="E23" s="733"/>
      <c r="F23" s="733"/>
      <c r="G23" s="733"/>
      <c r="H23" s="733"/>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421154744.47721577</v>
      </c>
      <c r="F26" s="605">
        <f t="shared" si="11"/>
        <v>12030525.029999999</v>
      </c>
      <c r="G26" s="605">
        <f t="shared" si="11"/>
        <v>101392088.75999999</v>
      </c>
      <c r="H26" s="605">
        <f t="shared" si="11"/>
        <v>315866058.35791183</v>
      </c>
      <c r="I26" s="605">
        <f t="shared" si="2"/>
        <v>-214473969.59791183</v>
      </c>
      <c r="J26" s="605">
        <f t="shared" si="3"/>
        <v>-0.67900289987754447</v>
      </c>
      <c r="K26" s="606">
        <f t="shared" si="11"/>
        <v>421154744.47721577</v>
      </c>
      <c r="L26" s="100"/>
    </row>
    <row r="27" spans="1:12" x14ac:dyDescent="0.25">
      <c r="A27" s="607" t="s">
        <v>110</v>
      </c>
      <c r="B27" s="415"/>
      <c r="C27" s="611">
        <f t="shared" ref="C27:H27" si="12">SUM(C28:C48)</f>
        <v>0</v>
      </c>
      <c r="D27" s="611">
        <f t="shared" si="12"/>
        <v>26242986.682700001</v>
      </c>
      <c r="E27" s="611">
        <f t="shared" si="12"/>
        <v>26648021.682700001</v>
      </c>
      <c r="F27" s="611">
        <f t="shared" si="12"/>
        <v>1557526.53</v>
      </c>
      <c r="G27" s="611">
        <f t="shared" si="12"/>
        <v>18456277.510000002</v>
      </c>
      <c r="H27" s="611">
        <f t="shared" si="12"/>
        <v>19986016.262024999</v>
      </c>
      <c r="I27" s="611">
        <f t="shared" si="2"/>
        <v>-1529738.752024997</v>
      </c>
      <c r="J27" s="611">
        <f t="shared" si="3"/>
        <v>-7.6540453683689877E-2</v>
      </c>
      <c r="K27" s="611">
        <f>SUM(K28:K48)</f>
        <v>26648021.682700001</v>
      </c>
      <c r="L27" s="100"/>
    </row>
    <row r="28" spans="1:12" x14ac:dyDescent="0.25">
      <c r="A28" s="695" t="s">
        <v>165</v>
      </c>
      <c r="B28" s="415"/>
      <c r="C28" s="733"/>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c r="D31" s="733">
        <v>3523188.2817999995</v>
      </c>
      <c r="E31" s="733">
        <v>3523188.2817999995</v>
      </c>
      <c r="F31" s="733">
        <v>330222.87</v>
      </c>
      <c r="G31" s="733">
        <v>3847298.06</v>
      </c>
      <c r="H31" s="733">
        <f>E31/12*9</f>
        <v>2642391.2113499995</v>
      </c>
      <c r="I31" s="408">
        <f t="shared" si="13"/>
        <v>1204906.8486500005</v>
      </c>
      <c r="J31" s="408">
        <f t="shared" si="14"/>
        <v>0.45599108999246662</v>
      </c>
      <c r="K31" s="735">
        <f>E31</f>
        <v>3523188.2817999995</v>
      </c>
      <c r="L31" s="100"/>
    </row>
    <row r="32" spans="1:12" x14ac:dyDescent="0.25">
      <c r="A32" s="695" t="s">
        <v>1139</v>
      </c>
      <c r="B32" s="415"/>
      <c r="C32" s="733"/>
      <c r="D32" s="733"/>
      <c r="E32" s="733">
        <v>0</v>
      </c>
      <c r="F32" s="733"/>
      <c r="G32" s="733"/>
      <c r="H32" s="733"/>
      <c r="I32" s="408">
        <f t="shared" si="13"/>
        <v>0</v>
      </c>
      <c r="J32" s="408" t="str">
        <f t="shared" si="14"/>
        <v/>
      </c>
      <c r="K32" s="735"/>
      <c r="L32" s="100"/>
    </row>
    <row r="33" spans="1:12" x14ac:dyDescent="0.25">
      <c r="A33" s="695" t="s">
        <v>1140</v>
      </c>
      <c r="B33" s="415"/>
      <c r="C33" s="733"/>
      <c r="D33" s="733">
        <v>1045798.4008999999</v>
      </c>
      <c r="E33" s="733">
        <v>1045798.4008999999</v>
      </c>
      <c r="F33" s="733">
        <v>387440.18</v>
      </c>
      <c r="G33" s="733">
        <v>2226702.65</v>
      </c>
      <c r="H33" s="733">
        <f>E33/12*9</f>
        <v>784348.80067499995</v>
      </c>
      <c r="I33" s="408">
        <f t="shared" si="13"/>
        <v>1442353.8493249998</v>
      </c>
      <c r="J33" s="408">
        <f t="shared" si="14"/>
        <v>1.8389189198526594</v>
      </c>
      <c r="K33" s="735">
        <f>E33</f>
        <v>1045798.4008999999</v>
      </c>
      <c r="L33" s="100"/>
    </row>
    <row r="34" spans="1:12" x14ac:dyDescent="0.25">
      <c r="A34" s="695" t="s">
        <v>1141</v>
      </c>
      <c r="B34" s="415"/>
      <c r="C34" s="733"/>
      <c r="D34" s="733"/>
      <c r="E34" s="733">
        <v>0</v>
      </c>
      <c r="F34" s="733"/>
      <c r="G34" s="733"/>
      <c r="H34" s="733"/>
      <c r="I34" s="408">
        <f t="shared" si="13"/>
        <v>0</v>
      </c>
      <c r="J34" s="408" t="str">
        <f t="shared" si="14"/>
        <v/>
      </c>
      <c r="K34" s="735"/>
      <c r="L34" s="100"/>
    </row>
    <row r="35" spans="1:12" x14ac:dyDescent="0.25">
      <c r="A35" s="695" t="s">
        <v>1142</v>
      </c>
      <c r="B35" s="415"/>
      <c r="C35" s="733"/>
      <c r="D35" s="733"/>
      <c r="E35" s="733">
        <v>0</v>
      </c>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v>0</v>
      </c>
      <c r="F36" s="733"/>
      <c r="G36" s="733"/>
      <c r="H36" s="733"/>
      <c r="I36" s="408">
        <f t="shared" si="15"/>
        <v>0</v>
      </c>
      <c r="J36" s="408" t="str">
        <f t="shared" si="16"/>
        <v/>
      </c>
      <c r="K36" s="735"/>
      <c r="L36" s="100"/>
    </row>
    <row r="37" spans="1:12" x14ac:dyDescent="0.25">
      <c r="A37" s="695" t="s">
        <v>1004</v>
      </c>
      <c r="B37" s="415"/>
      <c r="C37" s="733"/>
      <c r="D37" s="733"/>
      <c r="E37" s="733">
        <v>0</v>
      </c>
      <c r="F37" s="733"/>
      <c r="G37" s="733"/>
      <c r="H37" s="733"/>
      <c r="I37" s="408">
        <f t="shared" si="15"/>
        <v>0</v>
      </c>
      <c r="J37" s="408" t="str">
        <f t="shared" si="16"/>
        <v/>
      </c>
      <c r="K37" s="735"/>
      <c r="L37" s="100"/>
    </row>
    <row r="38" spans="1:12" x14ac:dyDescent="0.25">
      <c r="A38" s="695" t="s">
        <v>1144</v>
      </c>
      <c r="B38" s="415"/>
      <c r="C38" s="733"/>
      <c r="D38" s="733"/>
      <c r="E38" s="733">
        <v>0</v>
      </c>
      <c r="F38" s="733"/>
      <c r="G38" s="733"/>
      <c r="H38" s="733"/>
      <c r="I38" s="408">
        <f t="shared" si="15"/>
        <v>0</v>
      </c>
      <c r="J38" s="408" t="str">
        <f t="shared" si="16"/>
        <v/>
      </c>
      <c r="K38" s="735"/>
      <c r="L38" s="100"/>
    </row>
    <row r="39" spans="1:12" x14ac:dyDescent="0.25">
      <c r="A39" s="695" t="s">
        <v>1145</v>
      </c>
      <c r="B39" s="415"/>
      <c r="C39" s="733"/>
      <c r="D39" s="733"/>
      <c r="E39" s="733">
        <v>0</v>
      </c>
      <c r="F39" s="733"/>
      <c r="G39" s="733"/>
      <c r="H39" s="733"/>
      <c r="I39" s="408">
        <f t="shared" si="15"/>
        <v>0</v>
      </c>
      <c r="J39" s="408" t="str">
        <f t="shared" si="16"/>
        <v/>
      </c>
      <c r="K39" s="735"/>
      <c r="L39" s="100"/>
    </row>
    <row r="40" spans="1:12" x14ac:dyDescent="0.25">
      <c r="A40" s="695" t="s">
        <v>1146</v>
      </c>
      <c r="B40" s="415"/>
      <c r="C40" s="733"/>
      <c r="D40" s="733"/>
      <c r="E40" s="733">
        <v>0</v>
      </c>
      <c r="F40" s="733"/>
      <c r="G40" s="733"/>
      <c r="H40" s="733"/>
      <c r="I40" s="408">
        <f t="shared" si="15"/>
        <v>0</v>
      </c>
      <c r="J40" s="408" t="str">
        <f t="shared" si="16"/>
        <v/>
      </c>
      <c r="K40" s="735"/>
      <c r="L40" s="100"/>
    </row>
    <row r="41" spans="1:12" x14ac:dyDescent="0.25">
      <c r="A41" s="695" t="s">
        <v>164</v>
      </c>
      <c r="B41" s="415"/>
      <c r="C41" s="733"/>
      <c r="D41" s="733">
        <v>10974000</v>
      </c>
      <c r="E41" s="733">
        <v>10974000</v>
      </c>
      <c r="F41" s="733">
        <v>764103.48</v>
      </c>
      <c r="G41" s="733">
        <v>12215490.43</v>
      </c>
      <c r="H41" s="733">
        <f>E41/12*9</f>
        <v>8230500</v>
      </c>
      <c r="I41" s="408">
        <f t="shared" si="2"/>
        <v>3984990.4299999997</v>
      </c>
      <c r="J41" s="408">
        <f t="shared" si="3"/>
        <v>0.48417355324706879</v>
      </c>
      <c r="K41" s="735">
        <f>E41</f>
        <v>10974000</v>
      </c>
      <c r="L41" s="100"/>
    </row>
    <row r="42" spans="1:12" x14ac:dyDescent="0.25">
      <c r="A42" s="695" t="s">
        <v>1147</v>
      </c>
      <c r="B42" s="415"/>
      <c r="C42" s="733"/>
      <c r="D42" s="733"/>
      <c r="E42" s="733">
        <v>0</v>
      </c>
      <c r="F42" s="733"/>
      <c r="G42" s="733"/>
      <c r="H42" s="733"/>
      <c r="I42" s="408">
        <f t="shared" si="2"/>
        <v>0</v>
      </c>
      <c r="J42" s="408" t="str">
        <f t="shared" si="3"/>
        <v/>
      </c>
      <c r="K42" s="735"/>
      <c r="L42" s="100"/>
    </row>
    <row r="43" spans="1:12" x14ac:dyDescent="0.25">
      <c r="A43" s="695" t="s">
        <v>1148</v>
      </c>
      <c r="B43" s="415"/>
      <c r="C43" s="733"/>
      <c r="D43" s="733"/>
      <c r="E43" s="733">
        <v>0</v>
      </c>
      <c r="F43" s="733"/>
      <c r="G43" s="733"/>
      <c r="H43" s="733"/>
      <c r="I43" s="408">
        <f t="shared" si="2"/>
        <v>0</v>
      </c>
      <c r="J43" s="408" t="str">
        <f t="shared" si="3"/>
        <v/>
      </c>
      <c r="K43" s="735"/>
      <c r="L43" s="100"/>
    </row>
    <row r="44" spans="1:12" x14ac:dyDescent="0.25">
      <c r="A44" s="695" t="s">
        <v>1149</v>
      </c>
      <c r="B44" s="415"/>
      <c r="C44" s="733"/>
      <c r="D44" s="733">
        <v>10700000</v>
      </c>
      <c r="E44" s="733">
        <v>11105035</v>
      </c>
      <c r="F44" s="733">
        <v>75760</v>
      </c>
      <c r="G44" s="733">
        <v>166786.37</v>
      </c>
      <c r="H44" s="733">
        <f>E44/12*9</f>
        <v>8328776.25</v>
      </c>
      <c r="I44" s="408">
        <f t="shared" si="2"/>
        <v>-8161989.8799999999</v>
      </c>
      <c r="J44" s="408">
        <f t="shared" si="3"/>
        <v>-0.97997468475635896</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7">SUM(D50:D54)</f>
        <v>11002054.78726843</v>
      </c>
      <c r="E49" s="611">
        <f t="shared" si="17"/>
        <v>11002054.78726843</v>
      </c>
      <c r="F49" s="611">
        <f t="shared" si="17"/>
        <v>259311.38</v>
      </c>
      <c r="G49" s="611">
        <f t="shared" si="17"/>
        <v>315994.15999999997</v>
      </c>
      <c r="H49" s="611">
        <f t="shared" si="17"/>
        <v>8251541.0904513225</v>
      </c>
      <c r="I49" s="611">
        <f t="shared" ref="I49:I54" si="18">G49-H49</f>
        <v>-7935546.9304513223</v>
      </c>
      <c r="J49" s="611">
        <f t="shared" ref="J49:J54" si="19">IF(I49=0,"",I49/H49)</f>
        <v>-0.96170483106899041</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c r="D52" s="733"/>
      <c r="E52" s="733"/>
      <c r="F52" s="733"/>
      <c r="G52" s="733"/>
      <c r="H52" s="733"/>
      <c r="I52" s="408">
        <f t="shared" si="18"/>
        <v>0</v>
      </c>
      <c r="J52" s="408" t="str">
        <f t="shared" si="19"/>
        <v/>
      </c>
      <c r="K52" s="735"/>
      <c r="L52" s="100"/>
    </row>
    <row r="53" spans="1:12" x14ac:dyDescent="0.25">
      <c r="A53" s="695" t="s">
        <v>1157</v>
      </c>
      <c r="B53" s="415"/>
      <c r="C53" s="733"/>
      <c r="D53" s="733">
        <v>11002054.78726843</v>
      </c>
      <c r="E53" s="733">
        <v>11002054.78726843</v>
      </c>
      <c r="F53" s="733">
        <v>259311.38</v>
      </c>
      <c r="G53" s="733">
        <v>315994.15999999997</v>
      </c>
      <c r="H53" s="733">
        <f>E53/12*9</f>
        <v>8251541.0904513225</v>
      </c>
      <c r="I53" s="408">
        <f t="shared" si="18"/>
        <v>-7935546.9304513223</v>
      </c>
      <c r="J53" s="408">
        <f t="shared" si="19"/>
        <v>-0.96170483106899041</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0</v>
      </c>
      <c r="D55" s="611">
        <f t="shared" ref="D55:K55" si="20">SUM(D56:D63)</f>
        <v>3768735.4638999999</v>
      </c>
      <c r="E55" s="611">
        <f t="shared" si="20"/>
        <v>3768735.4638999999</v>
      </c>
      <c r="F55" s="611">
        <f t="shared" si="20"/>
        <v>3692683.3699999996</v>
      </c>
      <c r="G55" s="611">
        <f t="shared" si="20"/>
        <v>11528553.539999999</v>
      </c>
      <c r="H55" s="611">
        <f t="shared" si="20"/>
        <v>2826551.5979249999</v>
      </c>
      <c r="I55" s="611">
        <f t="shared" si="2"/>
        <v>8702001.9420749992</v>
      </c>
      <c r="J55" s="611">
        <f t="shared" si="3"/>
        <v>3.0786637500137011</v>
      </c>
      <c r="K55" s="614">
        <f t="shared" si="20"/>
        <v>3768735.4638999999</v>
      </c>
      <c r="L55" s="100"/>
    </row>
    <row r="56" spans="1:12" x14ac:dyDescent="0.25">
      <c r="A56" s="695" t="s">
        <v>167</v>
      </c>
      <c r="B56" s="415"/>
      <c r="C56" s="733"/>
      <c r="D56" s="733"/>
      <c r="E56" s="733"/>
      <c r="F56" s="733">
        <v>152706.51</v>
      </c>
      <c r="G56" s="733">
        <v>282956.51</v>
      </c>
      <c r="H56" s="733"/>
      <c r="I56" s="408">
        <f t="shared" si="2"/>
        <v>282956.51</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3003243.42</v>
      </c>
      <c r="G60" s="733">
        <v>9138040.5799999982</v>
      </c>
      <c r="H60" s="733">
        <f>E60/12*9</f>
        <v>250702.14097500002</v>
      </c>
      <c r="I60" s="408">
        <f t="shared" si="2"/>
        <v>8887338.4390249979</v>
      </c>
      <c r="J60" s="408">
        <f t="shared" si="3"/>
        <v>35.449790753527083</v>
      </c>
      <c r="K60" s="735">
        <f>E60</f>
        <v>334269.52130000002</v>
      </c>
      <c r="L60" s="100"/>
    </row>
    <row r="61" spans="1:12" x14ac:dyDescent="0.25">
      <c r="A61" s="695" t="s">
        <v>1163</v>
      </c>
      <c r="B61" s="415"/>
      <c r="C61" s="733"/>
      <c r="D61" s="733">
        <v>0</v>
      </c>
      <c r="E61" s="733">
        <v>0</v>
      </c>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536733.43999999994</v>
      </c>
      <c r="G62" s="733">
        <v>2107556.4500000002</v>
      </c>
      <c r="H62" s="733">
        <f>E62/12*9</f>
        <v>2575849.45695</v>
      </c>
      <c r="I62" s="408">
        <f>G62-H62</f>
        <v>-468293.00694999984</v>
      </c>
      <c r="J62" s="408">
        <f>IF(I62=0,"",I62/H62)</f>
        <v>-0.18180138815429611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0</v>
      </c>
      <c r="D64" s="611">
        <f t="shared" si="21"/>
        <v>328237277.54334736</v>
      </c>
      <c r="E64" s="611">
        <f t="shared" si="21"/>
        <v>379735932.54334736</v>
      </c>
      <c r="F64" s="611">
        <f t="shared" si="21"/>
        <v>6521003.75</v>
      </c>
      <c r="G64" s="611">
        <f t="shared" si="21"/>
        <v>71091263.549999997</v>
      </c>
      <c r="H64" s="611">
        <f t="shared" si="21"/>
        <v>284801949.40751052</v>
      </c>
      <c r="I64" s="611">
        <f>G64-H64</f>
        <v>-213710685.85751051</v>
      </c>
      <c r="J64" s="611">
        <f>IF(I64=0,"",I64/H64)</f>
        <v>-0.75038350791525421</v>
      </c>
      <c r="K64" s="614">
        <f>SUM(K65:K66)</f>
        <v>379735932.54334736</v>
      </c>
      <c r="L64" s="100"/>
    </row>
    <row r="65" spans="1:12" x14ac:dyDescent="0.25">
      <c r="A65" s="695" t="s">
        <v>711</v>
      </c>
      <c r="B65" s="415"/>
      <c r="C65" s="733"/>
      <c r="D65" s="733">
        <v>328237277.54334736</v>
      </c>
      <c r="E65" s="733">
        <v>379735932.54334736</v>
      </c>
      <c r="F65" s="733">
        <v>6521003.75</v>
      </c>
      <c r="G65" s="733">
        <v>71091263.549999997</v>
      </c>
      <c r="H65" s="733">
        <f>E65/12*9</f>
        <v>284801949.40751052</v>
      </c>
      <c r="I65" s="408">
        <f>G65-H65</f>
        <v>-213710685.85751051</v>
      </c>
      <c r="J65" s="408">
        <f>IF(I65=0,"",I65/H65)</f>
        <v>-0.75038350791525421</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0</v>
      </c>
      <c r="D75" s="605">
        <f t="shared" si="23"/>
        <v>106923434.37381519</v>
      </c>
      <c r="E75" s="605">
        <f t="shared" si="23"/>
        <v>109927537.37381519</v>
      </c>
      <c r="F75" s="605">
        <f t="shared" si="23"/>
        <v>9390229.1400000006</v>
      </c>
      <c r="G75" s="605">
        <f t="shared" si="23"/>
        <v>143858394.56</v>
      </c>
      <c r="H75" s="605">
        <f t="shared" si="23"/>
        <v>82445653.030361399</v>
      </c>
      <c r="I75" s="605">
        <f t="shared" si="2"/>
        <v>61412741.529638603</v>
      </c>
      <c r="J75" s="605">
        <f t="shared" si="3"/>
        <v>0.74488756256224664</v>
      </c>
      <c r="K75" s="606">
        <f>K76+K87+K92</f>
        <v>109927537.37381519</v>
      </c>
      <c r="L75" s="100"/>
    </row>
    <row r="76" spans="1:12" x14ac:dyDescent="0.25">
      <c r="A76" s="607" t="s">
        <v>114</v>
      </c>
      <c r="B76" s="417"/>
      <c r="C76" s="611">
        <f t="shared" ref="C76:H76" si="24">SUM(C77:C86)</f>
        <v>0</v>
      </c>
      <c r="D76" s="611">
        <f t="shared" si="24"/>
        <v>41022287.158399999</v>
      </c>
      <c r="E76" s="611">
        <f t="shared" si="24"/>
        <v>44026390.158399999</v>
      </c>
      <c r="F76" s="611">
        <f t="shared" si="24"/>
        <v>963458.38</v>
      </c>
      <c r="G76" s="611">
        <f t="shared" si="24"/>
        <v>3427295.18</v>
      </c>
      <c r="H76" s="611">
        <f t="shared" si="24"/>
        <v>33019792.618799999</v>
      </c>
      <c r="I76" s="611">
        <f t="shared" si="2"/>
        <v>-29592497.4388</v>
      </c>
      <c r="J76" s="611">
        <f t="shared" si="3"/>
        <v>-0.8962048241923648</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c r="G81" s="733"/>
      <c r="H81" s="733">
        <f>E81/12*9</f>
        <v>3000000</v>
      </c>
      <c r="I81" s="408">
        <f>G81-H81</f>
        <v>-3000000</v>
      </c>
      <c r="J81" s="408">
        <f>IF(I81=0,"",I81/H81)</f>
        <v>-1</v>
      </c>
      <c r="K81" s="735">
        <f>E81</f>
        <v>4000000</v>
      </c>
      <c r="L81" s="100"/>
    </row>
    <row r="82" spans="1:12" x14ac:dyDescent="0.25">
      <c r="A82" s="695" t="s">
        <v>1176</v>
      </c>
      <c r="B82" s="417"/>
      <c r="C82" s="733"/>
      <c r="D82" s="733"/>
      <c r="E82" s="733">
        <v>0</v>
      </c>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963458.38</v>
      </c>
      <c r="G83" s="733">
        <v>3427295.18</v>
      </c>
      <c r="H83" s="733">
        <f>E83/12*9</f>
        <v>30019792.618799999</v>
      </c>
      <c r="I83" s="408">
        <f>G83-H83</f>
        <v>-26592497.4388</v>
      </c>
      <c r="J83" s="408">
        <f>IF(I83=0,"",I83/H83)</f>
        <v>-0.88583215002445936</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0</v>
      </c>
      <c r="D87" s="611">
        <f t="shared" si="25"/>
        <v>65792799.755315199</v>
      </c>
      <c r="E87" s="611">
        <f t="shared" si="25"/>
        <v>65792799.755315199</v>
      </c>
      <c r="F87" s="611">
        <f t="shared" si="25"/>
        <v>8425770.7599999998</v>
      </c>
      <c r="G87" s="611">
        <f t="shared" si="25"/>
        <v>140386099.38</v>
      </c>
      <c r="H87" s="611">
        <f t="shared" si="25"/>
        <v>49344599.816486403</v>
      </c>
      <c r="I87" s="611">
        <f t="shared" si="2"/>
        <v>91041499.563513592</v>
      </c>
      <c r="J87" s="611">
        <f t="shared" si="3"/>
        <v>1.8450144474187415</v>
      </c>
      <c r="K87" s="614">
        <f>SUM(K88:K91)</f>
        <v>65792799.755315199</v>
      </c>
      <c r="L87" s="100"/>
    </row>
    <row r="88" spans="1:12" x14ac:dyDescent="0.25">
      <c r="A88" s="695" t="s">
        <v>1183</v>
      </c>
      <c r="B88" s="417"/>
      <c r="C88" s="733"/>
      <c r="D88" s="733">
        <v>65792799.755315199</v>
      </c>
      <c r="E88" s="733">
        <v>65792799.755315199</v>
      </c>
      <c r="F88" s="733">
        <v>1668853.53</v>
      </c>
      <c r="G88" s="733">
        <v>94097504.329999998</v>
      </c>
      <c r="H88" s="733">
        <f>E88/12*9</f>
        <v>49344599.816486403</v>
      </c>
      <c r="I88" s="408">
        <f t="shared" si="2"/>
        <v>44752904.513513595</v>
      </c>
      <c r="J88" s="408">
        <f t="shared" si="3"/>
        <v>0.90694634630639581</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6756917.2300000004</v>
      </c>
      <c r="G90" s="733">
        <v>46288595.049999997</v>
      </c>
      <c r="H90" s="733"/>
      <c r="I90" s="408">
        <f t="shared" si="2"/>
        <v>46288595.049999997</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6">SUM(D93:D98)</f>
        <v>108347.4601</v>
      </c>
      <c r="E92" s="611">
        <f t="shared" si="26"/>
        <v>108347.4601</v>
      </c>
      <c r="F92" s="611">
        <f t="shared" si="26"/>
        <v>1000</v>
      </c>
      <c r="G92" s="611">
        <f t="shared" si="26"/>
        <v>45000</v>
      </c>
      <c r="H92" s="611">
        <f t="shared" si="26"/>
        <v>81260.59507499999</v>
      </c>
      <c r="I92" s="611">
        <f t="shared" si="2"/>
        <v>-36260.59507499999</v>
      </c>
      <c r="J92" s="611">
        <f t="shared" si="3"/>
        <v>-0.4462260587869562</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1000</v>
      </c>
      <c r="G97" s="733">
        <v>45000</v>
      </c>
      <c r="H97" s="733">
        <f>E97/12*9</f>
        <v>81260.59507499999</v>
      </c>
      <c r="I97" s="408">
        <f t="shared" si="2"/>
        <v>-36260.59507499999</v>
      </c>
      <c r="J97" s="408">
        <f t="shared" si="3"/>
        <v>-0.4462260587869562</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7">D100+D104+D108+D113</f>
        <v>4331953791.0175152</v>
      </c>
      <c r="E99" s="605">
        <f t="shared" si="27"/>
        <v>4331577947.017518</v>
      </c>
      <c r="F99" s="605">
        <f t="shared" si="27"/>
        <v>344884136.66000003</v>
      </c>
      <c r="G99" s="605">
        <f t="shared" si="27"/>
        <v>3034045963.8800001</v>
      </c>
      <c r="H99" s="605">
        <f t="shared" si="27"/>
        <v>3248683460.2631388</v>
      </c>
      <c r="I99" s="605">
        <f t="shared" si="27"/>
        <v>-214637496.38313881</v>
      </c>
      <c r="J99" s="605">
        <f t="shared" si="3"/>
        <v>-6.6069070443001379E-2</v>
      </c>
      <c r="K99" s="606">
        <f>K100+K104+K108+K113</f>
        <v>4331577947.017518</v>
      </c>
      <c r="L99" s="100"/>
    </row>
    <row r="100" spans="1:12" x14ac:dyDescent="0.25">
      <c r="A100" s="607" t="s">
        <v>1191</v>
      </c>
      <c r="B100" s="417"/>
      <c r="C100" s="611">
        <f>SUM(C101:C103)</f>
        <v>0</v>
      </c>
      <c r="D100" s="611">
        <f t="shared" ref="D100:K100" si="28">SUM(D101:D103)</f>
        <v>2655002808.9206858</v>
      </c>
      <c r="E100" s="611">
        <f t="shared" si="28"/>
        <v>2655002808.9206858</v>
      </c>
      <c r="F100" s="611">
        <f t="shared" si="28"/>
        <v>182937684.86000001</v>
      </c>
      <c r="G100" s="611">
        <f t="shared" si="28"/>
        <v>1761883418.8800001</v>
      </c>
      <c r="H100" s="611">
        <f t="shared" si="28"/>
        <v>1991252106.6905146</v>
      </c>
      <c r="I100" s="611">
        <f t="shared" si="2"/>
        <v>-229368687.81051445</v>
      </c>
      <c r="J100" s="611">
        <f t="shared" si="3"/>
        <v>-0.1151881708196799</v>
      </c>
      <c r="K100" s="614">
        <f t="shared" si="28"/>
        <v>2655002808.9206858</v>
      </c>
      <c r="L100" s="100"/>
    </row>
    <row r="101" spans="1:12" x14ac:dyDescent="0.25">
      <c r="A101" s="695" t="s">
        <v>1192</v>
      </c>
      <c r="B101" s="417"/>
      <c r="C101" s="733"/>
      <c r="D101" s="733">
        <v>2635365105.6563859</v>
      </c>
      <c r="E101" s="733">
        <v>2635365105.6563859</v>
      </c>
      <c r="F101" s="733">
        <v>182937684.86000001</v>
      </c>
      <c r="G101" s="733">
        <v>1761883418.8800001</v>
      </c>
      <c r="H101" s="733">
        <f t="shared" ref="H101:H102" si="29">E101/12*9</f>
        <v>1976523829.2422895</v>
      </c>
      <c r="I101" s="408">
        <f t="shared" si="2"/>
        <v>-214640410.36228943</v>
      </c>
      <c r="J101" s="408">
        <f t="shared" si="3"/>
        <v>-0.10859490140555145</v>
      </c>
      <c r="K101" s="735">
        <f>E101</f>
        <v>2635365105.6563859</v>
      </c>
      <c r="L101" s="100"/>
    </row>
    <row r="102" spans="1:12" x14ac:dyDescent="0.25">
      <c r="A102" s="695" t="s">
        <v>1193</v>
      </c>
      <c r="B102" s="417"/>
      <c r="C102" s="733"/>
      <c r="D102" s="733">
        <v>19637703.2643</v>
      </c>
      <c r="E102" s="733">
        <v>19637703.2643</v>
      </c>
      <c r="F102" s="733"/>
      <c r="G102" s="733"/>
      <c r="H102" s="733">
        <f t="shared" si="29"/>
        <v>14728277.448225001</v>
      </c>
      <c r="I102" s="408">
        <f>G102-H102</f>
        <v>-14728277.448225001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0">SUM(D105:D107)</f>
        <v>1253549994.0011687</v>
      </c>
      <c r="E104" s="611">
        <f t="shared" si="30"/>
        <v>1253174150.0011718</v>
      </c>
      <c r="F104" s="611">
        <f t="shared" si="30"/>
        <v>119201949.01000001</v>
      </c>
      <c r="G104" s="611">
        <f t="shared" si="30"/>
        <v>930468570.89999998</v>
      </c>
      <c r="H104" s="611">
        <f t="shared" si="30"/>
        <v>939880612.50087881</v>
      </c>
      <c r="I104" s="611">
        <f t="shared" si="2"/>
        <v>-9412041.6008788347</v>
      </c>
      <c r="J104" s="611">
        <f t="shared" si="3"/>
        <v>-1.0014082082015532E-2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119201949.01000001</v>
      </c>
      <c r="G106" s="733">
        <v>930468570.89999998</v>
      </c>
      <c r="H106" s="733">
        <f>E106/12*9</f>
        <v>939880612.50087881</v>
      </c>
      <c r="I106" s="408">
        <f>G106-H106</f>
        <v>-9412041.6008788347</v>
      </c>
      <c r="J106" s="408">
        <f>IF(I106=0,"",I106/H106)</f>
        <v>-1.0014082082015532E-2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1">SUM(D109:D112)</f>
        <v>173542219.90182328</v>
      </c>
      <c r="E108" s="611">
        <f t="shared" si="31"/>
        <v>173542219.90182328</v>
      </c>
      <c r="F108" s="611">
        <f t="shared" si="31"/>
        <v>27766583.850000001</v>
      </c>
      <c r="G108" s="611">
        <f t="shared" si="31"/>
        <v>219121808.06</v>
      </c>
      <c r="H108" s="611">
        <f t="shared" si="31"/>
        <v>130156664.92636746</v>
      </c>
      <c r="I108" s="611">
        <f t="shared" si="2"/>
        <v>88965143.133632541</v>
      </c>
      <c r="J108" s="611">
        <f t="shared" si="3"/>
        <v>0.68352353053884807</v>
      </c>
      <c r="K108" s="614">
        <f t="shared" si="31"/>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27766583.850000001</v>
      </c>
      <c r="G110" s="733">
        <v>219121808.06</v>
      </c>
      <c r="H110" s="733">
        <f>E110/12*9</f>
        <v>130156664.92636746</v>
      </c>
      <c r="I110" s="408">
        <f t="shared" si="2"/>
        <v>88965143.133632541</v>
      </c>
      <c r="J110" s="408">
        <f t="shared" si="3"/>
        <v>0.68352353053884807</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0</v>
      </c>
      <c r="D113" s="611">
        <f t="shared" si="32"/>
        <v>249858768.1938374</v>
      </c>
      <c r="E113" s="611">
        <f t="shared" si="32"/>
        <v>249858768.1938374</v>
      </c>
      <c r="F113" s="611">
        <f t="shared" si="32"/>
        <v>14977918.940000001</v>
      </c>
      <c r="G113" s="611">
        <f t="shared" si="32"/>
        <v>122572166.03999999</v>
      </c>
      <c r="H113" s="611">
        <f t="shared" si="32"/>
        <v>187394076.14537805</v>
      </c>
      <c r="I113" s="611">
        <f t="shared" si="2"/>
        <v>-64821910.105378062</v>
      </c>
      <c r="J113" s="611">
        <f t="shared" si="3"/>
        <v>-0.34591226915353507</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5447486.8600000003</v>
      </c>
      <c r="G115" s="733">
        <v>35710101.240000002</v>
      </c>
      <c r="H115" s="733">
        <f>E115/12*9</f>
        <v>187394076.14537805</v>
      </c>
      <c r="I115" s="408">
        <f>G115-H115</f>
        <v>-151683974.90537804</v>
      </c>
      <c r="J115" s="408">
        <f>IF(I115=0,"",I115/H115)</f>
        <v>-0.8094384733256107</v>
      </c>
      <c r="K115" s="735">
        <f>E115</f>
        <v>249858768.1938374</v>
      </c>
      <c r="L115" s="100"/>
    </row>
    <row r="116" spans="1:12" x14ac:dyDescent="0.25">
      <c r="A116" s="695" t="s">
        <v>1200</v>
      </c>
      <c r="B116" s="417"/>
      <c r="C116" s="733"/>
      <c r="D116" s="733"/>
      <c r="E116" s="733"/>
      <c r="F116" s="733">
        <v>9530432.0800000001</v>
      </c>
      <c r="G116" s="733">
        <v>86862064.799999997</v>
      </c>
      <c r="H116" s="733"/>
      <c r="I116" s="408">
        <f t="shared" si="2"/>
        <v>86862064.799999997</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3">SUM(D119:D124)</f>
        <v>63610900.686000004</v>
      </c>
      <c r="E118" s="611">
        <f t="shared" si="33"/>
        <v>63610900.686000004</v>
      </c>
      <c r="F118" s="611">
        <f t="shared" si="33"/>
        <v>2408642.21</v>
      </c>
      <c r="G118" s="611">
        <f t="shared" si="33"/>
        <v>20988829.09</v>
      </c>
      <c r="H118" s="611">
        <f t="shared" si="33"/>
        <v>47708175.514500007</v>
      </c>
      <c r="I118" s="611">
        <f t="shared" si="2"/>
        <v>-26719346.424500007</v>
      </c>
      <c r="J118" s="611">
        <f t="shared" si="3"/>
        <v>-0.56005802226453116</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607269.07999999996</v>
      </c>
      <c r="G120" s="733">
        <v>4391769.2300000004</v>
      </c>
      <c r="H120" s="733">
        <f>E120/12*9</f>
        <v>9368039.6961750016</v>
      </c>
      <c r="I120" s="408">
        <f t="shared" si="2"/>
        <v>-4976270.4661750011</v>
      </c>
      <c r="J120" s="408">
        <f t="shared" si="3"/>
        <v>-0.53119656060027443</v>
      </c>
      <c r="K120" s="735">
        <f t="shared" ref="K120:K121" si="34">E120</f>
        <v>12490719.594900001</v>
      </c>
      <c r="L120" s="100"/>
    </row>
    <row r="121" spans="1:12" x14ac:dyDescent="0.25">
      <c r="A121" s="607" t="s">
        <v>1202</v>
      </c>
      <c r="B121" s="417"/>
      <c r="C121" s="733"/>
      <c r="D121" s="733">
        <v>7663197.0931999991</v>
      </c>
      <c r="E121" s="733">
        <v>7663197.0931999991</v>
      </c>
      <c r="F121" s="733"/>
      <c r="G121" s="733">
        <v>850000</v>
      </c>
      <c r="H121" s="733">
        <f>E121/12*9</f>
        <v>5747397.8198999995</v>
      </c>
      <c r="I121" s="408">
        <f>G121-H121</f>
        <v>-4897397.8198999995</v>
      </c>
      <c r="J121" s="408">
        <f>IF(I121=0,"",I121/H121)</f>
        <v>-0.85210698360622805</v>
      </c>
      <c r="K121" s="735">
        <f t="shared" si="34"/>
        <v>7663197.0931999991</v>
      </c>
      <c r="L121" s="100"/>
    </row>
    <row r="122" spans="1:12" x14ac:dyDescent="0.25">
      <c r="A122" s="607" t="s">
        <v>1203</v>
      </c>
      <c r="B122" s="417"/>
      <c r="C122" s="733"/>
      <c r="D122" s="733"/>
      <c r="E122" s="733"/>
      <c r="F122" s="733">
        <v>12276.75</v>
      </c>
      <c r="G122" s="733">
        <v>153960.72</v>
      </c>
      <c r="H122" s="733"/>
      <c r="I122" s="408">
        <f t="shared" si="2"/>
        <v>153960.72</v>
      </c>
      <c r="J122" s="408" t="e">
        <f t="shared" si="3"/>
        <v>#DIV/0!</v>
      </c>
      <c r="K122" s="735"/>
      <c r="L122" s="100"/>
    </row>
    <row r="123" spans="1:12" x14ac:dyDescent="0.25">
      <c r="A123" s="607" t="s">
        <v>441</v>
      </c>
      <c r="B123" s="415"/>
      <c r="C123" s="733"/>
      <c r="D123" s="733">
        <v>43456983.997900009</v>
      </c>
      <c r="E123" s="733">
        <v>43456983.997900009</v>
      </c>
      <c r="F123" s="733">
        <v>1789096.38</v>
      </c>
      <c r="G123" s="733">
        <v>15593099.140000001</v>
      </c>
      <c r="H123" s="733">
        <f>E123/12*9</f>
        <v>32592737.998425007</v>
      </c>
      <c r="I123" s="408">
        <f t="shared" si="2"/>
        <v>-16999638.858425006</v>
      </c>
      <c r="J123" s="408">
        <f t="shared" si="3"/>
        <v>-0.52157750168907213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6587607631.8720646</v>
      </c>
      <c r="F125" s="616">
        <f t="shared" si="35"/>
        <v>559400187.32000005</v>
      </c>
      <c r="G125" s="616">
        <f t="shared" si="35"/>
        <v>4669724889.1100006</v>
      </c>
      <c r="H125" s="616">
        <f t="shared" si="35"/>
        <v>4940705723.9040489</v>
      </c>
      <c r="I125" s="616">
        <f>G125-H125</f>
        <v>-270980834.79404831</v>
      </c>
      <c r="J125" s="616">
        <f>IF(I125=0,"",I125/H125)</f>
        <v>-5.4846584665626384E-2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1405319174.0330372</v>
      </c>
      <c r="F128" s="605">
        <f t="shared" si="37"/>
        <v>76932532.930000007</v>
      </c>
      <c r="G128" s="605">
        <f t="shared" si="37"/>
        <v>715381735.91000009</v>
      </c>
      <c r="H128" s="605">
        <f t="shared" si="37"/>
        <v>1053989380.5247778</v>
      </c>
      <c r="I128" s="605">
        <f t="shared" ref="I128:I244" si="38">G128-H128</f>
        <v>-338607644.61477768</v>
      </c>
      <c r="J128" s="605">
        <f t="shared" ref="J128:J244" si="39">IF(I128=0,"",I128/H128)</f>
        <v>-0.32126286172464669</v>
      </c>
      <c r="K128" s="606">
        <f>K129+K132+K146</f>
        <v>1405319174.0330372</v>
      </c>
      <c r="L128" s="100"/>
    </row>
    <row r="129" spans="1:12" x14ac:dyDescent="0.25">
      <c r="A129" s="607" t="str">
        <f t="shared" si="36"/>
        <v>Executive and council</v>
      </c>
      <c r="B129" s="620"/>
      <c r="C129" s="608">
        <f t="shared" ref="C129:K129" si="40">SUM(C130:C131)</f>
        <v>0</v>
      </c>
      <c r="D129" s="608">
        <f t="shared" si="40"/>
        <v>137732466.40184778</v>
      </c>
      <c r="E129" s="608">
        <f t="shared" si="40"/>
        <v>138609982.7278536</v>
      </c>
      <c r="F129" s="608">
        <f t="shared" si="40"/>
        <v>8642586.6900000013</v>
      </c>
      <c r="G129" s="608">
        <f t="shared" si="40"/>
        <v>77131083.719999999</v>
      </c>
      <c r="H129" s="608">
        <f t="shared" si="40"/>
        <v>103957487.04589018</v>
      </c>
      <c r="I129" s="608">
        <f t="shared" si="38"/>
        <v>-26826403.325890183</v>
      </c>
      <c r="J129" s="608">
        <f t="shared" si="39"/>
        <v>-0.25805167177663835</v>
      </c>
      <c r="K129" s="610">
        <f t="shared" si="40"/>
        <v>138609982.7278536</v>
      </c>
      <c r="L129" s="100"/>
    </row>
    <row r="130" spans="1:12" x14ac:dyDescent="0.25">
      <c r="A130" s="695" t="str">
        <f t="shared" si="36"/>
        <v>Mayor and Council</v>
      </c>
      <c r="B130" s="620"/>
      <c r="C130" s="733"/>
      <c r="D130" s="733">
        <v>86039675.165266603</v>
      </c>
      <c r="E130" s="733">
        <v>88752895.165266603</v>
      </c>
      <c r="F130" s="733">
        <v>6134695.8900000015</v>
      </c>
      <c r="G130" s="733">
        <v>56532886.429999992</v>
      </c>
      <c r="H130" s="733">
        <f t="shared" ref="H130:H131" si="41">E130/12*9</f>
        <v>66564671.373949952</v>
      </c>
      <c r="I130" s="408">
        <f t="shared" si="38"/>
        <v>-10031784.94394996</v>
      </c>
      <c r="J130" s="408">
        <f t="shared" si="39"/>
        <v>-0.15070734575692496</v>
      </c>
      <c r="K130" s="735">
        <f t="shared" ref="K130:K143" si="42">E130</f>
        <v>88752895.165266603</v>
      </c>
      <c r="L130" s="100"/>
    </row>
    <row r="131" spans="1:12" ht="18.600000000000001" customHeight="1" x14ac:dyDescent="0.25">
      <c r="A131" s="695" t="str">
        <f t="shared" si="36"/>
        <v>Municipal Manager, Town Secretary and Chief Executive</v>
      </c>
      <c r="B131" s="620"/>
      <c r="C131" s="733"/>
      <c r="D131" s="733">
        <v>51692791.236581177</v>
      </c>
      <c r="E131" s="733">
        <v>49857087.562586986</v>
      </c>
      <c r="F131" s="733">
        <v>2507890.8000000003</v>
      </c>
      <c r="G131" s="733">
        <v>20598197.29000001</v>
      </c>
      <c r="H131" s="733">
        <f t="shared" si="41"/>
        <v>37392815.671940237</v>
      </c>
      <c r="I131" s="408">
        <f t="shared" si="38"/>
        <v>-16794618.381940227</v>
      </c>
      <c r="J131" s="408">
        <f t="shared" si="39"/>
        <v>-0.44914024472735803</v>
      </c>
      <c r="K131" s="735">
        <f t="shared" si="42"/>
        <v>49857087.562586986</v>
      </c>
      <c r="L131" s="100"/>
    </row>
    <row r="132" spans="1:12" x14ac:dyDescent="0.25">
      <c r="A132" s="607" t="str">
        <f t="shared" si="36"/>
        <v>Finance and administration</v>
      </c>
      <c r="B132" s="620"/>
      <c r="C132" s="608">
        <f t="shared" ref="C132:H132" si="43">SUM(C133:C145)</f>
        <v>0</v>
      </c>
      <c r="D132" s="608">
        <f t="shared" si="43"/>
        <v>1194545745.0547059</v>
      </c>
      <c r="E132" s="608">
        <f t="shared" si="43"/>
        <v>1244452658.5200856</v>
      </c>
      <c r="F132" s="608">
        <f t="shared" si="43"/>
        <v>67007835.980000004</v>
      </c>
      <c r="G132" s="608">
        <f t="shared" si="43"/>
        <v>626186121.70000005</v>
      </c>
      <c r="H132" s="608">
        <f t="shared" si="43"/>
        <v>933339493.890064</v>
      </c>
      <c r="I132" s="608">
        <f t="shared" si="38"/>
        <v>-307153372.19006395</v>
      </c>
      <c r="J132" s="608">
        <f t="shared" si="39"/>
        <v>-0.3290907265799714</v>
      </c>
      <c r="K132" s="608">
        <f>SUM(K133:K145)</f>
        <v>1244452658.5200856</v>
      </c>
      <c r="L132" s="100"/>
    </row>
    <row r="133" spans="1:12" x14ac:dyDescent="0.25">
      <c r="A133" s="695" t="str">
        <f t="shared" si="36"/>
        <v>Administrative and Corporate Support</v>
      </c>
      <c r="B133" s="415"/>
      <c r="C133" s="733"/>
      <c r="D133" s="733">
        <v>63311187.597137183</v>
      </c>
      <c r="E133" s="733">
        <v>62649554.597137183</v>
      </c>
      <c r="F133" s="733">
        <v>3996532.9800000004</v>
      </c>
      <c r="G133" s="733">
        <v>37305949.179999992</v>
      </c>
      <c r="H133" s="733">
        <f t="shared" ref="H133:H135" si="44">E133/12*9</f>
        <v>46987165.947852887</v>
      </c>
      <c r="I133" s="408">
        <f t="shared" si="38"/>
        <v>-9681216.767852895</v>
      </c>
      <c r="J133" s="408">
        <f t="shared" si="39"/>
        <v>-0.20603959767646479</v>
      </c>
      <c r="K133" s="735">
        <f t="shared" si="42"/>
        <v>62649554.597137183</v>
      </c>
      <c r="L133" s="100"/>
    </row>
    <row r="134" spans="1:12" x14ac:dyDescent="0.25">
      <c r="A134" s="695" t="str">
        <f t="shared" si="36"/>
        <v>Asset Management</v>
      </c>
      <c r="B134" s="415"/>
      <c r="C134" s="733"/>
      <c r="D134" s="733">
        <v>114851325.40861207</v>
      </c>
      <c r="E134" s="733">
        <v>116354060.40861207</v>
      </c>
      <c r="F134" s="733">
        <v>4350147.2000000011</v>
      </c>
      <c r="G134" s="733">
        <v>43651687.730000004</v>
      </c>
      <c r="H134" s="733">
        <f t="shared" si="44"/>
        <v>87265545.306459054</v>
      </c>
      <c r="I134" s="408">
        <f t="shared" si="38"/>
        <v>-43613857.57645905</v>
      </c>
      <c r="J134" s="408">
        <f t="shared" si="39"/>
        <v>-0.4997832469079973</v>
      </c>
      <c r="K134" s="735">
        <f t="shared" si="42"/>
        <v>116354060.40861207</v>
      </c>
      <c r="L134" s="100"/>
    </row>
    <row r="135" spans="1:12" x14ac:dyDescent="0.25">
      <c r="A135" s="695" t="str">
        <f t="shared" si="36"/>
        <v>Finance</v>
      </c>
      <c r="B135" s="415"/>
      <c r="C135" s="733"/>
      <c r="D135" s="733">
        <v>527291938.10809231</v>
      </c>
      <c r="E135" s="733">
        <v>536010051.81119955</v>
      </c>
      <c r="F135" s="733">
        <v>20230224.720000006</v>
      </c>
      <c r="G135" s="733">
        <v>231807874.63999999</v>
      </c>
      <c r="H135" s="733">
        <f t="shared" si="44"/>
        <v>402007538.85839963</v>
      </c>
      <c r="I135" s="408">
        <f t="shared" si="38"/>
        <v>-170199664.21839964</v>
      </c>
      <c r="J135" s="408">
        <f t="shared" si="39"/>
        <v>-0.42337430960057093</v>
      </c>
      <c r="K135" s="735">
        <f t="shared" si="42"/>
        <v>536010051.81119955</v>
      </c>
      <c r="L135" s="100"/>
    </row>
    <row r="136" spans="1:12" x14ac:dyDescent="0.25">
      <c r="A136" s="695" t="str">
        <f t="shared" si="36"/>
        <v>Fleet Management</v>
      </c>
      <c r="B136" s="415"/>
      <c r="C136" s="733"/>
      <c r="D136" s="733"/>
      <c r="E136" s="733">
        <v>0</v>
      </c>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177750164.40260589</v>
      </c>
      <c r="F137" s="733">
        <v>4011216.8899999987</v>
      </c>
      <c r="G137" s="733">
        <v>46050004.750000007</v>
      </c>
      <c r="H137" s="733">
        <f t="shared" ref="H137:H141" si="45">E137/12*9</f>
        <v>133312623.30195442</v>
      </c>
      <c r="I137" s="408">
        <f t="shared" si="38"/>
        <v>-87262618.551954418</v>
      </c>
      <c r="J137" s="408">
        <f t="shared" si="39"/>
        <v>-0.65457131058252238</v>
      </c>
      <c r="K137" s="735">
        <f t="shared" si="42"/>
        <v>177750164.40260589</v>
      </c>
      <c r="L137" s="100"/>
    </row>
    <row r="138" spans="1:12" x14ac:dyDescent="0.25">
      <c r="A138" s="695" t="str">
        <f t="shared" si="36"/>
        <v>Information Technology</v>
      </c>
      <c r="B138" s="415"/>
      <c r="C138" s="733"/>
      <c r="D138" s="733">
        <v>36645394.820353068</v>
      </c>
      <c r="E138" s="733">
        <v>47436872.820353068</v>
      </c>
      <c r="F138" s="733">
        <v>3261457.04</v>
      </c>
      <c r="G138" s="733">
        <v>27510671.480000004</v>
      </c>
      <c r="H138" s="733">
        <f t="shared" si="45"/>
        <v>35577654.615264803</v>
      </c>
      <c r="I138" s="408">
        <f t="shared" si="38"/>
        <v>-8066983.135264799</v>
      </c>
      <c r="J138" s="408">
        <f t="shared" si="39"/>
        <v>-0.22674297174731728</v>
      </c>
      <c r="K138" s="735">
        <f t="shared" si="42"/>
        <v>47436872.820353068</v>
      </c>
      <c r="L138" s="100"/>
    </row>
    <row r="139" spans="1:12" x14ac:dyDescent="0.25">
      <c r="A139" s="695" t="str">
        <f t="shared" si="36"/>
        <v>Legal Services</v>
      </c>
      <c r="B139" s="415"/>
      <c r="C139" s="733"/>
      <c r="D139" s="733">
        <v>11011185.169427564</v>
      </c>
      <c r="E139" s="733">
        <v>10482390.169427564</v>
      </c>
      <c r="F139" s="733">
        <v>1326601.8500000003</v>
      </c>
      <c r="G139" s="733">
        <v>9050041</v>
      </c>
      <c r="H139" s="733">
        <f t="shared" si="45"/>
        <v>7861792.6270706737</v>
      </c>
      <c r="I139" s="408">
        <f t="shared" si="38"/>
        <v>1188248.3729293263</v>
      </c>
      <c r="J139" s="408">
        <f t="shared" si="39"/>
        <v>0.15114216684345069</v>
      </c>
      <c r="K139" s="735">
        <f t="shared" si="42"/>
        <v>10482390.169427564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1294959.8500000006</v>
      </c>
      <c r="G140" s="733">
        <v>12431177.599999998</v>
      </c>
      <c r="H140" s="733">
        <f t="shared" si="45"/>
        <v>15628699.743260998</v>
      </c>
      <c r="I140" s="408">
        <f t="shared" si="38"/>
        <v>-3197522.1432610005</v>
      </c>
      <c r="J140" s="408">
        <f t="shared" si="39"/>
        <v>-0.20459297291444561</v>
      </c>
      <c r="K140" s="735">
        <f t="shared" si="42"/>
        <v>20838266.324347999</v>
      </c>
      <c r="L140" s="100"/>
    </row>
    <row r="141" spans="1:12" x14ac:dyDescent="0.25">
      <c r="A141" s="695" t="str">
        <f t="shared" si="36"/>
        <v>Property Services</v>
      </c>
      <c r="B141" s="415"/>
      <c r="C141" s="733"/>
      <c r="D141" s="733">
        <v>57794332.631016083</v>
      </c>
      <c r="E141" s="733">
        <v>59124332.631016083</v>
      </c>
      <c r="F141" s="733">
        <v>5217710.66</v>
      </c>
      <c r="G141" s="733">
        <v>50414233.660000011</v>
      </c>
      <c r="H141" s="733">
        <f t="shared" si="45"/>
        <v>44343249.473262064</v>
      </c>
      <c r="I141" s="408">
        <f t="shared" si="38"/>
        <v>6070984.1867379472</v>
      </c>
      <c r="J141" s="408">
        <f t="shared" si="39"/>
        <v>0.13690887020804843</v>
      </c>
      <c r="K141" s="735">
        <f t="shared" si="42"/>
        <v>59124332.631016083</v>
      </c>
      <c r="L141" s="100"/>
    </row>
    <row r="142" spans="1:12" x14ac:dyDescent="0.25">
      <c r="A142" s="695" t="str">
        <f t="shared" si="36"/>
        <v>Risk Management</v>
      </c>
      <c r="B142" s="415"/>
      <c r="C142" s="733"/>
      <c r="D142" s="733"/>
      <c r="E142" s="733">
        <v>0</v>
      </c>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128844216.00984205</v>
      </c>
      <c r="F143" s="733">
        <v>19080144.509999994</v>
      </c>
      <c r="G143" s="733">
        <v>135919769.34999999</v>
      </c>
      <c r="H143" s="733">
        <f t="shared" ref="H143:H144" si="46">E143/12*9</f>
        <v>96633162.007381544</v>
      </c>
      <c r="I143" s="408">
        <f t="shared" si="38"/>
        <v>39286607.342618451</v>
      </c>
      <c r="J143" s="408">
        <f t="shared" si="39"/>
        <v>0.40655409102330164</v>
      </c>
      <c r="K143" s="735">
        <f t="shared" si="42"/>
        <v>128844216.00984205</v>
      </c>
      <c r="L143" s="100"/>
    </row>
    <row r="144" spans="1:12" x14ac:dyDescent="0.25">
      <c r="A144" s="695" t="str">
        <f t="shared" si="36"/>
        <v xml:space="preserve">Supply Chain Management </v>
      </c>
      <c r="B144" s="415"/>
      <c r="C144" s="733"/>
      <c r="D144" s="733">
        <v>63645857.888706505</v>
      </c>
      <c r="E144" s="733">
        <v>84962749.34554404</v>
      </c>
      <c r="F144" s="733">
        <v>4238840.28</v>
      </c>
      <c r="G144" s="733">
        <v>32044712.310000002</v>
      </c>
      <c r="H144" s="733">
        <f t="shared" si="46"/>
        <v>63722062.00915803</v>
      </c>
      <c r="I144" s="408">
        <f t="shared" si="38"/>
        <v>-31677349.699158028</v>
      </c>
      <c r="J144" s="408">
        <f t="shared" si="39"/>
        <v>-0.49711746136848822</v>
      </c>
      <c r="K144" s="735">
        <f t="shared" ref="K144" si="47">E144</f>
        <v>84962749.34554404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8">SUM(C147:C147)</f>
        <v>0</v>
      </c>
      <c r="D146" s="608">
        <f t="shared" si="48"/>
        <v>21986532.785097998</v>
      </c>
      <c r="E146" s="608">
        <f t="shared" si="48"/>
        <v>22256532.785097998</v>
      </c>
      <c r="F146" s="608">
        <f t="shared" si="48"/>
        <v>1282110.26</v>
      </c>
      <c r="G146" s="608">
        <f t="shared" si="48"/>
        <v>12064530.489999995</v>
      </c>
      <c r="H146" s="608">
        <f t="shared" si="48"/>
        <v>16692399.588823499</v>
      </c>
      <c r="I146" s="608">
        <f t="shared" si="38"/>
        <v>-4627869.0988235045</v>
      </c>
      <c r="J146" s="608">
        <f t="shared" si="39"/>
        <v>-0.27724408789747179</v>
      </c>
      <c r="K146" s="610">
        <f>SUM(K147:K147)</f>
        <v>22256532.785097998</v>
      </c>
      <c r="L146" s="100"/>
    </row>
    <row r="147" spans="1:12" x14ac:dyDescent="0.25">
      <c r="A147" s="695" t="str">
        <f t="shared" si="36"/>
        <v>Governance Function</v>
      </c>
      <c r="B147" s="620"/>
      <c r="C147" s="733"/>
      <c r="D147" s="733">
        <v>21986532.785097998</v>
      </c>
      <c r="E147" s="733">
        <v>22256532.785097998</v>
      </c>
      <c r="F147" s="733">
        <v>1282110.26</v>
      </c>
      <c r="G147" s="733">
        <v>12064530.489999995</v>
      </c>
      <c r="H147" s="733">
        <f>E147/12*9</f>
        <v>16692399.588823499</v>
      </c>
      <c r="I147" s="408">
        <f t="shared" si="38"/>
        <v>-4627869.0988235045</v>
      </c>
      <c r="J147" s="408">
        <f t="shared" si="39"/>
        <v>-0.27724408789747179</v>
      </c>
      <c r="K147" s="735">
        <f t="shared" ref="K147" si="49">E147</f>
        <v>22256532.785097998</v>
      </c>
      <c r="L147" s="100"/>
    </row>
    <row r="148" spans="1:12" x14ac:dyDescent="0.25">
      <c r="A148" s="414" t="str">
        <f t="shared" si="36"/>
        <v>Community and public safety</v>
      </c>
      <c r="B148" s="620"/>
      <c r="C148" s="605">
        <f t="shared" ref="C148:H148" si="50">C149+C171+C177+C186+C189</f>
        <v>0</v>
      </c>
      <c r="D148" s="605">
        <f t="shared" si="50"/>
        <v>440067727.15977156</v>
      </c>
      <c r="E148" s="605">
        <f t="shared" si="50"/>
        <v>533334006.71673155</v>
      </c>
      <c r="F148" s="605">
        <f t="shared" si="50"/>
        <v>42969632.43</v>
      </c>
      <c r="G148" s="605">
        <f t="shared" si="50"/>
        <v>408682506.80000001</v>
      </c>
      <c r="H148" s="605">
        <f t="shared" si="50"/>
        <v>400000505.03754872</v>
      </c>
      <c r="I148" s="605">
        <f t="shared" si="38"/>
        <v>8682001.7624512911</v>
      </c>
      <c r="J148" s="605">
        <f t="shared" si="39"/>
        <v>2.1704977001557279E-2</v>
      </c>
      <c r="K148" s="606">
        <f>K149+K171+K177+K186+K189</f>
        <v>533334006.71673155</v>
      </c>
      <c r="L148" s="100"/>
    </row>
    <row r="149" spans="1:12" x14ac:dyDescent="0.25">
      <c r="A149" s="607" t="str">
        <f t="shared" si="36"/>
        <v>Community and social services</v>
      </c>
      <c r="B149" s="620"/>
      <c r="C149" s="611">
        <f t="shared" ref="C149:H149" si="51">SUM(C150:C170)</f>
        <v>0</v>
      </c>
      <c r="D149" s="611">
        <f t="shared" si="51"/>
        <v>128373725.79885694</v>
      </c>
      <c r="E149" s="611">
        <f t="shared" si="51"/>
        <v>130889937.79885694</v>
      </c>
      <c r="F149" s="611">
        <f t="shared" si="51"/>
        <v>10946769.749999998</v>
      </c>
      <c r="G149" s="611">
        <f t="shared" si="51"/>
        <v>114769108.18999998</v>
      </c>
      <c r="H149" s="611">
        <f t="shared" si="51"/>
        <v>98167453.3491427</v>
      </c>
      <c r="I149" s="611">
        <f t="shared" si="38"/>
        <v>16601654.840857282</v>
      </c>
      <c r="J149" s="611">
        <f t="shared" si="39"/>
        <v>0.16911567199173214</v>
      </c>
      <c r="K149" s="614">
        <f>SUM(K150:K170)</f>
        <v>130889937.79885694</v>
      </c>
      <c r="L149" s="100"/>
    </row>
    <row r="150" spans="1:12" x14ac:dyDescent="0.25">
      <c r="A150" s="695" t="str">
        <f t="shared" si="36"/>
        <v>Aged Care</v>
      </c>
      <c r="B150" s="620"/>
      <c r="C150" s="733"/>
      <c r="D150" s="733">
        <v>4431.0612499999997</v>
      </c>
      <c r="E150" s="733">
        <v>4431.0612499999997</v>
      </c>
      <c r="F150" s="733">
        <v>48.64</v>
      </c>
      <c r="G150" s="733">
        <v>434.19</v>
      </c>
      <c r="H150" s="733">
        <f>E150/12*9</f>
        <v>3323.2959374999996</v>
      </c>
      <c r="I150" s="408">
        <f t="shared" si="38"/>
        <v>-2889.1059374999995</v>
      </c>
      <c r="J150" s="408">
        <f t="shared" si="39"/>
        <v>-0.86934958301467846</v>
      </c>
      <c r="K150" s="735">
        <f t="shared" ref="K150" si="52">E150</f>
        <v>4431.0612499999997</v>
      </c>
      <c r="L150" s="100"/>
    </row>
    <row r="151" spans="1:12" x14ac:dyDescent="0.25">
      <c r="A151" s="695" t="str">
        <f t="shared" si="36"/>
        <v>Agricultural</v>
      </c>
      <c r="B151" s="620"/>
      <c r="C151" s="733"/>
      <c r="D151" s="733"/>
      <c r="E151" s="733">
        <v>0</v>
      </c>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690137.28</v>
      </c>
      <c r="H152" s="733">
        <f>E152/12*9</f>
        <v>737205.34499999997</v>
      </c>
      <c r="I152" s="408">
        <f t="shared" si="38"/>
        <v>-47068.064999999944</v>
      </c>
      <c r="J152" s="408">
        <f t="shared" si="39"/>
        <v>-6.3846613863061383E-2</v>
      </c>
      <c r="K152" s="735">
        <f t="shared" ref="K152:K153" si="53">E152</f>
        <v>982940.46</v>
      </c>
      <c r="L152" s="100"/>
    </row>
    <row r="153" spans="1:12" ht="22.5" x14ac:dyDescent="0.25">
      <c r="A153" s="695" t="str">
        <f t="shared" si="36"/>
        <v>Cemeteries, Funeral Parlours and Crematoriums</v>
      </c>
      <c r="B153" s="620"/>
      <c r="C153" s="733"/>
      <c r="D153" s="733">
        <v>26579168.830668706</v>
      </c>
      <c r="E153" s="733">
        <v>26593168.830668706</v>
      </c>
      <c r="F153" s="733">
        <v>2116763.9500000002</v>
      </c>
      <c r="G153" s="733">
        <v>19933072.100000001</v>
      </c>
      <c r="H153" s="733">
        <f>E153/12*9</f>
        <v>19944876.623001531</v>
      </c>
      <c r="I153" s="408">
        <f t="shared" si="38"/>
        <v>-11804.523001529276</v>
      </c>
      <c r="J153" s="408">
        <f t="shared" si="39"/>
        <v>-5.9185740903083101E-4</v>
      </c>
      <c r="K153" s="735">
        <f t="shared" si="53"/>
        <v>26593168.830668706</v>
      </c>
      <c r="L153" s="100"/>
    </row>
    <row r="154" spans="1:12" x14ac:dyDescent="0.25">
      <c r="A154" s="695" t="str">
        <f t="shared" si="36"/>
        <v>Child Care Facilities</v>
      </c>
      <c r="B154" s="620"/>
      <c r="C154" s="733"/>
      <c r="D154" s="733"/>
      <c r="E154" s="733">
        <v>0</v>
      </c>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2370657.29</v>
      </c>
      <c r="G155" s="733">
        <v>36713882.229999989</v>
      </c>
      <c r="H155" s="733">
        <f>E155/12*9</f>
        <v>11810221.473625503</v>
      </c>
      <c r="I155" s="408">
        <f t="shared" si="38"/>
        <v>24903660.756374486</v>
      </c>
      <c r="J155" s="408">
        <f t="shared" si="39"/>
        <v>2.1086531537100428</v>
      </c>
      <c r="K155" s="735">
        <f t="shared" ref="K155" si="54">E155</f>
        <v>15746961.964834005</v>
      </c>
      <c r="L155" s="100"/>
    </row>
    <row r="156" spans="1:12" x14ac:dyDescent="0.25">
      <c r="A156" s="695" t="str">
        <f t="shared" si="36"/>
        <v>Consumer Protection</v>
      </c>
      <c r="B156" s="620"/>
      <c r="C156" s="733"/>
      <c r="D156" s="733"/>
      <c r="E156" s="733">
        <v>0</v>
      </c>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6"/>
        <v>Education</v>
      </c>
      <c r="B159" s="620"/>
      <c r="C159" s="733"/>
      <c r="D159" s="733"/>
      <c r="E159" s="733">
        <v>0</v>
      </c>
      <c r="F159" s="733"/>
      <c r="G159" s="733"/>
      <c r="H159" s="733"/>
      <c r="I159" s="408">
        <f t="shared" ref="I159:I164" si="55">G159-H159</f>
        <v>0</v>
      </c>
      <c r="J159" s="408" t="str">
        <f t="shared" ref="J159:J164" si="56">IF(I159=0,"",I159/H159)</f>
        <v/>
      </c>
      <c r="K159" s="735"/>
      <c r="L159" s="100"/>
    </row>
    <row r="160" spans="1:12" x14ac:dyDescent="0.25">
      <c r="A160" s="695" t="str">
        <f t="shared" ref="A160:A191" si="57">A38</f>
        <v>Indigenous and Customary Law</v>
      </c>
      <c r="B160" s="620"/>
      <c r="C160" s="733"/>
      <c r="D160" s="733"/>
      <c r="E160" s="733">
        <v>0</v>
      </c>
      <c r="F160" s="733"/>
      <c r="G160" s="733"/>
      <c r="H160" s="733"/>
      <c r="I160" s="408">
        <f t="shared" si="55"/>
        <v>0</v>
      </c>
      <c r="J160" s="408" t="str">
        <f t="shared" si="56"/>
        <v/>
      </c>
      <c r="K160" s="735"/>
      <c r="L160" s="100"/>
    </row>
    <row r="161" spans="1:12" x14ac:dyDescent="0.25">
      <c r="A161" s="695" t="str">
        <f t="shared" si="57"/>
        <v>Industrial Promotion</v>
      </c>
      <c r="B161" s="620"/>
      <c r="C161" s="733"/>
      <c r="D161" s="733"/>
      <c r="E161" s="733">
        <v>0</v>
      </c>
      <c r="F161" s="733"/>
      <c r="G161" s="733"/>
      <c r="H161" s="733"/>
      <c r="I161" s="408">
        <f t="shared" si="55"/>
        <v>0</v>
      </c>
      <c r="J161" s="408" t="str">
        <f t="shared" si="56"/>
        <v/>
      </c>
      <c r="K161" s="735"/>
      <c r="L161" s="100"/>
    </row>
    <row r="162" spans="1:12" x14ac:dyDescent="0.25">
      <c r="A162" s="695" t="str">
        <f t="shared" si="57"/>
        <v>Language Policy</v>
      </c>
      <c r="B162" s="620"/>
      <c r="C162" s="733"/>
      <c r="D162" s="733"/>
      <c r="E162" s="733">
        <v>0</v>
      </c>
      <c r="F162" s="733"/>
      <c r="G162" s="733"/>
      <c r="H162" s="733"/>
      <c r="I162" s="408">
        <f t="shared" si="55"/>
        <v>0</v>
      </c>
      <c r="J162" s="408" t="str">
        <f t="shared" si="56"/>
        <v/>
      </c>
      <c r="K162" s="735"/>
      <c r="L162" s="100"/>
    </row>
    <row r="163" spans="1:12" x14ac:dyDescent="0.25">
      <c r="A163" s="695" t="str">
        <f t="shared" si="57"/>
        <v>Libraries and Archives</v>
      </c>
      <c r="B163" s="620"/>
      <c r="C163" s="733"/>
      <c r="D163" s="733">
        <v>68987451.478751421</v>
      </c>
      <c r="E163" s="733">
        <v>71261116.478751421</v>
      </c>
      <c r="F163" s="733">
        <v>5550952.3099999987</v>
      </c>
      <c r="G163" s="733">
        <v>48682632.429999992</v>
      </c>
      <c r="H163" s="733">
        <f>E163/12*9</f>
        <v>53445837.359063566</v>
      </c>
      <c r="I163" s="408">
        <f t="shared" si="55"/>
        <v>-4763204.9290635735</v>
      </c>
      <c r="J163" s="408">
        <f t="shared" si="56"/>
        <v>-8.9122093776229511E-2</v>
      </c>
      <c r="K163" s="735">
        <f t="shared" ref="K163" si="58">E163</f>
        <v>71261116.478751421</v>
      </c>
      <c r="L163" s="100"/>
    </row>
    <row r="164" spans="1:12" x14ac:dyDescent="0.25">
      <c r="A164" s="695" t="str">
        <f t="shared" si="57"/>
        <v>Literacy Programmes</v>
      </c>
      <c r="B164" s="620"/>
      <c r="C164" s="733"/>
      <c r="D164" s="733"/>
      <c r="E164" s="733">
        <v>0</v>
      </c>
      <c r="F164" s="733"/>
      <c r="G164" s="733"/>
      <c r="H164" s="733"/>
      <c r="I164" s="408">
        <f t="shared" si="55"/>
        <v>0</v>
      </c>
      <c r="J164" s="408" t="str">
        <f t="shared" si="56"/>
        <v/>
      </c>
      <c r="K164" s="735"/>
      <c r="L164" s="100"/>
    </row>
    <row r="165" spans="1:12" x14ac:dyDescent="0.25">
      <c r="A165" s="695" t="str">
        <f t="shared" si="57"/>
        <v>Media Services</v>
      </c>
      <c r="B165" s="620"/>
      <c r="C165" s="733"/>
      <c r="D165" s="733"/>
      <c r="E165" s="733">
        <v>0</v>
      </c>
      <c r="F165" s="733"/>
      <c r="G165" s="733"/>
      <c r="H165" s="733"/>
      <c r="I165" s="408">
        <f t="shared" si="38"/>
        <v>0</v>
      </c>
      <c r="J165" s="408" t="str">
        <f t="shared" si="39"/>
        <v/>
      </c>
      <c r="K165" s="735"/>
      <c r="L165" s="100"/>
    </row>
    <row r="166" spans="1:12" x14ac:dyDescent="0.25">
      <c r="A166" s="695" t="str">
        <f t="shared" si="57"/>
        <v>Museums and Art Galleries</v>
      </c>
      <c r="B166" s="620"/>
      <c r="C166" s="733"/>
      <c r="D166" s="733">
        <v>7907722.2016169671</v>
      </c>
      <c r="E166" s="733">
        <v>8165123.2016169671</v>
      </c>
      <c r="F166" s="733">
        <v>615891.45000000007</v>
      </c>
      <c r="G166" s="733">
        <v>5054964.9399999985</v>
      </c>
      <c r="H166" s="733">
        <f t="shared" ref="H166:H167" si="59">E166/12*9</f>
        <v>6123842.4012127258</v>
      </c>
      <c r="I166" s="408">
        <f t="shared" si="38"/>
        <v>-1068877.4612127272</v>
      </c>
      <c r="J166" s="408">
        <f t="shared" si="39"/>
        <v>-0.17454359390454818</v>
      </c>
      <c r="K166" s="735">
        <f t="shared" ref="K166:K167" si="60">E166</f>
        <v>8165123.2016169671</v>
      </c>
      <c r="L166" s="100"/>
    </row>
    <row r="167" spans="1:12" x14ac:dyDescent="0.25">
      <c r="A167" s="695" t="str">
        <f t="shared" si="57"/>
        <v>Population Development</v>
      </c>
      <c r="B167" s="620"/>
      <c r="C167" s="733"/>
      <c r="D167" s="733">
        <v>8165049.8017358435</v>
      </c>
      <c r="E167" s="733">
        <v>8136195.8017358435</v>
      </c>
      <c r="F167" s="733">
        <v>291918.78999999998</v>
      </c>
      <c r="G167" s="733">
        <v>3688611.8199999984</v>
      </c>
      <c r="H167" s="733">
        <f t="shared" si="59"/>
        <v>6102146.8513018824</v>
      </c>
      <c r="I167" s="408">
        <f t="shared" si="38"/>
        <v>-2413535.031301884</v>
      </c>
      <c r="J167" s="408">
        <f t="shared" si="39"/>
        <v>-0.39552227930846345</v>
      </c>
      <c r="K167" s="735">
        <f t="shared" si="60"/>
        <v>8136195.8017358435</v>
      </c>
      <c r="L167" s="100"/>
    </row>
    <row r="168" spans="1:12" x14ac:dyDescent="0.25">
      <c r="A168" s="695" t="str">
        <f t="shared" si="57"/>
        <v>Provincial Cultural Matters</v>
      </c>
      <c r="B168" s="620"/>
      <c r="C168" s="733"/>
      <c r="D168" s="733"/>
      <c r="E168" s="733">
        <v>0</v>
      </c>
      <c r="F168" s="733"/>
      <c r="G168" s="733"/>
      <c r="H168" s="733"/>
      <c r="I168" s="408">
        <f t="shared" si="38"/>
        <v>0</v>
      </c>
      <c r="J168" s="408" t="str">
        <f t="shared" si="39"/>
        <v/>
      </c>
      <c r="K168" s="735"/>
      <c r="L168" s="100"/>
    </row>
    <row r="169" spans="1:12" x14ac:dyDescent="0.25">
      <c r="A169" s="695" t="str">
        <f t="shared" si="57"/>
        <v>Theatres</v>
      </c>
      <c r="B169" s="620"/>
      <c r="C169" s="733"/>
      <c r="D169" s="733"/>
      <c r="E169" s="733">
        <v>0</v>
      </c>
      <c r="F169" s="733">
        <v>537.32000000000005</v>
      </c>
      <c r="G169" s="733">
        <v>5373.2</v>
      </c>
      <c r="H169" s="733"/>
      <c r="I169" s="408">
        <f t="shared" si="38"/>
        <v>5373.2</v>
      </c>
      <c r="J169" s="408" t="e">
        <f t="shared" si="39"/>
        <v>#DIV/0!</v>
      </c>
      <c r="K169" s="735"/>
      <c r="L169" s="100"/>
    </row>
    <row r="170" spans="1:12" x14ac:dyDescent="0.25">
      <c r="A170" s="695" t="str">
        <f t="shared" si="57"/>
        <v>Zoo's</v>
      </c>
      <c r="B170" s="620"/>
      <c r="C170" s="733"/>
      <c r="D170" s="733"/>
      <c r="E170" s="733">
        <v>0</v>
      </c>
      <c r="F170" s="733"/>
      <c r="G170" s="733"/>
      <c r="H170" s="733"/>
      <c r="I170" s="408">
        <f t="shared" si="38"/>
        <v>0</v>
      </c>
      <c r="J170" s="408" t="str">
        <f t="shared" si="39"/>
        <v/>
      </c>
      <c r="K170" s="735"/>
      <c r="L170" s="100"/>
    </row>
    <row r="171" spans="1:12" x14ac:dyDescent="0.25">
      <c r="A171" s="607" t="str">
        <f t="shared" si="57"/>
        <v>Sport and recreation</v>
      </c>
      <c r="B171" s="620"/>
      <c r="C171" s="611">
        <f t="shared" ref="C171:K171" si="61">SUM(C172:C176)</f>
        <v>0</v>
      </c>
      <c r="D171" s="611">
        <f t="shared" si="61"/>
        <v>114418472.68896006</v>
      </c>
      <c r="E171" s="611">
        <f t="shared" si="61"/>
        <v>114548472.68896006</v>
      </c>
      <c r="F171" s="611">
        <f t="shared" si="61"/>
        <v>9888331.5599999987</v>
      </c>
      <c r="G171" s="611">
        <f t="shared" si="61"/>
        <v>90837920.960000008</v>
      </c>
      <c r="H171" s="611">
        <f t="shared" si="61"/>
        <v>85911354.516720057</v>
      </c>
      <c r="I171" s="611">
        <f t="shared" ref="I171:I176" si="62">G171-H171</f>
        <v>4926566.4432799518</v>
      </c>
      <c r="J171" s="611">
        <f t="shared" ref="J171:J176" si="63">IF(I171=0,"",I171/H171)</f>
        <v>5.7344765089475384E-2</v>
      </c>
      <c r="K171" s="614">
        <f t="shared" si="61"/>
        <v>114548472.68896006</v>
      </c>
      <c r="L171" s="100"/>
    </row>
    <row r="172" spans="1:12" x14ac:dyDescent="0.25">
      <c r="A172" s="695" t="str">
        <f t="shared" si="57"/>
        <v xml:space="preserve">Beaches and Jetties </v>
      </c>
      <c r="B172" s="620"/>
      <c r="C172" s="733"/>
      <c r="D172" s="733"/>
      <c r="E172" s="733"/>
      <c r="F172" s="733"/>
      <c r="G172" s="733"/>
      <c r="H172" s="733"/>
      <c r="I172" s="408">
        <f t="shared" si="62"/>
        <v>0</v>
      </c>
      <c r="J172" s="408" t="str">
        <f t="shared" si="63"/>
        <v/>
      </c>
      <c r="K172" s="735"/>
      <c r="L172" s="100"/>
    </row>
    <row r="173" spans="1:12" x14ac:dyDescent="0.25">
      <c r="A173" s="695" t="str">
        <f t="shared" si="57"/>
        <v>Casinos, Racing, Gambling, Wagering</v>
      </c>
      <c r="B173" s="620"/>
      <c r="C173" s="733"/>
      <c r="D173" s="733"/>
      <c r="E173" s="733"/>
      <c r="F173" s="733"/>
      <c r="G173" s="733"/>
      <c r="H173" s="733"/>
      <c r="I173" s="408">
        <f t="shared" si="62"/>
        <v>0</v>
      </c>
      <c r="J173" s="408" t="str">
        <f t="shared" si="63"/>
        <v/>
      </c>
      <c r="K173" s="735"/>
      <c r="L173" s="100"/>
    </row>
    <row r="174" spans="1:12" x14ac:dyDescent="0.25">
      <c r="A174" s="695" t="str">
        <f t="shared" si="57"/>
        <v>Community Parks (including Nurseries)</v>
      </c>
      <c r="B174" s="620"/>
      <c r="C174" s="733"/>
      <c r="D174" s="733">
        <v>48114791.713263765</v>
      </c>
      <c r="E174" s="733">
        <v>48294791.713263765</v>
      </c>
      <c r="F174" s="733">
        <v>4067421.8299999991</v>
      </c>
      <c r="G174" s="733">
        <v>36954330.119999997</v>
      </c>
      <c r="H174" s="733">
        <f t="shared" ref="H174:H175" si="64">E174/12*9</f>
        <v>36221093.784947827</v>
      </c>
      <c r="I174" s="408">
        <f t="shared" si="62"/>
        <v>733236.33505216986</v>
      </c>
      <c r="J174" s="408">
        <f t="shared" si="63"/>
        <v>2.0243351551047756E-2</v>
      </c>
      <c r="K174" s="735">
        <f t="shared" ref="K174:K175" si="65">E174</f>
        <v>48294791.713263765</v>
      </c>
      <c r="L174" s="100"/>
    </row>
    <row r="175" spans="1:12" x14ac:dyDescent="0.25">
      <c r="A175" s="695" t="str">
        <f t="shared" si="57"/>
        <v>Recreational Facilities</v>
      </c>
      <c r="B175" s="620"/>
      <c r="C175" s="733"/>
      <c r="D175" s="733">
        <v>66303680.975696295</v>
      </c>
      <c r="E175" s="733">
        <v>66253680.975696295</v>
      </c>
      <c r="F175" s="733">
        <v>5820909.7299999995</v>
      </c>
      <c r="G175" s="733">
        <v>53883590.840000018</v>
      </c>
      <c r="H175" s="733">
        <f t="shared" si="64"/>
        <v>49690260.731772222</v>
      </c>
      <c r="I175" s="408">
        <f t="shared" si="62"/>
        <v>4193330.1082277969</v>
      </c>
      <c r="J175" s="408">
        <f t="shared" si="63"/>
        <v>8.4389376237395328E-2</v>
      </c>
      <c r="K175" s="735">
        <f t="shared" si="65"/>
        <v>66253680.975696295</v>
      </c>
      <c r="L175" s="100"/>
    </row>
    <row r="176" spans="1:12" x14ac:dyDescent="0.25">
      <c r="A176" s="695" t="str">
        <f t="shared" si="57"/>
        <v>Sports Grounds and Stadiums</v>
      </c>
      <c r="B176" s="620"/>
      <c r="C176" s="733"/>
      <c r="D176" s="733"/>
      <c r="E176" s="733">
        <v>0</v>
      </c>
      <c r="F176" s="733"/>
      <c r="G176" s="733"/>
      <c r="H176" s="733"/>
      <c r="I176" s="408">
        <f t="shared" si="62"/>
        <v>0</v>
      </c>
      <c r="J176" s="408" t="str">
        <f t="shared" si="63"/>
        <v/>
      </c>
      <c r="K176" s="735"/>
      <c r="L176" s="100"/>
    </row>
    <row r="177" spans="1:12" x14ac:dyDescent="0.25">
      <c r="A177" s="607" t="str">
        <f t="shared" si="57"/>
        <v>Public safety</v>
      </c>
      <c r="B177" s="620"/>
      <c r="C177" s="611">
        <f t="shared" ref="C177:K177" si="66">SUM(C178:C185)</f>
        <v>0</v>
      </c>
      <c r="D177" s="611">
        <f t="shared" si="66"/>
        <v>106871795.2822189</v>
      </c>
      <c r="E177" s="611">
        <f t="shared" si="66"/>
        <v>140511795.83917889</v>
      </c>
      <c r="F177" s="611">
        <f t="shared" si="66"/>
        <v>14655603.27</v>
      </c>
      <c r="G177" s="611">
        <f t="shared" si="66"/>
        <v>146458882.84</v>
      </c>
      <c r="H177" s="611">
        <f t="shared" si="66"/>
        <v>105383846.87938417</v>
      </c>
      <c r="I177" s="611">
        <f t="shared" si="38"/>
        <v>41075035.960615829</v>
      </c>
      <c r="J177" s="611">
        <f t="shared" si="39"/>
        <v>0.38976595727832719</v>
      </c>
      <c r="K177" s="614">
        <f t="shared" si="66"/>
        <v>140511795.83917889</v>
      </c>
      <c r="L177" s="100"/>
    </row>
    <row r="178" spans="1:12" x14ac:dyDescent="0.25">
      <c r="A178" s="695" t="str">
        <f t="shared" si="57"/>
        <v>Civil Defence</v>
      </c>
      <c r="B178" s="620"/>
      <c r="C178" s="733"/>
      <c r="D178" s="733">
        <v>12197113.976451974</v>
      </c>
      <c r="E178" s="733">
        <v>12197113.976451974</v>
      </c>
      <c r="F178" s="733">
        <v>355455.86000000004</v>
      </c>
      <c r="G178" s="733">
        <v>10447601.489999998</v>
      </c>
      <c r="H178" s="733">
        <f>E178/12*9</f>
        <v>9147835.4823389798</v>
      </c>
      <c r="I178" s="408">
        <f t="shared" si="38"/>
        <v>1299766.0076610185</v>
      </c>
      <c r="J178" s="408">
        <f t="shared" si="39"/>
        <v>0.14208454121965536</v>
      </c>
      <c r="K178" s="735">
        <f t="shared" ref="K178" si="67">E178</f>
        <v>12197113.976451974</v>
      </c>
      <c r="L178" s="100"/>
    </row>
    <row r="179" spans="1:12" x14ac:dyDescent="0.25">
      <c r="A179" s="695" t="str">
        <f t="shared" si="57"/>
        <v>Cleansing</v>
      </c>
      <c r="B179" s="620"/>
      <c r="C179" s="733"/>
      <c r="D179" s="733"/>
      <c r="E179" s="733"/>
      <c r="F179" s="733"/>
      <c r="G179" s="733"/>
      <c r="H179" s="733"/>
      <c r="I179" s="408">
        <f t="shared" si="38"/>
        <v>0</v>
      </c>
      <c r="J179" s="408" t="str">
        <f t="shared" si="39"/>
        <v/>
      </c>
      <c r="K179" s="735"/>
      <c r="L179" s="100"/>
    </row>
    <row r="180" spans="1:12" x14ac:dyDescent="0.25">
      <c r="A180" s="695" t="str">
        <f t="shared" si="57"/>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7"/>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7"/>
        <v>Fire Fighting and Protection</v>
      </c>
      <c r="B182" s="620"/>
      <c r="C182" s="733"/>
      <c r="D182" s="733">
        <v>94674681.305766925</v>
      </c>
      <c r="E182" s="733">
        <v>128314681.86272693</v>
      </c>
      <c r="F182" s="733">
        <v>8466043.6699999999</v>
      </c>
      <c r="G182" s="733">
        <v>82000998.730000004</v>
      </c>
      <c r="H182" s="733">
        <f>E182/12*9</f>
        <v>96236011.397045195</v>
      </c>
      <c r="I182" s="408">
        <f t="shared" si="38"/>
        <v>-14235012.667045191</v>
      </c>
      <c r="J182" s="408">
        <f t="shared" si="39"/>
        <v>-0.14791773329336319</v>
      </c>
      <c r="K182" s="735">
        <f t="shared" ref="K182" si="68">E182</f>
        <v>128314681.86272693</v>
      </c>
      <c r="L182" s="100"/>
    </row>
    <row r="183" spans="1:12" x14ac:dyDescent="0.25">
      <c r="A183" s="695" t="str">
        <f t="shared" si="57"/>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7"/>
        <v>Police Forces, Traffic and Street Parking Control</v>
      </c>
      <c r="B184" s="620"/>
      <c r="C184" s="733"/>
      <c r="D184" s="733"/>
      <c r="E184" s="733"/>
      <c r="F184" s="733">
        <v>5834103.7400000002</v>
      </c>
      <c r="G184" s="733">
        <v>54010282.619999997</v>
      </c>
      <c r="H184" s="733"/>
      <c r="I184" s="408">
        <f>G184-H184</f>
        <v>54010282.619999997</v>
      </c>
      <c r="J184" s="408" t="e">
        <f>IF(I184=0,"",I184/H184)</f>
        <v>#DIV/0!</v>
      </c>
      <c r="K184" s="735"/>
      <c r="L184" s="100"/>
    </row>
    <row r="185" spans="1:12" x14ac:dyDescent="0.25">
      <c r="A185" s="695" t="str">
        <f t="shared" si="57"/>
        <v>Pounds</v>
      </c>
      <c r="B185" s="620"/>
      <c r="C185" s="733"/>
      <c r="D185" s="733"/>
      <c r="E185" s="733"/>
      <c r="F185" s="733"/>
      <c r="G185" s="733"/>
      <c r="H185" s="733"/>
      <c r="I185" s="408">
        <f t="shared" si="38"/>
        <v>0</v>
      </c>
      <c r="J185" s="408" t="str">
        <f t="shared" si="39"/>
        <v/>
      </c>
      <c r="K185" s="735"/>
      <c r="L185" s="100"/>
    </row>
    <row r="186" spans="1:12" x14ac:dyDescent="0.25">
      <c r="A186" s="607" t="str">
        <f t="shared" si="57"/>
        <v>Housing</v>
      </c>
      <c r="B186" s="620"/>
      <c r="C186" s="611">
        <f t="shared" ref="C186:H186" si="69">SUM(C187:C188)</f>
        <v>0</v>
      </c>
      <c r="D186" s="611">
        <f t="shared" si="69"/>
        <v>90129848.361797929</v>
      </c>
      <c r="E186" s="611">
        <f t="shared" si="69"/>
        <v>147109915.36179793</v>
      </c>
      <c r="F186" s="611">
        <f t="shared" si="69"/>
        <v>6743027.7000000002</v>
      </c>
      <c r="G186" s="611">
        <f t="shared" si="69"/>
        <v>49433605.000000022</v>
      </c>
      <c r="H186" s="611">
        <f t="shared" si="69"/>
        <v>110332436.52134845</v>
      </c>
      <c r="I186" s="611">
        <f>G186-H186</f>
        <v>-60898831.521348424</v>
      </c>
      <c r="J186" s="611">
        <f>IF(I186=0,"",I186/H186)</f>
        <v>-0.55195764220764754</v>
      </c>
      <c r="K186" s="611">
        <f>SUM(K187:K188)</f>
        <v>147109915.36179793</v>
      </c>
      <c r="L186" s="100"/>
    </row>
    <row r="187" spans="1:12" x14ac:dyDescent="0.25">
      <c r="A187" s="695" t="str">
        <f t="shared" si="57"/>
        <v>Housing</v>
      </c>
      <c r="B187" s="620"/>
      <c r="C187" s="733"/>
      <c r="D187" s="733">
        <v>90129848.361797929</v>
      </c>
      <c r="E187" s="733">
        <v>147109915.36179793</v>
      </c>
      <c r="F187" s="733">
        <v>6743027.7000000002</v>
      </c>
      <c r="G187" s="733">
        <v>49433605.000000022</v>
      </c>
      <c r="H187" s="733">
        <f>E187/12*9</f>
        <v>110332436.52134845</v>
      </c>
      <c r="I187" s="408">
        <f>G187-H187</f>
        <v>-60898831.521348424</v>
      </c>
      <c r="J187" s="408">
        <f>IF(I187=0,"",I187/H187)</f>
        <v>-0.55195764220764754</v>
      </c>
      <c r="K187" s="735">
        <f t="shared" ref="K187" si="70">E187</f>
        <v>147109915.36179793</v>
      </c>
      <c r="L187" s="100"/>
    </row>
    <row r="188" spans="1:12" x14ac:dyDescent="0.25">
      <c r="A188" s="695" t="str">
        <f t="shared" si="57"/>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7"/>
        <v>Health</v>
      </c>
      <c r="B189" s="620"/>
      <c r="C189" s="611">
        <f t="shared" ref="C189:K189" si="71">SUM(C190:C196)</f>
        <v>0</v>
      </c>
      <c r="D189" s="611">
        <f t="shared" si="71"/>
        <v>273885.02793777513</v>
      </c>
      <c r="E189" s="611">
        <f t="shared" si="71"/>
        <v>273885.02793777513</v>
      </c>
      <c r="F189" s="611">
        <f t="shared" si="71"/>
        <v>735900.15000000014</v>
      </c>
      <c r="G189" s="611">
        <f t="shared" si="71"/>
        <v>7182989.8099999987</v>
      </c>
      <c r="H189" s="611">
        <f t="shared" si="71"/>
        <v>205413.77095333135</v>
      </c>
      <c r="I189" s="611">
        <f t="shared" si="38"/>
        <v>6977576.0390466675</v>
      </c>
      <c r="J189" s="611">
        <f t="shared" si="39"/>
        <v>33.96839465369596</v>
      </c>
      <c r="K189" s="614">
        <f t="shared" si="71"/>
        <v>273885.02793777513</v>
      </c>
      <c r="L189" s="100"/>
    </row>
    <row r="190" spans="1:12" x14ac:dyDescent="0.25">
      <c r="A190" s="695" t="str">
        <f t="shared" si="57"/>
        <v>Ambulance</v>
      </c>
      <c r="B190" s="620"/>
      <c r="C190" s="733"/>
      <c r="D190" s="733"/>
      <c r="E190" s="733"/>
      <c r="F190" s="733"/>
      <c r="G190" s="733"/>
      <c r="H190" s="733"/>
      <c r="I190" s="408">
        <f t="shared" si="38"/>
        <v>0</v>
      </c>
      <c r="J190" s="408" t="str">
        <f t="shared" si="39"/>
        <v/>
      </c>
      <c r="K190" s="735"/>
      <c r="L190" s="100"/>
    </row>
    <row r="191" spans="1:12" x14ac:dyDescent="0.25">
      <c r="A191" s="695" t="str">
        <f t="shared" si="57"/>
        <v>Health Services</v>
      </c>
      <c r="B191" s="620"/>
      <c r="C191" s="733"/>
      <c r="D191" s="733">
        <v>273885.02793777513</v>
      </c>
      <c r="E191" s="733">
        <v>273885.02793777513</v>
      </c>
      <c r="F191" s="733">
        <v>735900.15000000014</v>
      </c>
      <c r="G191" s="733">
        <v>7182989.8099999987</v>
      </c>
      <c r="H191" s="733">
        <f>E191/12*9</f>
        <v>205413.77095333135</v>
      </c>
      <c r="I191" s="408">
        <f t="shared" si="38"/>
        <v>6977576.0390466675</v>
      </c>
      <c r="J191" s="408">
        <f t="shared" si="39"/>
        <v>33.96839465369596</v>
      </c>
      <c r="K191" s="735">
        <f t="shared" ref="K191" si="72">E191</f>
        <v>273885.02793777513</v>
      </c>
      <c r="L191" s="100"/>
    </row>
    <row r="192" spans="1:12" x14ac:dyDescent="0.25">
      <c r="A192" s="695" t="str">
        <f t="shared" ref="A192:A223" si="73">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73"/>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3"/>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3"/>
        <v>Vector Control</v>
      </c>
      <c r="B195" s="620"/>
      <c r="C195" s="733"/>
      <c r="D195" s="733"/>
      <c r="E195" s="733"/>
      <c r="F195" s="733"/>
      <c r="G195" s="733"/>
      <c r="H195" s="733"/>
      <c r="I195" s="408">
        <f t="shared" si="38"/>
        <v>0</v>
      </c>
      <c r="J195" s="408" t="str">
        <f t="shared" si="39"/>
        <v/>
      </c>
      <c r="K195" s="735"/>
      <c r="L195" s="100"/>
    </row>
    <row r="196" spans="1:12" x14ac:dyDescent="0.25">
      <c r="A196" s="695" t="str">
        <f t="shared" si="73"/>
        <v>Chemical Safety</v>
      </c>
      <c r="B196" s="620"/>
      <c r="C196" s="733"/>
      <c r="D196" s="733"/>
      <c r="E196" s="733"/>
      <c r="F196" s="733"/>
      <c r="G196" s="733"/>
      <c r="H196" s="733"/>
      <c r="I196" s="408">
        <f t="shared" si="38"/>
        <v>0</v>
      </c>
      <c r="J196" s="408" t="str">
        <f t="shared" si="39"/>
        <v/>
      </c>
      <c r="K196" s="735"/>
      <c r="L196" s="100"/>
    </row>
    <row r="197" spans="1:12" x14ac:dyDescent="0.25">
      <c r="A197" s="414" t="str">
        <f t="shared" si="73"/>
        <v>Economic and environmental services</v>
      </c>
      <c r="B197" s="620"/>
      <c r="C197" s="605">
        <f t="shared" ref="C197:H197" si="74">C198+C209+C214</f>
        <v>0</v>
      </c>
      <c r="D197" s="605">
        <f t="shared" si="74"/>
        <v>288173315.58344549</v>
      </c>
      <c r="E197" s="605">
        <f t="shared" si="74"/>
        <v>294605680.61754364</v>
      </c>
      <c r="F197" s="605">
        <f t="shared" si="74"/>
        <v>27554003.309999999</v>
      </c>
      <c r="G197" s="605">
        <f t="shared" si="74"/>
        <v>241187304.64999998</v>
      </c>
      <c r="H197" s="605">
        <f t="shared" si="74"/>
        <v>220954260.46315771</v>
      </c>
      <c r="I197" s="605">
        <f t="shared" si="38"/>
        <v>20233044.186842263</v>
      </c>
      <c r="J197" s="605">
        <f t="shared" si="39"/>
        <v>9.1571188283178437E-2</v>
      </c>
      <c r="K197" s="606">
        <f>K198+K209+K214</f>
        <v>294605680.61754364</v>
      </c>
      <c r="L197" s="100"/>
    </row>
    <row r="198" spans="1:12" x14ac:dyDescent="0.25">
      <c r="A198" s="607" t="str">
        <f t="shared" si="73"/>
        <v>Planning and development</v>
      </c>
      <c r="B198" s="620"/>
      <c r="C198" s="611">
        <f t="shared" ref="C198:K198" si="75">SUM(C199:C208)</f>
        <v>0</v>
      </c>
      <c r="D198" s="611">
        <f t="shared" si="75"/>
        <v>92239503.875528902</v>
      </c>
      <c r="E198" s="611">
        <f t="shared" si="75"/>
        <v>94069123.875528887</v>
      </c>
      <c r="F198" s="611">
        <f t="shared" si="75"/>
        <v>5534432.089999998</v>
      </c>
      <c r="G198" s="611">
        <f t="shared" si="75"/>
        <v>48801281.229999982</v>
      </c>
      <c r="H198" s="611">
        <f t="shared" si="75"/>
        <v>70551842.906646669</v>
      </c>
      <c r="I198" s="611">
        <f t="shared" si="38"/>
        <v>-21750561.676646687</v>
      </c>
      <c r="J198" s="611">
        <f t="shared" si="39"/>
        <v>-0.30829189969462262</v>
      </c>
      <c r="K198" s="614">
        <f t="shared" si="75"/>
        <v>94069123.875528887</v>
      </c>
      <c r="L198" s="100"/>
    </row>
    <row r="199" spans="1:12" x14ac:dyDescent="0.25">
      <c r="A199" s="695" t="str">
        <f t="shared" si="73"/>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73"/>
        <v>Corporate Wide Strategic Planning (IDPs, LEDs)</v>
      </c>
      <c r="B200" s="620"/>
      <c r="C200" s="733"/>
      <c r="D200" s="733">
        <v>12848610.792359998</v>
      </c>
      <c r="E200" s="733">
        <v>12930492.792359998</v>
      </c>
      <c r="F200" s="733">
        <v>496872.16000000009</v>
      </c>
      <c r="G200" s="733">
        <v>4726267.7499999981</v>
      </c>
      <c r="H200" s="733">
        <f>E200/12*9</f>
        <v>9697869.5942699984</v>
      </c>
      <c r="I200" s="408">
        <f t="shared" si="38"/>
        <v>-4971601.8442700002</v>
      </c>
      <c r="J200" s="408">
        <f t="shared" si="39"/>
        <v>-0.51264886539694032</v>
      </c>
      <c r="K200" s="735">
        <f t="shared" ref="K200" si="76">E200</f>
        <v>12930492.792359998</v>
      </c>
      <c r="L200" s="100"/>
    </row>
    <row r="201" spans="1:12" x14ac:dyDescent="0.25">
      <c r="A201" s="695" t="str">
        <f t="shared" si="73"/>
        <v>Central City Improvement District</v>
      </c>
      <c r="B201" s="620"/>
      <c r="C201" s="733"/>
      <c r="D201" s="733"/>
      <c r="E201" s="733">
        <v>0</v>
      </c>
      <c r="F201" s="733"/>
      <c r="G201" s="733"/>
      <c r="H201" s="733"/>
      <c r="I201" s="408">
        <f t="shared" si="38"/>
        <v>0</v>
      </c>
      <c r="J201" s="408" t="str">
        <f t="shared" si="39"/>
        <v/>
      </c>
      <c r="K201" s="735"/>
      <c r="L201" s="100"/>
    </row>
    <row r="202" spans="1:12" x14ac:dyDescent="0.25">
      <c r="A202" s="695" t="str">
        <f t="shared" si="73"/>
        <v>Development Facilitation</v>
      </c>
      <c r="B202" s="620"/>
      <c r="C202" s="733"/>
      <c r="D202" s="733"/>
      <c r="E202" s="733">
        <v>0</v>
      </c>
      <c r="F202" s="733"/>
      <c r="G202" s="733"/>
      <c r="H202" s="733"/>
      <c r="I202" s="408">
        <f>G202-H202</f>
        <v>0</v>
      </c>
      <c r="J202" s="408" t="str">
        <f>IF(I202=0,"",I202/H202)</f>
        <v/>
      </c>
      <c r="K202" s="735"/>
      <c r="L202" s="100"/>
    </row>
    <row r="203" spans="1:12" x14ac:dyDescent="0.25">
      <c r="A203" s="695" t="str">
        <f t="shared" si="73"/>
        <v>Economic Development/Planning</v>
      </c>
      <c r="B203" s="620"/>
      <c r="C203" s="733"/>
      <c r="D203" s="733">
        <v>12958288.606480801</v>
      </c>
      <c r="E203" s="733">
        <v>12958288.606480801</v>
      </c>
      <c r="F203" s="733">
        <v>598236.77</v>
      </c>
      <c r="G203" s="733">
        <v>6156367.5599999987</v>
      </c>
      <c r="H203" s="733">
        <f>E203/12*9</f>
        <v>9718716.4548605997</v>
      </c>
      <c r="I203" s="408">
        <f>G203-H203</f>
        <v>-3562348.8948606011</v>
      </c>
      <c r="J203" s="408">
        <f>IF(I203=0,"",I203/H203)</f>
        <v>-0.36654520289857528</v>
      </c>
      <c r="K203" s="735">
        <f t="shared" ref="K203" si="77">E203</f>
        <v>12958288.606480801</v>
      </c>
      <c r="L203" s="100"/>
    </row>
    <row r="204" spans="1:12" x14ac:dyDescent="0.25">
      <c r="A204" s="695" t="str">
        <f t="shared" si="73"/>
        <v>Regional Planning and Development</v>
      </c>
      <c r="B204" s="620"/>
      <c r="C204" s="733"/>
      <c r="D204" s="733"/>
      <c r="E204" s="733">
        <v>0</v>
      </c>
      <c r="F204" s="733"/>
      <c r="G204" s="733"/>
      <c r="H204" s="733"/>
      <c r="I204" s="408">
        <f>G204-H204</f>
        <v>0</v>
      </c>
      <c r="J204" s="408" t="str">
        <f>IF(I204=0,"",I204/H204)</f>
        <v/>
      </c>
      <c r="K204" s="735"/>
      <c r="L204" s="100"/>
    </row>
    <row r="205" spans="1:12" ht="22.5" x14ac:dyDescent="0.25">
      <c r="A205" s="695" t="str">
        <f t="shared" si="73"/>
        <v>Town Planning, Building Regulations and Enforcement, and City Engineer</v>
      </c>
      <c r="B205" s="620"/>
      <c r="C205" s="733"/>
      <c r="D205" s="733">
        <v>66432604.476688094</v>
      </c>
      <c r="E205" s="733">
        <v>68180342.476688087</v>
      </c>
      <c r="F205" s="733">
        <v>4439323.1599999983</v>
      </c>
      <c r="G205" s="733">
        <v>37918645.919999987</v>
      </c>
      <c r="H205" s="733">
        <f>E205/12*9</f>
        <v>51135256.857516065</v>
      </c>
      <c r="I205" s="408">
        <f>G205-H205</f>
        <v>-13216610.937516078</v>
      </c>
      <c r="J205" s="408">
        <f>IF(I205=0,"",I205/H205)</f>
        <v>-0.25846376355051881</v>
      </c>
      <c r="K205" s="735">
        <f t="shared" ref="K205" si="78">E205</f>
        <v>68180342.476688087</v>
      </c>
      <c r="L205" s="100"/>
    </row>
    <row r="206" spans="1:12" x14ac:dyDescent="0.25">
      <c r="A206" s="695" t="str">
        <f t="shared" si="73"/>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3"/>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73"/>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73"/>
        <v>Road transport</v>
      </c>
      <c r="B209" s="620"/>
      <c r="C209" s="611">
        <f t="shared" ref="C209:H209" si="79">SUM(C210:C213)</f>
        <v>0</v>
      </c>
      <c r="D209" s="611">
        <f t="shared" si="79"/>
        <v>171068986.74871668</v>
      </c>
      <c r="E209" s="611">
        <f t="shared" si="79"/>
        <v>175671731.78281486</v>
      </c>
      <c r="F209" s="611">
        <f t="shared" si="79"/>
        <v>20304636.169999998</v>
      </c>
      <c r="G209" s="611">
        <f t="shared" si="79"/>
        <v>176951637.25999999</v>
      </c>
      <c r="H209" s="611">
        <f t="shared" si="79"/>
        <v>131753798.83711112</v>
      </c>
      <c r="I209" s="611">
        <f t="shared" si="38"/>
        <v>45197838.422888875</v>
      </c>
      <c r="J209" s="611">
        <f t="shared" si="39"/>
        <v>0.34304770581049837</v>
      </c>
      <c r="K209" s="614">
        <f>SUM(K210:K213)</f>
        <v>175671731.78281486</v>
      </c>
      <c r="L209" s="100"/>
    </row>
    <row r="210" spans="1:12" x14ac:dyDescent="0.25">
      <c r="A210" s="695" t="str">
        <f t="shared" si="73"/>
        <v>Public Transport</v>
      </c>
      <c r="B210" s="620"/>
      <c r="C210" s="733"/>
      <c r="D210" s="733">
        <v>6112737.5899952119</v>
      </c>
      <c r="E210" s="733">
        <v>12141552.624093361</v>
      </c>
      <c r="F210" s="733">
        <v>600454.14000000025</v>
      </c>
      <c r="G210" s="733">
        <v>5509034.21</v>
      </c>
      <c r="H210" s="733">
        <f t="shared" ref="H210:H213" si="80">E210/12*9</f>
        <v>9106164.4680700209</v>
      </c>
      <c r="I210" s="408">
        <f t="shared" si="38"/>
        <v>-3597130.2580700209</v>
      </c>
      <c r="J210" s="408">
        <f t="shared" si="39"/>
        <v>-0.39502144626127139</v>
      </c>
      <c r="K210" s="735">
        <f t="shared" ref="K210:K213" si="81">E210</f>
        <v>12141552.624093361</v>
      </c>
      <c r="L210" s="100"/>
    </row>
    <row r="211" spans="1:12" x14ac:dyDescent="0.25">
      <c r="A211" s="695" t="str">
        <f t="shared" si="73"/>
        <v>Road and Traffic Regulation</v>
      </c>
      <c r="B211" s="620"/>
      <c r="C211" s="733"/>
      <c r="D211" s="733">
        <v>75071897.514813796</v>
      </c>
      <c r="E211" s="733">
        <v>75071897.514813796</v>
      </c>
      <c r="F211" s="733">
        <v>19463260.519999996</v>
      </c>
      <c r="G211" s="733">
        <v>169724422.14999998</v>
      </c>
      <c r="H211" s="733">
        <f t="shared" si="80"/>
        <v>56303923.136110343</v>
      </c>
      <c r="I211" s="408">
        <f>G211-H211</f>
        <v>113420499.01388964</v>
      </c>
      <c r="J211" s="408">
        <f>IF(I211=0,"",I211/H211)</f>
        <v>2.0144333235839436</v>
      </c>
      <c r="K211" s="735">
        <f t="shared" si="81"/>
        <v>75071897.514813796</v>
      </c>
      <c r="L211" s="100"/>
    </row>
    <row r="212" spans="1:12" x14ac:dyDescent="0.25">
      <c r="A212" s="695" t="str">
        <f t="shared" si="73"/>
        <v>Roads</v>
      </c>
      <c r="B212" s="620"/>
      <c r="C212" s="733"/>
      <c r="D212" s="733">
        <v>86766270.60115768</v>
      </c>
      <c r="E212" s="733">
        <v>84823952.60115768</v>
      </c>
      <c r="F212" s="733"/>
      <c r="G212" s="733"/>
      <c r="H212" s="733">
        <f t="shared" si="80"/>
        <v>63617964.450868256</v>
      </c>
      <c r="I212" s="408">
        <f t="shared" si="38"/>
        <v>-63617964.450868256</v>
      </c>
      <c r="J212" s="408">
        <f t="shared" si="39"/>
        <v>-1</v>
      </c>
      <c r="K212" s="735">
        <f t="shared" si="81"/>
        <v>84823952.60115768</v>
      </c>
      <c r="L212" s="100"/>
    </row>
    <row r="213" spans="1:12" x14ac:dyDescent="0.25">
      <c r="A213" s="695" t="str">
        <f t="shared" si="73"/>
        <v>Taxi Ranks</v>
      </c>
      <c r="B213" s="620"/>
      <c r="C213" s="733"/>
      <c r="D213" s="733">
        <v>3118081.04275</v>
      </c>
      <c r="E213" s="733">
        <v>3634329.04275</v>
      </c>
      <c r="F213" s="733">
        <v>240921.51</v>
      </c>
      <c r="G213" s="733">
        <v>1718180.9000000001</v>
      </c>
      <c r="H213" s="733">
        <f t="shared" si="80"/>
        <v>2725746.7820624998</v>
      </c>
      <c r="I213" s="408">
        <f t="shared" si="38"/>
        <v>-1007565.8820624996</v>
      </c>
      <c r="J213" s="408">
        <f t="shared" si="39"/>
        <v>-0.36964764617647333</v>
      </c>
      <c r="K213" s="735">
        <f t="shared" si="81"/>
        <v>3634329.04275</v>
      </c>
      <c r="L213" s="100"/>
    </row>
    <row r="214" spans="1:12" x14ac:dyDescent="0.25">
      <c r="A214" s="607" t="str">
        <f t="shared" si="73"/>
        <v>Environmental protection</v>
      </c>
      <c r="B214" s="620"/>
      <c r="C214" s="611">
        <f t="shared" ref="C214:K214" si="82">SUM(C215:C220)</f>
        <v>0</v>
      </c>
      <c r="D214" s="611">
        <f t="shared" si="82"/>
        <v>24864824.959199883</v>
      </c>
      <c r="E214" s="611">
        <f t="shared" si="82"/>
        <v>24864824.959199883</v>
      </c>
      <c r="F214" s="611">
        <f t="shared" si="82"/>
        <v>1714935.0500000003</v>
      </c>
      <c r="G214" s="611">
        <f t="shared" si="82"/>
        <v>15434386.16</v>
      </c>
      <c r="H214" s="611">
        <f t="shared" si="82"/>
        <v>18648618.719399914</v>
      </c>
      <c r="I214" s="611">
        <f t="shared" si="38"/>
        <v>-3214232.559399914</v>
      </c>
      <c r="J214" s="611">
        <f t="shared" si="39"/>
        <v>-0.17235767472988173</v>
      </c>
      <c r="K214" s="614">
        <f t="shared" si="82"/>
        <v>24864824.959199883</v>
      </c>
      <c r="L214" s="100"/>
    </row>
    <row r="215" spans="1:12" x14ac:dyDescent="0.25">
      <c r="A215" s="695" t="str">
        <f t="shared" si="73"/>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73"/>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73"/>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73"/>
        <v>Nature Conservation</v>
      </c>
      <c r="B218" s="620"/>
      <c r="C218" s="733"/>
      <c r="D218" s="733">
        <v>7953351.9763347059</v>
      </c>
      <c r="E218" s="733">
        <v>7953351.9763347059</v>
      </c>
      <c r="F218" s="733">
        <v>345407.41000000003</v>
      </c>
      <c r="G218" s="733">
        <v>3223514.4300000006</v>
      </c>
      <c r="H218" s="733">
        <f t="shared" ref="H218:H219" si="83">E218/12*9</f>
        <v>5965013.9822510295</v>
      </c>
      <c r="I218" s="408">
        <f>G218-H218</f>
        <v>-2741499.5522510288</v>
      </c>
      <c r="J218" s="408">
        <f>IF(I218=0,"",I218/H218)</f>
        <v>-0.45959650059637641</v>
      </c>
      <c r="K218" s="735">
        <f t="shared" ref="K218:K219" si="84">E218</f>
        <v>7953351.9763347059</v>
      </c>
      <c r="L218" s="100"/>
    </row>
    <row r="219" spans="1:12" x14ac:dyDescent="0.25">
      <c r="A219" s="695" t="str">
        <f t="shared" si="73"/>
        <v>Pollution Control</v>
      </c>
      <c r="B219" s="620"/>
      <c r="C219" s="733"/>
      <c r="D219" s="733">
        <v>16911472.982865177</v>
      </c>
      <c r="E219" s="733">
        <v>16911472.982865177</v>
      </c>
      <c r="F219" s="733">
        <v>1369527.6400000004</v>
      </c>
      <c r="G219" s="733">
        <v>12210871.729999999</v>
      </c>
      <c r="H219" s="733">
        <f t="shared" si="83"/>
        <v>12683604.737148883</v>
      </c>
      <c r="I219" s="408">
        <f>G219-H219</f>
        <v>-472733.00714888424</v>
      </c>
      <c r="J219" s="408">
        <f>IF(I219=0,"",I219/H219)</f>
        <v>-3.7271187248866348E-2</v>
      </c>
      <c r="K219" s="735">
        <f t="shared" si="84"/>
        <v>16911472.982865177</v>
      </c>
      <c r="L219" s="100"/>
    </row>
    <row r="220" spans="1:12" x14ac:dyDescent="0.25">
      <c r="A220" s="695" t="str">
        <f t="shared" si="73"/>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73"/>
        <v>Trading services</v>
      </c>
      <c r="B221" s="620"/>
      <c r="C221" s="605">
        <f>C222+C226+C230+C235</f>
        <v>0</v>
      </c>
      <c r="D221" s="605">
        <f t="shared" ref="D221:I221" si="85">D222+D226+D230+D235</f>
        <v>3353046546.6774907</v>
      </c>
      <c r="E221" s="605">
        <f t="shared" si="85"/>
        <v>3358591185.4474902</v>
      </c>
      <c r="F221" s="605">
        <f t="shared" si="85"/>
        <v>264188601.09000003</v>
      </c>
      <c r="G221" s="605">
        <f t="shared" si="85"/>
        <v>2569370421.9900007</v>
      </c>
      <c r="H221" s="605">
        <f t="shared" si="85"/>
        <v>2518943389.085618</v>
      </c>
      <c r="I221" s="605">
        <f t="shared" si="85"/>
        <v>50427032.904382825</v>
      </c>
      <c r="J221" s="605">
        <f t="shared" si="39"/>
        <v>2.0019121161229409E-2</v>
      </c>
      <c r="K221" s="606">
        <f>K222+K226+K230+K235</f>
        <v>3358591185.4474902</v>
      </c>
      <c r="L221" s="100"/>
    </row>
    <row r="222" spans="1:12" x14ac:dyDescent="0.25">
      <c r="A222" s="607" t="str">
        <f t="shared" si="73"/>
        <v>Energy sources</v>
      </c>
      <c r="B222" s="620"/>
      <c r="C222" s="611">
        <f t="shared" ref="C222:K222" si="86">SUM(C223:C225)</f>
        <v>0</v>
      </c>
      <c r="D222" s="611">
        <f t="shared" si="86"/>
        <v>2291332272.7237678</v>
      </c>
      <c r="E222" s="611">
        <f t="shared" si="86"/>
        <v>2205525042.7237678</v>
      </c>
      <c r="F222" s="611">
        <f t="shared" si="86"/>
        <v>147822805.04000002</v>
      </c>
      <c r="G222" s="611">
        <f t="shared" si="86"/>
        <v>1621917859.7800007</v>
      </c>
      <c r="H222" s="611">
        <f t="shared" si="86"/>
        <v>1654143782.0428257</v>
      </c>
      <c r="I222" s="611">
        <f t="shared" si="38"/>
        <v>-32225922.262825012</v>
      </c>
      <c r="J222" s="611">
        <f t="shared" si="39"/>
        <v>-1.9481935375065651E-2</v>
      </c>
      <c r="K222" s="614">
        <f t="shared" si="86"/>
        <v>2205525042.7237678</v>
      </c>
      <c r="L222" s="100"/>
    </row>
    <row r="223" spans="1:12" x14ac:dyDescent="0.25">
      <c r="A223" s="695" t="str">
        <f t="shared" si="73"/>
        <v xml:space="preserve">Electricity </v>
      </c>
      <c r="B223" s="620"/>
      <c r="C223" s="733"/>
      <c r="D223" s="733">
        <v>2270836245.4232864</v>
      </c>
      <c r="E223" s="733">
        <v>2184302100.4232864</v>
      </c>
      <c r="F223" s="733">
        <v>146019004.80000001</v>
      </c>
      <c r="G223" s="733">
        <v>1601727932.6100006</v>
      </c>
      <c r="H223" s="733">
        <f t="shared" ref="H223:H224" si="87">E223/12*9</f>
        <v>1638226575.3174648</v>
      </c>
      <c r="I223" s="408">
        <f t="shared" si="38"/>
        <v>-36498642.707464218</v>
      </c>
      <c r="J223" s="408">
        <f t="shared" si="39"/>
        <v>-2.2279361876663066E-2</v>
      </c>
      <c r="K223" s="735">
        <f t="shared" ref="K223:K224" si="88">E223</f>
        <v>2184302100.4232864</v>
      </c>
      <c r="L223" s="100"/>
    </row>
    <row r="224" spans="1:12" x14ac:dyDescent="0.25">
      <c r="A224" s="695" t="str">
        <f t="shared" ref="A224:A246" si="89">A102</f>
        <v>Street Lighting and Signal Systems</v>
      </c>
      <c r="B224" s="620"/>
      <c r="C224" s="733"/>
      <c r="D224" s="733">
        <v>20496027.300481234</v>
      </c>
      <c r="E224" s="733">
        <v>21222942.300481234</v>
      </c>
      <c r="F224" s="733">
        <v>1803800.24</v>
      </c>
      <c r="G224" s="733">
        <v>20189927.170000002</v>
      </c>
      <c r="H224" s="733">
        <f t="shared" si="87"/>
        <v>15917206.725360926</v>
      </c>
      <c r="I224" s="408">
        <f>G224-H224</f>
        <v>4272720.4446390755</v>
      </c>
      <c r="J224" s="408">
        <f>IF(I224=0,"",I224/H224)</f>
        <v>0.26843406122453251</v>
      </c>
      <c r="K224" s="735">
        <f t="shared" si="88"/>
        <v>21222942.300481234</v>
      </c>
      <c r="L224" s="100"/>
    </row>
    <row r="225" spans="1:12" x14ac:dyDescent="0.25">
      <c r="A225" s="695" t="str">
        <f t="shared" si="89"/>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89"/>
        <v>Water management</v>
      </c>
      <c r="B226" s="620"/>
      <c r="C226" s="611">
        <f t="shared" ref="C226:K226" si="90">SUM(C227:C229)</f>
        <v>0</v>
      </c>
      <c r="D226" s="611">
        <f t="shared" si="90"/>
        <v>0</v>
      </c>
      <c r="E226" s="611">
        <f t="shared" si="90"/>
        <v>31023406.77</v>
      </c>
      <c r="F226" s="611">
        <f t="shared" si="90"/>
        <v>86789679.75999999</v>
      </c>
      <c r="G226" s="611">
        <f t="shared" si="90"/>
        <v>677042782.80999994</v>
      </c>
      <c r="H226" s="611">
        <f t="shared" si="90"/>
        <v>23267555.077500001</v>
      </c>
      <c r="I226" s="611">
        <f t="shared" si="38"/>
        <v>653775227.73249996</v>
      </c>
      <c r="J226" s="611">
        <f t="shared" si="39"/>
        <v>28.098148926902436</v>
      </c>
      <c r="K226" s="614">
        <f t="shared" si="90"/>
        <v>31023406.77</v>
      </c>
      <c r="L226" s="100"/>
    </row>
    <row r="227" spans="1:12" x14ac:dyDescent="0.25">
      <c r="A227" s="695" t="str">
        <f t="shared" si="89"/>
        <v>Water Treatment</v>
      </c>
      <c r="B227" s="620"/>
      <c r="C227" s="733"/>
      <c r="D227" s="733"/>
      <c r="E227" s="733"/>
      <c r="F227" s="733"/>
      <c r="G227" s="733"/>
      <c r="H227" s="733"/>
      <c r="I227" s="408">
        <f t="shared" si="38"/>
        <v>0</v>
      </c>
      <c r="J227" s="408" t="str">
        <f t="shared" si="39"/>
        <v/>
      </c>
      <c r="K227" s="735"/>
      <c r="L227" s="100"/>
    </row>
    <row r="228" spans="1:12" x14ac:dyDescent="0.25">
      <c r="A228" s="695" t="str">
        <f t="shared" si="89"/>
        <v>Water Distribution</v>
      </c>
      <c r="B228" s="620"/>
      <c r="C228" s="733"/>
      <c r="D228" s="733"/>
      <c r="E228" s="733">
        <v>31023406.77</v>
      </c>
      <c r="F228" s="733">
        <v>86789679.75999999</v>
      </c>
      <c r="G228" s="733">
        <v>677042782.80999994</v>
      </c>
      <c r="H228" s="733">
        <f>E228/12*9</f>
        <v>23267555.077500001</v>
      </c>
      <c r="I228" s="408">
        <f>G228-H228</f>
        <v>653775227.73249996</v>
      </c>
      <c r="J228" s="408">
        <f>IF(I228=0,"",I228/H228)</f>
        <v>28.098148926902436</v>
      </c>
      <c r="K228" s="735">
        <f t="shared" ref="K228" si="91">E228</f>
        <v>31023406.77</v>
      </c>
      <c r="L228" s="100"/>
    </row>
    <row r="229" spans="1:12" x14ac:dyDescent="0.25">
      <c r="A229" s="695" t="str">
        <f t="shared" si="89"/>
        <v>Water Storage</v>
      </c>
      <c r="B229" s="620"/>
      <c r="C229" s="733"/>
      <c r="D229" s="733"/>
      <c r="E229" s="733"/>
      <c r="F229" s="733"/>
      <c r="G229" s="733"/>
      <c r="H229" s="733"/>
      <c r="I229" s="408">
        <f t="shared" si="38"/>
        <v>0</v>
      </c>
      <c r="J229" s="408" t="str">
        <f t="shared" si="39"/>
        <v/>
      </c>
      <c r="K229" s="735"/>
      <c r="L229" s="100"/>
    </row>
    <row r="230" spans="1:12" x14ac:dyDescent="0.25">
      <c r="A230" s="607" t="str">
        <f t="shared" si="89"/>
        <v>Waste water management</v>
      </c>
      <c r="B230" s="620"/>
      <c r="C230" s="611">
        <f t="shared" ref="C230:K230" si="92">SUM(C231:C234)</f>
        <v>0</v>
      </c>
      <c r="D230" s="611">
        <f t="shared" si="92"/>
        <v>931929869.0260967</v>
      </c>
      <c r="E230" s="611">
        <f t="shared" si="92"/>
        <v>995608331.02609658</v>
      </c>
      <c r="F230" s="611">
        <f t="shared" si="92"/>
        <v>19648484.710000001</v>
      </c>
      <c r="G230" s="611">
        <f t="shared" si="92"/>
        <v>182957261.24999994</v>
      </c>
      <c r="H230" s="611">
        <f t="shared" si="92"/>
        <v>746706248.2695725</v>
      </c>
      <c r="I230" s="611">
        <f t="shared" si="38"/>
        <v>-563748987.0195725</v>
      </c>
      <c r="J230" s="611">
        <f t="shared" si="39"/>
        <v>-0.75498094240675273</v>
      </c>
      <c r="K230" s="614">
        <f t="shared" si="92"/>
        <v>995608331.02609658</v>
      </c>
      <c r="L230" s="100"/>
    </row>
    <row r="231" spans="1:12" x14ac:dyDescent="0.25">
      <c r="A231" s="695" t="str">
        <f t="shared" si="89"/>
        <v>Public Toilets</v>
      </c>
      <c r="B231" s="620"/>
      <c r="C231" s="733"/>
      <c r="D231" s="733">
        <v>1325140.728374806</v>
      </c>
      <c r="E231" s="733">
        <v>1175140.728374806</v>
      </c>
      <c r="F231" s="733">
        <v>667440.69999999995</v>
      </c>
      <c r="G231" s="733">
        <v>2343716.04</v>
      </c>
      <c r="H231" s="733">
        <f t="shared" ref="H231:H234" si="93">E231/12*9</f>
        <v>881355.54628110456</v>
      </c>
      <c r="I231" s="408">
        <f t="shared" si="38"/>
        <v>1462360.4937188956</v>
      </c>
      <c r="J231" s="408">
        <f t="shared" si="39"/>
        <v>1.6592174405543276</v>
      </c>
      <c r="K231" s="735">
        <f t="shared" ref="K231:K234" si="94">E231</f>
        <v>1175140.728374806</v>
      </c>
      <c r="L231" s="100"/>
    </row>
    <row r="232" spans="1:12" x14ac:dyDescent="0.25">
      <c r="A232" s="695" t="str">
        <f t="shared" si="89"/>
        <v>Sewerage</v>
      </c>
      <c r="B232" s="620"/>
      <c r="C232" s="733"/>
      <c r="D232" s="733">
        <v>225241153.38453153</v>
      </c>
      <c r="E232" s="733">
        <v>289082095.3845315</v>
      </c>
      <c r="F232" s="733">
        <v>16973779.100000001</v>
      </c>
      <c r="G232" s="733">
        <v>160450182.47999996</v>
      </c>
      <c r="H232" s="733">
        <f t="shared" si="93"/>
        <v>216811571.53839862</v>
      </c>
      <c r="I232" s="408">
        <f t="shared" si="38"/>
        <v>-56361389.058398664</v>
      </c>
      <c r="J232" s="408">
        <f t="shared" si="39"/>
        <v>-0.25995563178885367</v>
      </c>
      <c r="K232" s="735">
        <f t="shared" si="94"/>
        <v>289082095.3845315</v>
      </c>
      <c r="L232" s="100"/>
    </row>
    <row r="233" spans="1:12" x14ac:dyDescent="0.25">
      <c r="A233" s="695" t="str">
        <f t="shared" si="89"/>
        <v>Storm Water Management</v>
      </c>
      <c r="B233" s="620"/>
      <c r="C233" s="733"/>
      <c r="D233" s="733">
        <v>560143.7006000001</v>
      </c>
      <c r="E233" s="733">
        <v>547663.7006000001</v>
      </c>
      <c r="F233" s="733">
        <v>2007264.9100000004</v>
      </c>
      <c r="G233" s="733">
        <v>20163362.73</v>
      </c>
      <c r="H233" s="733">
        <f t="shared" si="93"/>
        <v>410747.77545000007</v>
      </c>
      <c r="I233" s="408">
        <f>G233-H233</f>
        <v>19752614.954550002</v>
      </c>
      <c r="J233" s="408">
        <f>IF(I233=0,"",I233/H233)</f>
        <v>48.089402146876552</v>
      </c>
      <c r="K233" s="735">
        <f t="shared" si="94"/>
        <v>547663.7006000001</v>
      </c>
      <c r="L233" s="100"/>
    </row>
    <row r="234" spans="1:12" x14ac:dyDescent="0.25">
      <c r="A234" s="695" t="str">
        <f t="shared" si="89"/>
        <v>Waste Water Treatment</v>
      </c>
      <c r="B234" s="620"/>
      <c r="C234" s="733"/>
      <c r="D234" s="733">
        <v>704803431.21259034</v>
      </c>
      <c r="E234" s="733">
        <v>704803431.21259034</v>
      </c>
      <c r="F234" s="733"/>
      <c r="G234" s="733"/>
      <c r="H234" s="733">
        <f t="shared" si="93"/>
        <v>528602573.40944278</v>
      </c>
      <c r="I234" s="408">
        <f t="shared" si="38"/>
        <v>-528602573.40944278</v>
      </c>
      <c r="J234" s="408">
        <f t="shared" si="39"/>
        <v>-1</v>
      </c>
      <c r="K234" s="735">
        <f t="shared" si="94"/>
        <v>704803431.21259034</v>
      </c>
      <c r="L234" s="100"/>
    </row>
    <row r="235" spans="1:12" x14ac:dyDescent="0.25">
      <c r="A235" s="607" t="str">
        <f t="shared" si="89"/>
        <v>Waste management</v>
      </c>
      <c r="B235" s="620"/>
      <c r="C235" s="611">
        <f t="shared" ref="C235:H235" si="95">SUM(C236:C239)</f>
        <v>0</v>
      </c>
      <c r="D235" s="611">
        <f t="shared" si="95"/>
        <v>129784404.92762612</v>
      </c>
      <c r="E235" s="611">
        <f t="shared" si="95"/>
        <v>126434404.92762612</v>
      </c>
      <c r="F235" s="611">
        <f t="shared" si="95"/>
        <v>9927631.5800000001</v>
      </c>
      <c r="G235" s="611">
        <f t="shared" si="95"/>
        <v>87452518.149999961</v>
      </c>
      <c r="H235" s="611">
        <f t="shared" si="95"/>
        <v>94825803.695719585</v>
      </c>
      <c r="I235" s="611">
        <f t="shared" si="38"/>
        <v>-7373285.5457196236</v>
      </c>
      <c r="J235" s="611">
        <f t="shared" si="39"/>
        <v>-7.7756109184998687E-2</v>
      </c>
      <c r="K235" s="611">
        <f>SUM(K236:K239)</f>
        <v>126434404.92762612</v>
      </c>
      <c r="L235" s="100"/>
    </row>
    <row r="236" spans="1:12" x14ac:dyDescent="0.25">
      <c r="A236" s="695" t="str">
        <f t="shared" si="89"/>
        <v>Recycling</v>
      </c>
      <c r="B236" s="620"/>
      <c r="C236" s="733"/>
      <c r="D236" s="733"/>
      <c r="E236" s="733"/>
      <c r="F236" s="733"/>
      <c r="G236" s="733"/>
      <c r="H236" s="733"/>
      <c r="I236" s="408">
        <f>G236-H236</f>
        <v>0</v>
      </c>
      <c r="J236" s="408" t="str">
        <f>IF(I236=0,"",I236/H236)</f>
        <v/>
      </c>
      <c r="K236" s="735"/>
      <c r="L236" s="100"/>
    </row>
    <row r="237" spans="1:12" x14ac:dyDescent="0.25">
      <c r="A237" s="695" t="str">
        <f t="shared" si="89"/>
        <v>Solid Waste Disposal (Landfill Sites)</v>
      </c>
      <c r="B237" s="620"/>
      <c r="C237" s="733"/>
      <c r="D237" s="733">
        <v>13353688.704158884</v>
      </c>
      <c r="E237" s="733">
        <v>11797688.704158884</v>
      </c>
      <c r="F237" s="733">
        <v>687403.74</v>
      </c>
      <c r="G237" s="733">
        <v>3630166.68</v>
      </c>
      <c r="H237" s="733">
        <f t="shared" ref="H237:H238" si="96">E237/12*9</f>
        <v>8848266.5281191617</v>
      </c>
      <c r="I237" s="408">
        <f>G237-H237</f>
        <v>-5218099.848119162</v>
      </c>
      <c r="J237" s="408">
        <f>IF(I237=0,"",I237/H237)</f>
        <v>-0.58973131421125391</v>
      </c>
      <c r="K237" s="735">
        <f>E237</f>
        <v>11797688.704158884</v>
      </c>
      <c r="L237" s="100"/>
    </row>
    <row r="238" spans="1:12" x14ac:dyDescent="0.25">
      <c r="A238" s="695" t="str">
        <f t="shared" si="89"/>
        <v>Solid Waste Removal</v>
      </c>
      <c r="B238" s="620"/>
      <c r="C238" s="733"/>
      <c r="D238" s="733">
        <v>116430716.22346723</v>
      </c>
      <c r="E238" s="733">
        <v>114636716.22346723</v>
      </c>
      <c r="F238" s="733">
        <v>9240227.8399999999</v>
      </c>
      <c r="G238" s="733">
        <v>83822351.469999954</v>
      </c>
      <c r="H238" s="733">
        <f t="shared" si="96"/>
        <v>85977537.167600423</v>
      </c>
      <c r="I238" s="408">
        <f>G238-H238</f>
        <v>-2155185.697600469</v>
      </c>
      <c r="J238" s="408">
        <f>IF(I238=0,"",I238/H238)</f>
        <v>-2.5066846162379076E-2</v>
      </c>
      <c r="K238" s="735">
        <f>E238</f>
        <v>114636716.22346723</v>
      </c>
      <c r="L238" s="100"/>
    </row>
    <row r="239" spans="1:12" x14ac:dyDescent="0.25">
      <c r="A239" s="695" t="str">
        <f t="shared" si="89"/>
        <v>Street Cleaning</v>
      </c>
      <c r="B239" s="415"/>
      <c r="C239" s="733"/>
      <c r="D239" s="733"/>
      <c r="E239" s="733"/>
      <c r="F239" s="733"/>
      <c r="G239" s="733"/>
      <c r="H239" s="733"/>
      <c r="I239" s="408">
        <f t="shared" si="38"/>
        <v>0</v>
      </c>
      <c r="J239" s="408" t="str">
        <f t="shared" si="39"/>
        <v/>
      </c>
      <c r="K239" s="735"/>
      <c r="L239" s="100"/>
    </row>
    <row r="240" spans="1:12" x14ac:dyDescent="0.25">
      <c r="A240" s="414" t="str">
        <f t="shared" si="89"/>
        <v>Other</v>
      </c>
      <c r="B240" s="415"/>
      <c r="C240" s="611">
        <f t="shared" ref="C240:K240" si="97">SUM(C241:C246)</f>
        <v>0</v>
      </c>
      <c r="D240" s="611">
        <f t="shared" si="97"/>
        <v>81300979.882271051</v>
      </c>
      <c r="E240" s="611">
        <f t="shared" si="97"/>
        <v>81300979.882271051</v>
      </c>
      <c r="F240" s="611">
        <f t="shared" si="97"/>
        <v>9747799.2000000011</v>
      </c>
      <c r="G240" s="611">
        <f t="shared" si="97"/>
        <v>49343034.180000007</v>
      </c>
      <c r="H240" s="611">
        <f t="shared" si="97"/>
        <v>60975734.911703296</v>
      </c>
      <c r="I240" s="611">
        <f t="shared" si="38"/>
        <v>-11632700.731703289</v>
      </c>
      <c r="J240" s="611">
        <f t="shared" si="39"/>
        <v>-0.19077590042249054</v>
      </c>
      <c r="K240" s="614">
        <f t="shared" si="97"/>
        <v>81300979.882271051</v>
      </c>
      <c r="L240" s="100"/>
    </row>
    <row r="241" spans="1:12" x14ac:dyDescent="0.25">
      <c r="A241" s="607" t="str">
        <f t="shared" si="89"/>
        <v>Abattoirs</v>
      </c>
      <c r="B241" s="415"/>
      <c r="C241" s="733"/>
      <c r="D241" s="733"/>
      <c r="E241" s="733"/>
      <c r="F241" s="733"/>
      <c r="G241" s="733"/>
      <c r="H241" s="733"/>
      <c r="I241" s="408">
        <f t="shared" si="38"/>
        <v>0</v>
      </c>
      <c r="J241" s="408" t="str">
        <f t="shared" si="39"/>
        <v/>
      </c>
      <c r="K241" s="735"/>
      <c r="L241" s="100"/>
    </row>
    <row r="242" spans="1:12" x14ac:dyDescent="0.25">
      <c r="A242" s="607" t="str">
        <f t="shared" si="89"/>
        <v>Air Transport</v>
      </c>
      <c r="B242" s="415"/>
      <c r="C242" s="733"/>
      <c r="D242" s="733">
        <v>30392698.58867228</v>
      </c>
      <c r="E242" s="733">
        <v>30392698.58867228</v>
      </c>
      <c r="F242" s="733">
        <v>3065851.85</v>
      </c>
      <c r="G242" s="733">
        <v>16350696.899999999</v>
      </c>
      <c r="H242" s="733">
        <f t="shared" ref="H242:H246" si="98">E242/12*9</f>
        <v>22794523.94150421</v>
      </c>
      <c r="I242" s="408">
        <f t="shared" si="38"/>
        <v>-6443827.0415042117</v>
      </c>
      <c r="J242" s="408">
        <f t="shared" si="39"/>
        <v>-0.28269188942223566</v>
      </c>
      <c r="K242" s="735">
        <f t="shared" ref="K242:K246" si="99">E242</f>
        <v>30392698.58867228</v>
      </c>
      <c r="L242" s="100"/>
    </row>
    <row r="243" spans="1:12" x14ac:dyDescent="0.25">
      <c r="A243" s="607" t="str">
        <f t="shared" si="89"/>
        <v xml:space="preserve">Forestry </v>
      </c>
      <c r="B243" s="415"/>
      <c r="C243" s="733"/>
      <c r="D243" s="733">
        <v>5026381.4873491293</v>
      </c>
      <c r="E243" s="733">
        <v>5026381.4873491293</v>
      </c>
      <c r="F243" s="733">
        <v>3638172.8699999996</v>
      </c>
      <c r="G243" s="733">
        <v>7136142.1400000006</v>
      </c>
      <c r="H243" s="733">
        <f t="shared" si="98"/>
        <v>3769786.1155118467</v>
      </c>
      <c r="I243" s="408">
        <f>G243-H243</f>
        <v>3366356.0244881539</v>
      </c>
      <c r="J243" s="408">
        <f>IF(I243=0,"",I243/H243)</f>
        <v>0.89298329436684321</v>
      </c>
      <c r="K243" s="735">
        <f t="shared" si="99"/>
        <v>5026381.4873491293</v>
      </c>
      <c r="L243" s="100"/>
    </row>
    <row r="244" spans="1:12" x14ac:dyDescent="0.25">
      <c r="A244" s="607" t="str">
        <f t="shared" si="89"/>
        <v>Licensing and Regulation</v>
      </c>
      <c r="B244" s="415"/>
      <c r="C244" s="733"/>
      <c r="D244" s="733">
        <v>10803274.511466645</v>
      </c>
      <c r="E244" s="733">
        <v>10803274.511466645</v>
      </c>
      <c r="F244" s="733">
        <v>340969.44999999995</v>
      </c>
      <c r="G244" s="733">
        <v>3262752.9</v>
      </c>
      <c r="H244" s="733">
        <f t="shared" si="98"/>
        <v>8102455.8835999835</v>
      </c>
      <c r="I244" s="408">
        <f t="shared" si="38"/>
        <v>-4839702.9835999832</v>
      </c>
      <c r="J244" s="408">
        <f t="shared" si="39"/>
        <v>-0.59731309286063838</v>
      </c>
      <c r="K244" s="735">
        <f t="shared" si="99"/>
        <v>10803274.511466645</v>
      </c>
      <c r="L244" s="100"/>
    </row>
    <row r="245" spans="1:12" x14ac:dyDescent="0.25">
      <c r="A245" s="607" t="str">
        <f t="shared" si="89"/>
        <v>Markets</v>
      </c>
      <c r="B245" s="415"/>
      <c r="C245" s="733"/>
      <c r="D245" s="733">
        <v>32893514.314352129</v>
      </c>
      <c r="E245" s="733">
        <v>32893514.314352129</v>
      </c>
      <c r="F245" s="733">
        <v>2280920.4600000009</v>
      </c>
      <c r="G245" s="733">
        <v>21029845.820000004</v>
      </c>
      <c r="H245" s="733">
        <f t="shared" si="98"/>
        <v>24670135.735764097</v>
      </c>
      <c r="I245" s="408">
        <f>G245-H245</f>
        <v>-3640289.9157640934</v>
      </c>
      <c r="J245" s="408">
        <f>IF(I245=0,"",I245/H245)</f>
        <v>-0.14755856857677496</v>
      </c>
      <c r="K245" s="735">
        <f t="shared" si="99"/>
        <v>32893514.314352129</v>
      </c>
      <c r="L245" s="100"/>
    </row>
    <row r="246" spans="1:12" x14ac:dyDescent="0.25">
      <c r="A246" s="607" t="str">
        <f t="shared" si="89"/>
        <v>Tourism</v>
      </c>
      <c r="B246" s="415"/>
      <c r="C246" s="733"/>
      <c r="D246" s="733">
        <v>2185110.9804308736</v>
      </c>
      <c r="E246" s="733">
        <v>2185110.9804308736</v>
      </c>
      <c r="F246" s="733">
        <v>421884.57</v>
      </c>
      <c r="G246" s="733">
        <v>1563596.42</v>
      </c>
      <c r="H246" s="733">
        <f t="shared" si="98"/>
        <v>1638833.2353231551</v>
      </c>
      <c r="I246" s="408">
        <f>G246-H246</f>
        <v>-75236.815323155141</v>
      </c>
      <c r="J246" s="408">
        <f>IF(I246=0,"",I246/H246)</f>
        <v>-4.5908768324630353E-2</v>
      </c>
      <c r="K246" s="735">
        <f t="shared" si="99"/>
        <v>2185110.9804308736</v>
      </c>
      <c r="L246" s="100"/>
    </row>
    <row r="247" spans="1:12" x14ac:dyDescent="0.25">
      <c r="A247" s="615" t="str">
        <f>"Total "&amp;A127</f>
        <v>Total Expenditure - Functional</v>
      </c>
      <c r="B247" s="415">
        <v>3</v>
      </c>
      <c r="C247" s="545">
        <f t="shared" ref="C247:I247" si="100">C128+C148+C197+C221+C240</f>
        <v>0</v>
      </c>
      <c r="D247" s="545">
        <f t="shared" si="100"/>
        <v>5516853313.5446301</v>
      </c>
      <c r="E247" s="545">
        <f t="shared" si="100"/>
        <v>5673151026.697073</v>
      </c>
      <c r="F247" s="545">
        <f t="shared" si="100"/>
        <v>421392568.96000004</v>
      </c>
      <c r="G247" s="545">
        <f t="shared" si="100"/>
        <v>3983965003.5300007</v>
      </c>
      <c r="H247" s="545">
        <f t="shared" si="100"/>
        <v>4254863270.0228052</v>
      </c>
      <c r="I247" s="545">
        <f t="shared" si="100"/>
        <v>-270898266.49280459</v>
      </c>
      <c r="J247" s="545">
        <f>IF(I247=0,"",I247/H247)</f>
        <v>-6.3667913467722936E-2</v>
      </c>
      <c r="K247" s="597">
        <f>K128+K148+K197+K221+K240</f>
        <v>5673151026.697073</v>
      </c>
      <c r="L247" s="100"/>
    </row>
    <row r="248" spans="1:12" x14ac:dyDescent="0.25">
      <c r="A248" s="621" t="str">
        <f>result</f>
        <v>Surplus/ (Deficit) for the year</v>
      </c>
      <c r="B248" s="622"/>
      <c r="C248" s="76">
        <f t="shared" ref="C248:H248" si="101">C125-C247</f>
        <v>0</v>
      </c>
      <c r="D248" s="76">
        <f t="shared" si="101"/>
        <v>927224369.32743168</v>
      </c>
      <c r="E248" s="76">
        <f t="shared" si="101"/>
        <v>914456605.17499161</v>
      </c>
      <c r="F248" s="76">
        <f t="shared" si="101"/>
        <v>138007618.36000001</v>
      </c>
      <c r="G248" s="76">
        <f t="shared" si="101"/>
        <v>685759885.57999992</v>
      </c>
      <c r="H248" s="76">
        <f t="shared" si="101"/>
        <v>685842453.88124371</v>
      </c>
      <c r="I248" s="634">
        <f>G248-H248</f>
        <v>-82568.301243782043</v>
      </c>
      <c r="J248" s="634">
        <f>IF(I248=0,"",I248/H248)</f>
        <v>-1.2038960372972052E-4</v>
      </c>
      <c r="K248" s="234">
        <f>K125-K247</f>
        <v>914456605.17499161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7" t="s">
        <v>1207</v>
      </c>
      <c r="B253" s="1047"/>
      <c r="C253" s="1047"/>
      <c r="D253" s="1047"/>
      <c r="E253" s="1047"/>
      <c r="F253" s="1047"/>
      <c r="G253" s="1047"/>
      <c r="H253" s="1047"/>
      <c r="I253" s="1047"/>
      <c r="J253" s="1047"/>
      <c r="K253" s="1047"/>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-1296407.999997139</v>
      </c>
      <c r="F256" s="628">
        <f>F125-'C4-FinPerf RE'!F53</f>
        <v>0</v>
      </c>
      <c r="G256" s="628">
        <f>G125-'C4-FinPerf RE'!G53</f>
        <v>0</v>
      </c>
      <c r="H256" s="628">
        <f>H125-'C4-FinPerf RE'!H53</f>
        <v>-972305.99999713898</v>
      </c>
      <c r="I256" s="628">
        <f>I125-'C4-FinPerf RE'!I53</f>
        <v>-270980834.79404831</v>
      </c>
      <c r="J256" s="629"/>
      <c r="K256" s="628">
        <f>K125-'C4-FinPerf RE'!K53</f>
        <v>-1296407.999997139</v>
      </c>
    </row>
    <row r="257" spans="1:11" x14ac:dyDescent="0.25">
      <c r="A257" s="81" t="s">
        <v>179</v>
      </c>
      <c r="B257" s="64"/>
      <c r="C257" s="628">
        <f>C247-'C4-FinPerf RE'!C36</f>
        <v>0</v>
      </c>
      <c r="D257" s="628">
        <f>D247-'C4-FinPerf RE'!D36</f>
        <v>375844.00000190735</v>
      </c>
      <c r="E257" s="628">
        <f>E247-'C4-FinPerf RE'!E36</f>
        <v>-0.72423839569091797</v>
      </c>
      <c r="F257" s="628">
        <f>F247-'C4-FinPerf RE'!F36</f>
        <v>0</v>
      </c>
      <c r="G257" s="628">
        <f>G247-'C4-FinPerf RE'!G36</f>
        <v>0</v>
      </c>
      <c r="H257" s="628">
        <f>H247-'C4-FinPerf RE'!H36</f>
        <v>-0.54317760467529297</v>
      </c>
      <c r="I257" s="628">
        <f>I247-'C4-FinPerf RE'!I36</f>
        <v>0.54317706823348999</v>
      </c>
      <c r="J257" s="629"/>
      <c r="K257" s="628">
        <f>K247-'C4-FinPerf RE'!K36</f>
        <v>-0.72423839569091797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2021-04-14T11:14:30Z</dcterms:modified>
</cp:coreProperties>
</file>