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m3\Desktop\SECTION 71\2020-2021\OCTOBER 2020\"/>
    </mc:Choice>
  </mc:AlternateContent>
  <workbookProtection workbookPassword="FB84" lockStructure="1"/>
  <bookViews>
    <workbookView xWindow="0" yWindow="0" windowWidth="10785" windowHeight="12030" tabRatio="792" firstSheet="4" activeTab="8"/>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'SC1'!$A$1:$E$50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G19" i="178" l="1"/>
  <c r="K165" i="324" l="1"/>
  <c r="H165" i="324"/>
  <c r="K162" i="324"/>
  <c r="H162" i="324"/>
  <c r="H196" i="324"/>
  <c r="K196" i="324"/>
  <c r="K158" i="242"/>
  <c r="H158" i="242"/>
  <c r="H77" i="335"/>
  <c r="K77" i="335"/>
  <c r="K158" i="335" l="1"/>
  <c r="K152" i="335"/>
  <c r="K149" i="335"/>
  <c r="K108" i="335"/>
  <c r="K46" i="335"/>
  <c r="K30" i="335"/>
  <c r="K18" i="335"/>
  <c r="K9" i="335"/>
  <c r="H158" i="335"/>
  <c r="H152" i="335"/>
  <c r="H149" i="335"/>
  <c r="H108" i="335"/>
  <c r="H46" i="335"/>
  <c r="H30" i="335"/>
  <c r="H18" i="335"/>
  <c r="H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K105" i="325"/>
  <c r="K93" i="325"/>
  <c r="K90" i="325"/>
  <c r="K88" i="325"/>
  <c r="K86" i="325"/>
  <c r="K80" i="325"/>
  <c r="K77" i="325"/>
  <c r="K46" i="325"/>
  <c r="K41" i="325"/>
  <c r="K34" i="325"/>
  <c r="K18" i="325"/>
  <c r="K9" i="325"/>
  <c r="H105" i="325"/>
  <c r="H93" i="325"/>
  <c r="H90" i="325"/>
  <c r="H88" i="325"/>
  <c r="H86" i="325"/>
  <c r="H80" i="325"/>
  <c r="H77" i="325"/>
  <c r="H46" i="325"/>
  <c r="H41" i="325"/>
  <c r="H34" i="325"/>
  <c r="H18" i="325"/>
  <c r="H9" i="325"/>
  <c r="K155" i="326"/>
  <c r="K152" i="326"/>
  <c r="K46" i="326"/>
  <c r="K9" i="326"/>
  <c r="H155" i="326"/>
  <c r="H152" i="326"/>
  <c r="H46" i="326"/>
  <c r="H9" i="326"/>
  <c r="K161" i="242"/>
  <c r="K155" i="242"/>
  <c r="K152" i="242"/>
  <c r="K149" i="242"/>
  <c r="K144" i="242"/>
  <c r="K119" i="242"/>
  <c r="K108" i="242"/>
  <c r="K88" i="242"/>
  <c r="K84" i="242"/>
  <c r="K77" i="242"/>
  <c r="K40" i="242"/>
  <c r="K18" i="242"/>
  <c r="K9" i="242"/>
  <c r="H161" i="242"/>
  <c r="H155" i="242"/>
  <c r="H152" i="242"/>
  <c r="H149" i="242"/>
  <c r="H144" i="242"/>
  <c r="H119" i="242"/>
  <c r="H108" i="242"/>
  <c r="H88" i="242"/>
  <c r="H84" i="242"/>
  <c r="H77" i="242"/>
  <c r="H40" i="242"/>
  <c r="H18" i="242"/>
  <c r="H9"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K44" i="318"/>
  <c r="K42" i="318"/>
  <c r="K41" i="318"/>
  <c r="K40" i="318"/>
  <c r="K39" i="318"/>
  <c r="K38" i="318"/>
  <c r="K37" i="318"/>
  <c r="K36" i="318"/>
  <c r="K35" i="318"/>
  <c r="K34" i="318"/>
  <c r="K25" i="318"/>
  <c r="K24" i="318"/>
  <c r="K23" i="318"/>
  <c r="K22" i="318"/>
  <c r="K20" i="318"/>
  <c r="K19" i="318"/>
  <c r="K18" i="318"/>
  <c r="K12" i="318"/>
  <c r="K11" i="318"/>
  <c r="K10" i="318"/>
  <c r="K9" i="318"/>
  <c r="K8" i="318"/>
  <c r="K7"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K57" i="269"/>
  <c r="K55" i="269"/>
  <c r="K54" i="269"/>
  <c r="K52" i="269"/>
  <c r="K51" i="269"/>
  <c r="K50" i="269"/>
  <c r="K43" i="269"/>
  <c r="K39" i="269"/>
  <c r="K37" i="269"/>
  <c r="K28" i="269"/>
  <c r="K27" i="269"/>
  <c r="K26" i="269"/>
  <c r="K24" i="269"/>
  <c r="K23" i="269"/>
  <c r="K22" i="269"/>
  <c r="K21" i="269"/>
  <c r="K16" i="269"/>
  <c r="K12" i="269"/>
  <c r="K10" i="269"/>
  <c r="K9" i="269"/>
  <c r="H57" i="269"/>
  <c r="H55" i="269"/>
  <c r="H54" i="269"/>
  <c r="H52" i="269"/>
  <c r="H51" i="269"/>
  <c r="H50" i="269"/>
  <c r="H43" i="269"/>
  <c r="H39" i="269"/>
  <c r="H37" i="269"/>
  <c r="H28" i="269"/>
  <c r="H27" i="269"/>
  <c r="H26" i="269"/>
  <c r="H24" i="269"/>
  <c r="H23" i="269"/>
  <c r="H22" i="269"/>
  <c r="H21" i="269"/>
  <c r="H16" i="269"/>
  <c r="H12" i="269"/>
  <c r="H10" i="269"/>
  <c r="H9" i="269"/>
  <c r="K56" i="270"/>
  <c r="K54" i="270"/>
  <c r="K53" i="270"/>
  <c r="K51" i="270"/>
  <c r="K50" i="270"/>
  <c r="K49" i="270"/>
  <c r="K43" i="270"/>
  <c r="K39" i="270"/>
  <c r="K37" i="270"/>
  <c r="K28" i="270"/>
  <c r="K27" i="270"/>
  <c r="K26" i="270"/>
  <c r="K24" i="270"/>
  <c r="K23" i="270"/>
  <c r="K22" i="270"/>
  <c r="K21" i="270"/>
  <c r="K16" i="270"/>
  <c r="K12" i="270"/>
  <c r="K10" i="270"/>
  <c r="K9" i="270"/>
  <c r="H56" i="270"/>
  <c r="H54" i="270"/>
  <c r="H53" i="270"/>
  <c r="H51" i="270"/>
  <c r="H50" i="270"/>
  <c r="H49" i="270"/>
  <c r="H43" i="270"/>
  <c r="H39" i="270"/>
  <c r="H37" i="270"/>
  <c r="H28" i="270"/>
  <c r="H27" i="270"/>
  <c r="H26" i="270"/>
  <c r="H24" i="270"/>
  <c r="H23" i="270"/>
  <c r="H22" i="270"/>
  <c r="H21" i="270"/>
  <c r="H16" i="270"/>
  <c r="H12" i="270"/>
  <c r="H10" i="270"/>
  <c r="H9" i="270"/>
  <c r="K36" i="177"/>
  <c r="K27" i="177"/>
  <c r="K17" i="177"/>
  <c r="K16" i="177"/>
  <c r="K15" i="177"/>
  <c r="K12" i="177"/>
  <c r="K11" i="177"/>
  <c r="K10" i="177"/>
  <c r="K9" i="177"/>
  <c r="K8" i="177"/>
  <c r="K7" i="177"/>
  <c r="H36" i="177"/>
  <c r="H27" i="177"/>
  <c r="H17" i="177"/>
  <c r="H16" i="177"/>
  <c r="H15" i="177"/>
  <c r="H12" i="177"/>
  <c r="H11" i="177"/>
  <c r="H10" i="177"/>
  <c r="H9" i="177"/>
  <c r="H8" i="177"/>
  <c r="H7" i="177"/>
  <c r="G12" i="178"/>
  <c r="G47" i="178"/>
  <c r="G46" i="178"/>
  <c r="G39" i="178"/>
  <c r="G38" i="178"/>
  <c r="G34" i="178"/>
  <c r="G33" i="178"/>
  <c r="G32" i="178"/>
  <c r="G31" i="178"/>
  <c r="G24" i="178"/>
  <c r="G23" i="178"/>
  <c r="G22" i="178"/>
  <c r="G20" i="178"/>
  <c r="G18" i="178"/>
  <c r="G10" i="178"/>
  <c r="G9" i="178"/>
  <c r="G8" i="178"/>
  <c r="G7" i="178"/>
  <c r="K207" i="324"/>
  <c r="K206" i="324"/>
  <c r="K205" i="324"/>
  <c r="K197" i="324"/>
  <c r="K194" i="324"/>
  <c r="K175" i="324"/>
  <c r="K174" i="324"/>
  <c r="K172" i="324"/>
  <c r="K161" i="324"/>
  <c r="K38" i="324"/>
  <c r="K37" i="324"/>
  <c r="K36" i="324"/>
  <c r="K33" i="324"/>
  <c r="K32" i="324"/>
  <c r="K22" i="324"/>
  <c r="K21" i="324"/>
  <c r="K14" i="324"/>
  <c r="K9" i="324"/>
  <c r="H207" i="324"/>
  <c r="H206" i="324"/>
  <c r="H205" i="324"/>
  <c r="H197" i="324"/>
  <c r="H194" i="324"/>
  <c r="H175" i="324"/>
  <c r="H174" i="324"/>
  <c r="H172" i="324"/>
  <c r="H161" i="324"/>
  <c r="H38" i="324"/>
  <c r="H37" i="324"/>
  <c r="H36" i="324"/>
  <c r="H33" i="324"/>
  <c r="H32" i="324"/>
  <c r="H22" i="324"/>
  <c r="H21" i="324"/>
  <c r="H14" i="324"/>
  <c r="H9" i="324"/>
  <c r="K73" i="268"/>
  <c r="K67" i="268"/>
  <c r="K66" i="268"/>
  <c r="K62" i="268"/>
  <c r="K61" i="268"/>
  <c r="K60" i="268"/>
  <c r="K59" i="268"/>
  <c r="K58" i="268"/>
  <c r="K55" i="268"/>
  <c r="K54" i="268"/>
  <c r="K51" i="268"/>
  <c r="K48" i="268"/>
  <c r="K45" i="268"/>
  <c r="K44" i="268"/>
  <c r="H73" i="268"/>
  <c r="H67" i="268"/>
  <c r="H66" i="268"/>
  <c r="H62" i="268"/>
  <c r="H61" i="268"/>
  <c r="H60" i="268"/>
  <c r="H59" i="268"/>
  <c r="H58" i="268"/>
  <c r="H55" i="268"/>
  <c r="H54" i="268"/>
  <c r="H51" i="268"/>
  <c r="H48" i="268"/>
  <c r="H45" i="268"/>
  <c r="H44" i="268"/>
  <c r="K39" i="182"/>
  <c r="K34" i="182"/>
  <c r="K33" i="182"/>
  <c r="K32" i="182"/>
  <c r="K31" i="182"/>
  <c r="K30" i="182"/>
  <c r="K29" i="182"/>
  <c r="K28" i="182"/>
  <c r="K27" i="182"/>
  <c r="K26" i="182"/>
  <c r="K25" i="182"/>
  <c r="K20" i="182"/>
  <c r="K19" i="182"/>
  <c r="K18" i="182"/>
  <c r="K17" i="182"/>
  <c r="K16" i="182"/>
  <c r="K14" i="182"/>
  <c r="K13" i="182"/>
  <c r="K12" i="182"/>
  <c r="K10" i="182"/>
  <c r="K9" i="182"/>
  <c r="K8" i="182"/>
  <c r="K7" i="182"/>
  <c r="K6" i="182"/>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K8" i="323"/>
  <c r="H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5" i="330"/>
  <c r="K153" i="330"/>
  <c r="K152" i="330"/>
  <c r="K150" i="330"/>
  <c r="K147" i="330"/>
  <c r="K144" i="330"/>
  <c r="K143" i="330"/>
  <c r="K141" i="330"/>
  <c r="K140" i="330"/>
  <c r="K139" i="330"/>
  <c r="K138" i="330"/>
  <c r="K137" i="330"/>
  <c r="K135" i="330"/>
  <c r="K134" i="330"/>
  <c r="K133" i="330"/>
  <c r="K131" i="330"/>
  <c r="K130" i="330"/>
  <c r="K123" i="330"/>
  <c r="K121" i="330"/>
  <c r="K120" i="330"/>
  <c r="K115" i="330"/>
  <c r="K110" i="330"/>
  <c r="K106" i="330"/>
  <c r="K102" i="330"/>
  <c r="K101" i="330"/>
  <c r="K97" i="330"/>
  <c r="K88" i="330"/>
  <c r="K83" i="330"/>
  <c r="K65" i="330"/>
  <c r="K62" i="330"/>
  <c r="K60" i="330"/>
  <c r="K53" i="330"/>
  <c r="K44" i="330"/>
  <c r="K41" i="330"/>
  <c r="K33" i="330"/>
  <c r="K31" i="330"/>
  <c r="K17" i="330"/>
  <c r="K16" i="330"/>
  <c r="K15" i="330"/>
  <c r="K13" i="330"/>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K9" i="330"/>
  <c r="H9" i="330"/>
  <c r="F76" i="330" l="1"/>
  <c r="G76" i="330"/>
  <c r="F146" i="330" l="1"/>
  <c r="G146" i="330"/>
  <c r="I66" i="268" l="1"/>
  <c r="J66" i="268" s="1"/>
  <c r="I60" i="268"/>
  <c r="J60" i="268" s="1"/>
  <c r="H57" i="268"/>
  <c r="H53" i="268"/>
  <c r="I50" i="268"/>
  <c r="J50" i="268"/>
  <c r="H47" i="268"/>
  <c r="I88" i="333"/>
  <c r="J88" i="333" s="1"/>
  <c r="I82" i="333"/>
  <c r="J82" i="333" s="1"/>
  <c r="H17" i="333"/>
  <c r="I93" i="325"/>
  <c r="J93" i="325" s="1"/>
  <c r="I83" i="242"/>
  <c r="J83" i="242" s="1"/>
  <c r="H76" i="242"/>
  <c r="I30" i="181"/>
  <c r="J30" i="181" s="1"/>
  <c r="I40" i="318"/>
  <c r="J40" i="318" s="1"/>
  <c r="I34" i="318"/>
  <c r="J34" i="318" s="1"/>
  <c r="I24" i="318"/>
  <c r="J24" i="318" s="1"/>
  <c r="H30" i="318"/>
  <c r="H45" i="269"/>
  <c r="I41" i="269"/>
  <c r="J41" i="269" s="1"/>
  <c r="H36" i="269"/>
  <c r="I38" i="269"/>
  <c r="I25" i="269"/>
  <c r="J25" i="269" s="1"/>
  <c r="H17" i="269"/>
  <c r="I19" i="269"/>
  <c r="I54" i="270"/>
  <c r="J54" i="270" s="1"/>
  <c r="H45" i="270"/>
  <c r="I48" i="270"/>
  <c r="J48" i="270"/>
  <c r="I42" i="270"/>
  <c r="J42" i="270" s="1"/>
  <c r="I41" i="270"/>
  <c r="J41" i="270" s="1"/>
  <c r="I39" i="270"/>
  <c r="I23" i="270"/>
  <c r="J23" i="270" s="1"/>
  <c r="I21" i="270"/>
  <c r="J21" i="270" s="1"/>
  <c r="H171" i="324"/>
  <c r="H26" i="268" s="1"/>
  <c r="I48" i="268"/>
  <c r="J48" i="268" s="1"/>
  <c r="H36" i="182"/>
  <c r="H207" i="323"/>
  <c r="I40" i="323"/>
  <c r="J40" i="323" s="1"/>
  <c r="I242" i="330"/>
  <c r="J242" i="330" s="1"/>
  <c r="H240" i="330"/>
  <c r="H48" i="241" s="1"/>
  <c r="I236" i="330"/>
  <c r="J236" i="330" s="1"/>
  <c r="I215" i="330"/>
  <c r="J215" i="330" s="1"/>
  <c r="I203" i="330"/>
  <c r="J203" i="330" s="1"/>
  <c r="I191" i="330"/>
  <c r="J191" i="330" s="1"/>
  <c r="I180" i="330"/>
  <c r="J180" i="330" s="1"/>
  <c r="I165" i="330"/>
  <c r="J165" i="330" s="1"/>
  <c r="I159" i="330"/>
  <c r="J159" i="330" s="1"/>
  <c r="I153" i="330"/>
  <c r="J153" i="330" s="1"/>
  <c r="H146" i="330"/>
  <c r="I140" i="330"/>
  <c r="J140" i="330" s="1"/>
  <c r="I134" i="330"/>
  <c r="J134" i="330" s="1"/>
  <c r="I119" i="330"/>
  <c r="J119" i="330" s="1"/>
  <c r="H108" i="330"/>
  <c r="H23" i="241" s="1"/>
  <c r="H76" i="330"/>
  <c r="H55" i="330"/>
  <c r="I43" i="330"/>
  <c r="J43" i="330" s="1"/>
  <c r="I37" i="330"/>
  <c r="J37" i="330" s="1"/>
  <c r="H27" i="330"/>
  <c r="H11" i="241" s="1"/>
  <c r="I18" i="330"/>
  <c r="J18" i="330" s="1"/>
  <c r="I12" i="330"/>
  <c r="J12" i="330" s="1"/>
  <c r="K160" i="242"/>
  <c r="K154" i="242"/>
  <c r="K118" i="242"/>
  <c r="K117" i="242" s="1"/>
  <c r="K103" i="242"/>
  <c r="K76" i="242"/>
  <c r="K75" i="242" s="1"/>
  <c r="K8" i="242"/>
  <c r="I44" i="269"/>
  <c r="J44" i="269" s="1"/>
  <c r="I42" i="269"/>
  <c r="J42" i="269"/>
  <c r="I40" i="269"/>
  <c r="J40" i="269" s="1"/>
  <c r="I43" i="269"/>
  <c r="J43" i="269" s="1"/>
  <c r="I20" i="269"/>
  <c r="J20" i="269"/>
  <c r="I18" i="269"/>
  <c r="J18" i="269" s="1"/>
  <c r="I28" i="269"/>
  <c r="J28" i="269" s="1"/>
  <c r="I27" i="269"/>
  <c r="J27" i="269" s="1"/>
  <c r="I26" i="269"/>
  <c r="J26" i="269" s="1"/>
  <c r="I24" i="269"/>
  <c r="J24" i="269" s="1"/>
  <c r="I23" i="269"/>
  <c r="J23" i="269" s="1"/>
  <c r="I22" i="269"/>
  <c r="J22" i="269" s="1"/>
  <c r="I21" i="269"/>
  <c r="J21" i="269"/>
  <c r="I11" i="269"/>
  <c r="J11" i="269"/>
  <c r="I13" i="269"/>
  <c r="J13" i="269"/>
  <c r="I14" i="269"/>
  <c r="J14" i="269" s="1"/>
  <c r="I15" i="269"/>
  <c r="J15" i="269"/>
  <c r="I16" i="269"/>
  <c r="J16" i="269" s="1"/>
  <c r="I12" i="269"/>
  <c r="J12" i="269" s="1"/>
  <c r="I10" i="269"/>
  <c r="J10" i="269" s="1"/>
  <c r="I47" i="270"/>
  <c r="J47" i="270" s="1"/>
  <c r="I38" i="270"/>
  <c r="J38" i="270" s="1"/>
  <c r="I40" i="270"/>
  <c r="J40" i="270"/>
  <c r="I44" i="270"/>
  <c r="J44" i="270" s="1"/>
  <c r="K45" i="270"/>
  <c r="I53" i="270"/>
  <c r="J53" i="270" s="1"/>
  <c r="I50" i="270"/>
  <c r="J50" i="270" s="1"/>
  <c r="I49" i="270"/>
  <c r="J49" i="270" s="1"/>
  <c r="I43" i="270"/>
  <c r="J43" i="270" s="1"/>
  <c r="A45" i="270"/>
  <c r="I25" i="270"/>
  <c r="J25" i="270" s="1"/>
  <c r="I20" i="270"/>
  <c r="J20" i="270" s="1"/>
  <c r="I19" i="270"/>
  <c r="J19" i="270" s="1"/>
  <c r="I18" i="270"/>
  <c r="J18" i="270" s="1"/>
  <c r="I11" i="270"/>
  <c r="J11" i="270"/>
  <c r="I13" i="270"/>
  <c r="J13" i="270"/>
  <c r="I14" i="270"/>
  <c r="J14" i="270"/>
  <c r="I15" i="270"/>
  <c r="J15" i="270"/>
  <c r="I24" i="270"/>
  <c r="J24" i="270" s="1"/>
  <c r="I22" i="270"/>
  <c r="J22" i="270" s="1"/>
  <c r="I12" i="270"/>
  <c r="J12" i="270" s="1"/>
  <c r="I10" i="270"/>
  <c r="J10" i="270" s="1"/>
  <c r="D76" i="330"/>
  <c r="D75" i="330"/>
  <c r="I55" i="270"/>
  <c r="J55" i="270" s="1"/>
  <c r="I52" i="270"/>
  <c r="J52" i="270" s="1"/>
  <c r="I46" i="270"/>
  <c r="J46" i="270" s="1"/>
  <c r="I28" i="270"/>
  <c r="J28" i="270"/>
  <c r="I27" i="270"/>
  <c r="J27" i="270" s="1"/>
  <c r="I26" i="270"/>
  <c r="J26" i="270" s="1"/>
  <c r="I9" i="270"/>
  <c r="J9" i="270" s="1"/>
  <c r="I172" i="324"/>
  <c r="J172" i="324"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37" i="269"/>
  <c r="I14" i="181"/>
  <c r="J14" i="181" s="1"/>
  <c r="I33" i="181"/>
  <c r="J33" i="181" s="1"/>
  <c r="I29" i="181"/>
  <c r="J29" i="181" s="1"/>
  <c r="I25" i="181"/>
  <c r="J25" i="181" s="1"/>
  <c r="I16" i="181"/>
  <c r="J16" i="181" s="1"/>
  <c r="I12" i="181"/>
  <c r="J12" i="181" s="1"/>
  <c r="I10" i="181"/>
  <c r="J10" i="181" s="1"/>
  <c r="I145" i="242"/>
  <c r="J145" i="242" s="1"/>
  <c r="I96" i="242"/>
  <c r="J96" i="242" s="1"/>
  <c r="I92" i="242"/>
  <c r="J92" i="242" s="1"/>
  <c r="I88" i="242"/>
  <c r="J88" i="242" s="1"/>
  <c r="I85" i="242"/>
  <c r="J85" i="242" s="1"/>
  <c r="I81" i="242"/>
  <c r="J81" i="242" s="1"/>
  <c r="I78" i="242"/>
  <c r="J78" i="242" s="1"/>
  <c r="H8" i="242"/>
  <c r="I8" i="242" s="1"/>
  <c r="J8" i="242" s="1"/>
  <c r="H8" i="326"/>
  <c r="I105" i="325"/>
  <c r="J105" i="325" s="1"/>
  <c r="I97" i="325"/>
  <c r="J97" i="325"/>
  <c r="I89" i="325"/>
  <c r="J89" i="325"/>
  <c r="I85" i="325"/>
  <c r="J85" i="325"/>
  <c r="I81" i="325"/>
  <c r="J81" i="325"/>
  <c r="H8" i="325"/>
  <c r="I8" i="325" s="1"/>
  <c r="J8" i="325" s="1"/>
  <c r="H157" i="333"/>
  <c r="H154" i="333"/>
  <c r="H151" i="333"/>
  <c r="H148" i="333"/>
  <c r="I144" i="333"/>
  <c r="J144" i="333" s="1"/>
  <c r="I129" i="333"/>
  <c r="J129" i="333" s="1"/>
  <c r="I124" i="333"/>
  <c r="J124" i="333" s="1"/>
  <c r="I123" i="333"/>
  <c r="J123" i="333" s="1"/>
  <c r="I102" i="333"/>
  <c r="J102" i="333" s="1"/>
  <c r="I97" i="333"/>
  <c r="J97" i="333"/>
  <c r="I95" i="333"/>
  <c r="J95" i="333"/>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c r="H27" i="333"/>
  <c r="I23" i="333"/>
  <c r="J23" i="333" s="1"/>
  <c r="I20" i="333"/>
  <c r="J20" i="333" s="1"/>
  <c r="I12" i="333"/>
  <c r="J12" i="333" s="1"/>
  <c r="I11" i="333"/>
  <c r="J11" i="333"/>
  <c r="H157" i="335"/>
  <c r="I149" i="335"/>
  <c r="J149" i="335" s="1"/>
  <c r="H114" i="335"/>
  <c r="I106" i="335"/>
  <c r="J106" i="335"/>
  <c r="I101" i="335"/>
  <c r="J101" i="335"/>
  <c r="H99" i="335"/>
  <c r="I97" i="335"/>
  <c r="J97" i="335"/>
  <c r="I93" i="335"/>
  <c r="J93" i="335"/>
  <c r="I89" i="335"/>
  <c r="J89" i="335"/>
  <c r="I85" i="335"/>
  <c r="J85" i="335"/>
  <c r="I81" i="335"/>
  <c r="J81" i="335"/>
  <c r="I77" i="335"/>
  <c r="J77" i="335"/>
  <c r="H69" i="335"/>
  <c r="I69" i="335"/>
  <c r="J69" i="335"/>
  <c r="H63" i="335"/>
  <c r="I63" i="335"/>
  <c r="J63" i="335"/>
  <c r="I59" i="335"/>
  <c r="J59" i="335"/>
  <c r="H53" i="335"/>
  <c r="I53" i="335"/>
  <c r="J53" i="335"/>
  <c r="I51" i="335"/>
  <c r="J51" i="335"/>
  <c r="I47" i="335"/>
  <c r="J47" i="335"/>
  <c r="I46" i="335"/>
  <c r="J46" i="335" s="1"/>
  <c r="H38" i="335"/>
  <c r="I34" i="335"/>
  <c r="J34" i="335" s="1"/>
  <c r="I30" i="335"/>
  <c r="J30" i="335" s="1"/>
  <c r="I25" i="335"/>
  <c r="J25" i="335"/>
  <c r="H17" i="335"/>
  <c r="I14" i="335"/>
  <c r="J14" i="335"/>
  <c r="I39" i="324"/>
  <c r="J39" i="324" s="1"/>
  <c r="I38" i="324"/>
  <c r="J38" i="324" s="1"/>
  <c r="I36" i="324"/>
  <c r="J36" i="324" s="1"/>
  <c r="I34" i="324"/>
  <c r="J34" i="324" s="1"/>
  <c r="I33" i="324"/>
  <c r="J33" i="324" s="1"/>
  <c r="I32" i="324"/>
  <c r="J32" i="324" s="1"/>
  <c r="I30" i="324"/>
  <c r="J30" i="324"/>
  <c r="I28" i="324"/>
  <c r="J28" i="324" s="1"/>
  <c r="I26" i="324"/>
  <c r="J26" i="324" s="1"/>
  <c r="I25" i="324"/>
  <c r="J25" i="324" s="1"/>
  <c r="I24" i="324"/>
  <c r="J24" i="324" s="1"/>
  <c r="I22" i="324"/>
  <c r="J22" i="324" s="1"/>
  <c r="I21" i="324"/>
  <c r="J21" i="324" s="1"/>
  <c r="I20" i="324"/>
  <c r="J20" i="324" s="1"/>
  <c r="I19" i="324"/>
  <c r="J19" i="324" s="1"/>
  <c r="I16" i="324"/>
  <c r="J16" i="324" s="1"/>
  <c r="I15" i="324"/>
  <c r="J15" i="324" s="1"/>
  <c r="I13" i="324"/>
  <c r="J13" i="324" s="1"/>
  <c r="I11" i="324"/>
  <c r="J11" i="324" s="1"/>
  <c r="I10" i="324"/>
  <c r="J10" i="324" s="1"/>
  <c r="I9" i="324"/>
  <c r="J9" i="324" s="1"/>
  <c r="H43" i="268"/>
  <c r="I245" i="330"/>
  <c r="J245" i="330" s="1"/>
  <c r="I237" i="330"/>
  <c r="J237" i="330" s="1"/>
  <c r="I232" i="330"/>
  <c r="J232" i="330" s="1"/>
  <c r="H230" i="330"/>
  <c r="H46" i="241" s="1"/>
  <c r="H222" i="330"/>
  <c r="H44" i="241" s="1"/>
  <c r="I218" i="330"/>
  <c r="J218" i="330" s="1"/>
  <c r="I212" i="330"/>
  <c r="J212" i="330" s="1"/>
  <c r="I204" i="330"/>
  <c r="J204" i="330" s="1"/>
  <c r="I183" i="330"/>
  <c r="J183" i="330" s="1"/>
  <c r="I175" i="330"/>
  <c r="J175" i="330" s="1"/>
  <c r="I174" i="330"/>
  <c r="J174" i="330" s="1"/>
  <c r="I167" i="330"/>
  <c r="J167" i="330" s="1"/>
  <c r="I164" i="330"/>
  <c r="J164" i="330" s="1"/>
  <c r="I160" i="330"/>
  <c r="J160" i="330" s="1"/>
  <c r="I156" i="330"/>
  <c r="J156" i="330" s="1"/>
  <c r="I152" i="330"/>
  <c r="J152" i="330" s="1"/>
  <c r="I144" i="330"/>
  <c r="J144" i="330" s="1"/>
  <c r="I136" i="330"/>
  <c r="J136" i="330" s="1"/>
  <c r="I121" i="330"/>
  <c r="J121" i="330" s="1"/>
  <c r="H104" i="330"/>
  <c r="H87" i="330"/>
  <c r="I57" i="330"/>
  <c r="J57" i="330" s="1"/>
  <c r="I53" i="330"/>
  <c r="J53" i="330" s="1"/>
  <c r="I47" i="330"/>
  <c r="J47" i="330" s="1"/>
  <c r="I45" i="330"/>
  <c r="J45" i="330" s="1"/>
  <c r="I41" i="330"/>
  <c r="J41" i="330" s="1"/>
  <c r="I22" i="330"/>
  <c r="J22" i="330" s="1"/>
  <c r="I20" i="330"/>
  <c r="J20" i="330" s="1"/>
  <c r="I16" i="330"/>
  <c r="J16" i="330" s="1"/>
  <c r="I14" i="330"/>
  <c r="J14" i="330" s="1"/>
  <c r="I198" i="323"/>
  <c r="J198" i="323" s="1"/>
  <c r="G17" i="267"/>
  <c r="I27" i="182"/>
  <c r="J27" i="182" s="1"/>
  <c r="H22" i="182"/>
  <c r="H53" i="182" s="1"/>
  <c r="O33" i="317"/>
  <c r="I33" i="317"/>
  <c r="I54" i="317"/>
  <c r="H33" i="317"/>
  <c r="C33" i="317"/>
  <c r="A25" i="317"/>
  <c r="A24" i="317"/>
  <c r="A69" i="268"/>
  <c r="A22" i="267"/>
  <c r="A25" i="238"/>
  <c r="N22" i="238"/>
  <c r="M22" i="238"/>
  <c r="K22" i="238"/>
  <c r="N12" i="238"/>
  <c r="N24" i="238" s="1"/>
  <c r="M12" i="238"/>
  <c r="M24" i="238" s="1"/>
  <c r="K12" i="238"/>
  <c r="K24" i="238" s="1"/>
  <c r="O21" i="238"/>
  <c r="O20" i="238"/>
  <c r="O19" i="238"/>
  <c r="O18" i="238"/>
  <c r="O17" i="238"/>
  <c r="O16" i="238"/>
  <c r="O15" i="238"/>
  <c r="O11" i="238"/>
  <c r="O10" i="238"/>
  <c r="O9" i="238"/>
  <c r="O8" i="238"/>
  <c r="O7" i="238"/>
  <c r="O6" i="238"/>
  <c r="O5" i="238"/>
  <c r="O12" i="238" s="1"/>
  <c r="J7" i="267"/>
  <c r="G7" i="267"/>
  <c r="F7" i="267"/>
  <c r="E7" i="267"/>
  <c r="D7" i="267"/>
  <c r="C7" i="267"/>
  <c r="B7" i="267"/>
  <c r="K22" i="181"/>
  <c r="G22" i="181"/>
  <c r="F22" i="181"/>
  <c r="E22" i="181"/>
  <c r="E38" i="181" s="1"/>
  <c r="E42" i="181" s="1"/>
  <c r="E44" i="181" s="1"/>
  <c r="D22" i="181"/>
  <c r="C22" i="181"/>
  <c r="Q21" i="317"/>
  <c r="Q33" i="317"/>
  <c r="P21" i="317"/>
  <c r="P33" i="317"/>
  <c r="M33" i="317"/>
  <c r="L33" i="317"/>
  <c r="K33" i="317"/>
  <c r="K54" i="317"/>
  <c r="J33" i="317"/>
  <c r="G33" i="317"/>
  <c r="F33" i="317"/>
  <c r="E33" i="317"/>
  <c r="E54" i="317"/>
  <c r="D33" i="317"/>
  <c r="G25" i="178"/>
  <c r="J37" i="267" s="1"/>
  <c r="F25" i="178"/>
  <c r="F37" i="267" s="1"/>
  <c r="E25" i="178"/>
  <c r="D25" i="178"/>
  <c r="C25" i="178"/>
  <c r="K22" i="182"/>
  <c r="G22" i="182"/>
  <c r="G55" i="174" s="1"/>
  <c r="F22" i="182"/>
  <c r="F53" i="182" s="1"/>
  <c r="E22" i="182"/>
  <c r="D22" i="182"/>
  <c r="D53" i="182"/>
  <c r="C22" i="182"/>
  <c r="I184" i="330"/>
  <c r="J184" i="330" s="1"/>
  <c r="A184" i="330"/>
  <c r="A183" i="330"/>
  <c r="I62" i="330"/>
  <c r="J62" i="330" s="1"/>
  <c r="I61" i="330"/>
  <c r="J61" i="330" s="1"/>
  <c r="K53" i="333"/>
  <c r="H53" i="333"/>
  <c r="G53" i="333"/>
  <c r="I53" i="333" s="1"/>
  <c r="J53" i="333" s="1"/>
  <c r="F53" i="333"/>
  <c r="E53" i="333"/>
  <c r="D53" i="333"/>
  <c r="K53" i="335"/>
  <c r="G53" i="335"/>
  <c r="F53" i="335"/>
  <c r="E53" i="335"/>
  <c r="D53" i="335"/>
  <c r="K8" i="335"/>
  <c r="H8" i="335"/>
  <c r="G8" i="335"/>
  <c r="F8" i="335"/>
  <c r="E8" i="335"/>
  <c r="D8" i="335"/>
  <c r="K8" i="333"/>
  <c r="G8" i="333"/>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F8" i="326"/>
  <c r="E8" i="326"/>
  <c r="D8" i="326"/>
  <c r="K53" i="242"/>
  <c r="H53" i="242"/>
  <c r="I53" i="242" s="1"/>
  <c r="J53" i="242" s="1"/>
  <c r="G53" i="242"/>
  <c r="F53" i="242"/>
  <c r="E53" i="242"/>
  <c r="D53"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c r="I145" i="335"/>
  <c r="J145" i="335"/>
  <c r="I144" i="335"/>
  <c r="J144" i="335" s="1"/>
  <c r="I143" i="335"/>
  <c r="J143" i="335"/>
  <c r="I142" i="335"/>
  <c r="J142" i="335"/>
  <c r="I141" i="335"/>
  <c r="J141" i="335"/>
  <c r="K140" i="335"/>
  <c r="H140" i="335"/>
  <c r="H138" i="335" s="1"/>
  <c r="G140" i="335"/>
  <c r="F140" i="335"/>
  <c r="F138" i="335" s="1"/>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c r="I104" i="335"/>
  <c r="J104" i="335"/>
  <c r="K103" i="335"/>
  <c r="G103" i="335"/>
  <c r="F103" i="335"/>
  <c r="E103" i="335"/>
  <c r="D103" i="335"/>
  <c r="C103" i="335"/>
  <c r="I102" i="335"/>
  <c r="J102" i="335"/>
  <c r="I100" i="335"/>
  <c r="J100" i="335" s="1"/>
  <c r="K99" i="335"/>
  <c r="G99" i="335"/>
  <c r="I99" i="335" s="1"/>
  <c r="J99" i="335" s="1"/>
  <c r="F99" i="335"/>
  <c r="F75" i="335" s="1"/>
  <c r="E99" i="335"/>
  <c r="E75"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s="1"/>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c r="I50" i="335"/>
  <c r="J50" i="335"/>
  <c r="I49" i="335"/>
  <c r="J49" i="335"/>
  <c r="I48" i="335"/>
  <c r="J48" i="335"/>
  <c r="K45" i="335"/>
  <c r="K7" i="335" s="1"/>
  <c r="G45" i="335"/>
  <c r="F45" i="335"/>
  <c r="E45" i="335"/>
  <c r="D45" i="335"/>
  <c r="C45" i="335"/>
  <c r="I44" i="335"/>
  <c r="J44" i="335"/>
  <c r="I43" i="335"/>
  <c r="J43" i="335" s="1"/>
  <c r="I42" i="335"/>
  <c r="J42" i="335" s="1"/>
  <c r="I40" i="335"/>
  <c r="J40" i="335" s="1"/>
  <c r="I39" i="335"/>
  <c r="J39" i="335" s="1"/>
  <c r="K38" i="335"/>
  <c r="G38" i="335"/>
  <c r="I38" i="335" s="1"/>
  <c r="J38" i="335" s="1"/>
  <c r="F38" i="335"/>
  <c r="E38" i="335"/>
  <c r="D38" i="335"/>
  <c r="C38" i="335"/>
  <c r="I37" i="335"/>
  <c r="J37" i="335"/>
  <c r="I36" i="335"/>
  <c r="J36" i="335"/>
  <c r="I35" i="335"/>
  <c r="J35" i="335"/>
  <c r="I33" i="335"/>
  <c r="J33" i="335" s="1"/>
  <c r="I32" i="335"/>
  <c r="J32" i="335" s="1"/>
  <c r="I31" i="335"/>
  <c r="J31" i="335" s="1"/>
  <c r="I29" i="335"/>
  <c r="J29" i="335"/>
  <c r="I28" i="335"/>
  <c r="J28" i="335"/>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c r="I11" i="335"/>
  <c r="J11" i="335"/>
  <c r="I10" i="335"/>
  <c r="J10" i="335"/>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c r="K160" i="333"/>
  <c r="H160" i="333"/>
  <c r="I160" i="333"/>
  <c r="G160" i="333"/>
  <c r="F160" i="333"/>
  <c r="E160" i="333"/>
  <c r="D160" i="333"/>
  <c r="C160" i="333"/>
  <c r="I158" i="333"/>
  <c r="J158" i="333" s="1"/>
  <c r="K157" i="333"/>
  <c r="G157" i="333"/>
  <c r="I157" i="333" s="1"/>
  <c r="J157" i="333" s="1"/>
  <c r="F157" i="333"/>
  <c r="E157" i="333"/>
  <c r="D157" i="333"/>
  <c r="C157" i="333"/>
  <c r="I155" i="333"/>
  <c r="J155" i="333" s="1"/>
  <c r="K154" i="333"/>
  <c r="G154" i="333"/>
  <c r="F154" i="333"/>
  <c r="E154" i="333"/>
  <c r="D154" i="333"/>
  <c r="C154" i="333"/>
  <c r="J153" i="333"/>
  <c r="I152" i="333"/>
  <c r="J152" i="333" s="1"/>
  <c r="K151" i="333"/>
  <c r="G151" i="333"/>
  <c r="F151" i="333"/>
  <c r="E151" i="333"/>
  <c r="D151" i="333"/>
  <c r="C151" i="333"/>
  <c r="K148" i="333"/>
  <c r="G148" i="333"/>
  <c r="I148" i="333" s="1"/>
  <c r="J148" i="333" s="1"/>
  <c r="F148" i="333"/>
  <c r="E148" i="333"/>
  <c r="D148" i="333"/>
  <c r="C148" i="333"/>
  <c r="I146" i="333"/>
  <c r="J146" i="333"/>
  <c r="I145" i="333"/>
  <c r="J145" i="333"/>
  <c r="I143" i="333"/>
  <c r="J143" i="333"/>
  <c r="I142" i="333"/>
  <c r="J142" i="333"/>
  <c r="I141" i="333"/>
  <c r="J141" i="333"/>
  <c r="K140" i="333"/>
  <c r="K138" i="333" s="1"/>
  <c r="G140" i="333"/>
  <c r="G138" i="333" s="1"/>
  <c r="F140" i="333"/>
  <c r="F138" i="333" s="1"/>
  <c r="E140" i="333"/>
  <c r="E138" i="333"/>
  <c r="D140" i="333"/>
  <c r="D138" i="333"/>
  <c r="C140" i="333"/>
  <c r="C138" i="333"/>
  <c r="I139" i="333"/>
  <c r="J139" i="333"/>
  <c r="J137" i="333"/>
  <c r="I136" i="333"/>
  <c r="J136" i="333"/>
  <c r="K135" i="333"/>
  <c r="H135" i="333"/>
  <c r="I135" i="333"/>
  <c r="J135" i="333"/>
  <c r="G135" i="333"/>
  <c r="F135" i="333"/>
  <c r="E135" i="333"/>
  <c r="D135" i="333"/>
  <c r="C135" i="333"/>
  <c r="J134" i="333"/>
  <c r="I133" i="333"/>
  <c r="J133" i="333"/>
  <c r="I132" i="333"/>
  <c r="J132" i="333" s="1"/>
  <c r="I131" i="333"/>
  <c r="J131" i="333" s="1"/>
  <c r="K130" i="333"/>
  <c r="H130" i="333"/>
  <c r="G130" i="333"/>
  <c r="I130" i="333" s="1"/>
  <c r="J130" i="333" s="1"/>
  <c r="F130" i="333"/>
  <c r="E130" i="333"/>
  <c r="D130" i="333"/>
  <c r="C130" i="333"/>
  <c r="I128" i="333"/>
  <c r="J128" i="333"/>
  <c r="I127" i="333"/>
  <c r="J127" i="333"/>
  <c r="I126" i="333"/>
  <c r="J126" i="333"/>
  <c r="I125" i="333"/>
  <c r="J125" i="333"/>
  <c r="I122" i="333"/>
  <c r="J122" i="333" s="1"/>
  <c r="I121" i="333"/>
  <c r="J121" i="333" s="1"/>
  <c r="I120" i="333"/>
  <c r="J120" i="333"/>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c r="I96" i="333"/>
  <c r="J96" i="333" s="1"/>
  <c r="I92" i="333"/>
  <c r="J92" i="333" s="1"/>
  <c r="I90" i="333"/>
  <c r="J90" i="333" s="1"/>
  <c r="I86" i="333"/>
  <c r="J86" i="333" s="1"/>
  <c r="I84" i="333"/>
  <c r="J84" i="333" s="1"/>
  <c r="I80" i="333"/>
  <c r="J80" i="333" s="1"/>
  <c r="I78" i="333"/>
  <c r="J78" i="333" s="1"/>
  <c r="K76" i="333"/>
  <c r="G76" i="333"/>
  <c r="F76" i="333"/>
  <c r="F75" i="333" s="1"/>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c r="I61" i="333"/>
  <c r="J61" i="333"/>
  <c r="I60" i="333"/>
  <c r="J60" i="333"/>
  <c r="I59" i="333"/>
  <c r="J59" i="333"/>
  <c r="I58" i="333"/>
  <c r="J58" i="333"/>
  <c r="I57" i="333"/>
  <c r="J57" i="333"/>
  <c r="I56" i="333"/>
  <c r="J56" i="333"/>
  <c r="I55" i="333"/>
  <c r="J55" i="333"/>
  <c r="I54" i="333"/>
  <c r="J54" i="333" s="1"/>
  <c r="C53" i="333"/>
  <c r="I52" i="333"/>
  <c r="J52" i="333"/>
  <c r="I51" i="333"/>
  <c r="J51" i="333"/>
  <c r="I50" i="333"/>
  <c r="J50" i="333"/>
  <c r="I49" i="333"/>
  <c r="J49" i="333"/>
  <c r="I48" i="333"/>
  <c r="J48" i="333"/>
  <c r="I47" i="333"/>
  <c r="J47" i="333"/>
  <c r="I46" i="333"/>
  <c r="J46" i="333" s="1"/>
  <c r="K45" i="333"/>
  <c r="H45" i="333"/>
  <c r="G45" i="333"/>
  <c r="I45" i="333" s="1"/>
  <c r="J45" i="333" s="1"/>
  <c r="F45" i="333"/>
  <c r="E45" i="333"/>
  <c r="D45" i="333"/>
  <c r="C45" i="333"/>
  <c r="I44" i="333"/>
  <c r="J44" i="333"/>
  <c r="I43" i="333"/>
  <c r="J43" i="333"/>
  <c r="I42" i="333"/>
  <c r="J42" i="333"/>
  <c r="I41" i="333"/>
  <c r="J41" i="333"/>
  <c r="I40" i="333"/>
  <c r="J40" i="333" s="1"/>
  <c r="I39" i="333"/>
  <c r="J39" i="333"/>
  <c r="K38" i="333"/>
  <c r="H38" i="333"/>
  <c r="G38" i="333"/>
  <c r="F38" i="333"/>
  <c r="E38" i="333"/>
  <c r="D38" i="333"/>
  <c r="C38" i="333"/>
  <c r="I37" i="333"/>
  <c r="J37" i="333"/>
  <c r="I36" i="333"/>
  <c r="J36" i="333"/>
  <c r="I35" i="333"/>
  <c r="J35" i="333"/>
  <c r="I34" i="333"/>
  <c r="J34" i="333"/>
  <c r="I33" i="333"/>
  <c r="J33" i="333"/>
  <c r="I32" i="333"/>
  <c r="J32" i="333"/>
  <c r="I31" i="333"/>
  <c r="J31" i="333"/>
  <c r="I30" i="333"/>
  <c r="J30" i="333" s="1"/>
  <c r="K27" i="333"/>
  <c r="G27" i="333"/>
  <c r="I27" i="333" s="1"/>
  <c r="J27" i="333" s="1"/>
  <c r="F27" i="333"/>
  <c r="E27" i="333"/>
  <c r="E7" i="333" s="1"/>
  <c r="D27" i="333"/>
  <c r="C27" i="333"/>
  <c r="I26" i="333"/>
  <c r="J26" i="333"/>
  <c r="I25" i="333"/>
  <c r="J25" i="333" s="1"/>
  <c r="I24" i="333"/>
  <c r="J24" i="333" s="1"/>
  <c r="I22" i="333"/>
  <c r="J22" i="333" s="1"/>
  <c r="I21" i="333"/>
  <c r="J21" i="333" s="1"/>
  <c r="I18" i="333"/>
  <c r="J18" i="333"/>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c r="I128" i="325"/>
  <c r="J128" i="325"/>
  <c r="I127" i="325"/>
  <c r="J127" i="325"/>
  <c r="I126" i="325"/>
  <c r="J126" i="325"/>
  <c r="I125" i="325"/>
  <c r="J125" i="325"/>
  <c r="I124" i="325"/>
  <c r="J124" i="325"/>
  <c r="I123" i="325"/>
  <c r="J123" i="325"/>
  <c r="I122" i="325"/>
  <c r="J122" i="325"/>
  <c r="I121" i="325"/>
  <c r="J121" i="325"/>
  <c r="I120" i="325"/>
  <c r="J120" i="325"/>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c r="I30" i="325"/>
  <c r="J30" i="325"/>
  <c r="I29" i="325"/>
  <c r="J29" i="325"/>
  <c r="I28" i="325"/>
  <c r="J28" i="325"/>
  <c r="K27" i="325"/>
  <c r="H27" i="325"/>
  <c r="G27" i="325"/>
  <c r="F27" i="325"/>
  <c r="E27" i="325"/>
  <c r="D27" i="325"/>
  <c r="C27" i="325"/>
  <c r="I26" i="325"/>
  <c r="J26" i="325"/>
  <c r="I25" i="325"/>
  <c r="J25" i="325" s="1"/>
  <c r="I24" i="325"/>
  <c r="J24" i="325" s="1"/>
  <c r="I23" i="325"/>
  <c r="J23" i="325" s="1"/>
  <c r="I22" i="325"/>
  <c r="J22" i="325" s="1"/>
  <c r="I21" i="325"/>
  <c r="J21" i="325" s="1"/>
  <c r="I20" i="325"/>
  <c r="J20" i="325" s="1"/>
  <c r="I19" i="325"/>
  <c r="J19" i="325" s="1"/>
  <c r="I18" i="325"/>
  <c r="J18" i="325" s="1"/>
  <c r="K17" i="325"/>
  <c r="H17" i="325"/>
  <c r="G17" i="325"/>
  <c r="G7" i="325" s="1"/>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s="1"/>
  <c r="K154" i="326"/>
  <c r="H154" i="326"/>
  <c r="I154" i="326" s="1"/>
  <c r="J154" i="326" s="1"/>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K7" i="326" s="1"/>
  <c r="H45" i="326"/>
  <c r="H7" i="326" s="1"/>
  <c r="G45" i="326"/>
  <c r="F45" i="326"/>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G160" i="242"/>
  <c r="F160" i="242"/>
  <c r="E160" i="242"/>
  <c r="D160" i="242"/>
  <c r="C160" i="242"/>
  <c r="K140" i="242"/>
  <c r="K138" i="242" s="1"/>
  <c r="G140" i="242"/>
  <c r="F140" i="242"/>
  <c r="F138" i="242"/>
  <c r="E140" i="242"/>
  <c r="E138" i="242" s="1"/>
  <c r="D140" i="242"/>
  <c r="D138" i="242" s="1"/>
  <c r="C140" i="242"/>
  <c r="C138" i="242"/>
  <c r="I142" i="242"/>
  <c r="J142" i="242" s="1"/>
  <c r="I141" i="242"/>
  <c r="J141" i="242" s="1"/>
  <c r="I143" i="242"/>
  <c r="J143" i="242" s="1"/>
  <c r="J165" i="242"/>
  <c r="I164" i="242"/>
  <c r="J164" i="242"/>
  <c r="K163" i="242"/>
  <c r="H163" i="242"/>
  <c r="G163" i="242"/>
  <c r="I163" i="242" s="1"/>
  <c r="J163" i="242" s="1"/>
  <c r="F163" i="242"/>
  <c r="E163" i="242"/>
  <c r="D163" i="242"/>
  <c r="C163" i="242"/>
  <c r="I158" i="242"/>
  <c r="J158" i="242" s="1"/>
  <c r="K157" i="242"/>
  <c r="H157" i="242"/>
  <c r="G157" i="242"/>
  <c r="I157" i="242" s="1"/>
  <c r="J157" i="242" s="1"/>
  <c r="F157" i="242"/>
  <c r="E157" i="242"/>
  <c r="D157" i="242"/>
  <c r="C157" i="242"/>
  <c r="I155" i="242"/>
  <c r="J155" i="242" s="1"/>
  <c r="H154" i="242"/>
  <c r="G154" i="242"/>
  <c r="F154" i="242"/>
  <c r="E154" i="242"/>
  <c r="D154" i="242"/>
  <c r="C154" i="242"/>
  <c r="J153" i="242"/>
  <c r="I152" i="242"/>
  <c r="J152" i="242" s="1"/>
  <c r="K151" i="242"/>
  <c r="H151" i="242"/>
  <c r="G151" i="242"/>
  <c r="F151" i="242"/>
  <c r="E151" i="242"/>
  <c r="D151" i="242"/>
  <c r="C151" i="242"/>
  <c r="K130" i="242"/>
  <c r="H130" i="242"/>
  <c r="G130" i="242"/>
  <c r="I130" i="242" s="1"/>
  <c r="J130" i="242" s="1"/>
  <c r="F130" i="242"/>
  <c r="F117" i="242" s="1"/>
  <c r="E130" i="242"/>
  <c r="D130" i="242"/>
  <c r="H118" i="242"/>
  <c r="I118" i="242" s="1"/>
  <c r="J118" i="242" s="1"/>
  <c r="G118" i="242"/>
  <c r="F118" i="242"/>
  <c r="E118" i="242"/>
  <c r="D118" i="242"/>
  <c r="D117" i="242"/>
  <c r="C118" i="242"/>
  <c r="I122" i="242"/>
  <c r="J122" i="242" s="1"/>
  <c r="I121" i="242"/>
  <c r="J121" i="242"/>
  <c r="I120" i="242"/>
  <c r="J120" i="242" s="1"/>
  <c r="C130" i="242"/>
  <c r="K111" i="242"/>
  <c r="K110" i="242" s="1"/>
  <c r="H111" i="242"/>
  <c r="H110" i="242" s="1"/>
  <c r="I110" i="242" s="1"/>
  <c r="J110" i="242" s="1"/>
  <c r="G111" i="242"/>
  <c r="F111" i="242"/>
  <c r="E111" i="242"/>
  <c r="D111" i="242"/>
  <c r="C111" i="242"/>
  <c r="C110" i="242" s="1"/>
  <c r="K114" i="242"/>
  <c r="H114" i="242"/>
  <c r="G114" i="242"/>
  <c r="F114" i="242"/>
  <c r="E114" i="242"/>
  <c r="E110" i="242" s="1"/>
  <c r="D114" i="242"/>
  <c r="C114" i="242"/>
  <c r="I112" i="242"/>
  <c r="J112" i="242" s="1"/>
  <c r="I113" i="242"/>
  <c r="J113" i="242" s="1"/>
  <c r="I116" i="242"/>
  <c r="J116" i="242"/>
  <c r="I115" i="242"/>
  <c r="J115" i="242"/>
  <c r="H103" i="242"/>
  <c r="G103" i="242"/>
  <c r="F103" i="242"/>
  <c r="E103" i="242"/>
  <c r="D103" i="242"/>
  <c r="C103" i="242"/>
  <c r="I106" i="242"/>
  <c r="J106" i="242"/>
  <c r="I105" i="242"/>
  <c r="J105" i="242" s="1"/>
  <c r="I104" i="242"/>
  <c r="J104" i="242" s="1"/>
  <c r="K99" i="242"/>
  <c r="H99" i="242"/>
  <c r="G99" i="242"/>
  <c r="F99" i="242"/>
  <c r="E99" i="242"/>
  <c r="E75" i="242" s="1"/>
  <c r="D99" i="242"/>
  <c r="G76" i="242"/>
  <c r="F76" i="242"/>
  <c r="E76" i="242"/>
  <c r="D76" i="242"/>
  <c r="C99" i="242"/>
  <c r="C76" i="242"/>
  <c r="I87" i="242"/>
  <c r="J87" i="242" s="1"/>
  <c r="I86" i="242"/>
  <c r="J86" i="242" s="1"/>
  <c r="I84" i="242"/>
  <c r="J84" i="242" s="1"/>
  <c r="I82" i="242"/>
  <c r="J82" i="242" s="1"/>
  <c r="I80" i="242"/>
  <c r="J80" i="242" s="1"/>
  <c r="I79" i="242"/>
  <c r="J79" i="242" s="1"/>
  <c r="K63" i="242"/>
  <c r="H63" i="242"/>
  <c r="G63" i="242"/>
  <c r="F63" i="242"/>
  <c r="E63" i="242"/>
  <c r="D63" i="242"/>
  <c r="C63" i="242"/>
  <c r="I68" i="242"/>
  <c r="J68" i="242" s="1"/>
  <c r="I67" i="242"/>
  <c r="J67" i="242"/>
  <c r="I66" i="242"/>
  <c r="J66" i="242" s="1"/>
  <c r="I65" i="242"/>
  <c r="J65" i="242" s="1"/>
  <c r="I64" i="242"/>
  <c r="J64" i="242"/>
  <c r="D17" i="242"/>
  <c r="E17" i="242"/>
  <c r="F17" i="242"/>
  <c r="G17" i="242"/>
  <c r="H17" i="242"/>
  <c r="I17" i="242" s="1"/>
  <c r="J17" i="242" s="1"/>
  <c r="K17" i="242"/>
  <c r="I18" i="242"/>
  <c r="J18" i="242" s="1"/>
  <c r="I19" i="242"/>
  <c r="J19" i="242" s="1"/>
  <c r="I20" i="242"/>
  <c r="J20" i="242" s="1"/>
  <c r="I21" i="242"/>
  <c r="J21" i="242"/>
  <c r="I22" i="242"/>
  <c r="J22" i="242"/>
  <c r="I23" i="242"/>
  <c r="J23" i="242" s="1"/>
  <c r="I24" i="242"/>
  <c r="J24" i="242" s="1"/>
  <c r="C53" i="242"/>
  <c r="I62" i="242"/>
  <c r="J62" i="242" s="1"/>
  <c r="I61" i="242"/>
  <c r="J61" i="242" s="1"/>
  <c r="I60" i="242"/>
  <c r="J60" i="242" s="1"/>
  <c r="I59" i="242"/>
  <c r="J59" i="242" s="1"/>
  <c r="I58" i="242"/>
  <c r="J58" i="242"/>
  <c r="I57" i="242"/>
  <c r="J57" i="242" s="1"/>
  <c r="I56" i="242"/>
  <c r="J56" i="242" s="1"/>
  <c r="I55" i="242"/>
  <c r="J55" i="242" s="1"/>
  <c r="I54" i="242"/>
  <c r="J54" i="242" s="1"/>
  <c r="I48" i="242"/>
  <c r="J48" i="242" s="1"/>
  <c r="I52" i="242"/>
  <c r="J52" i="242" s="1"/>
  <c r="I51" i="242"/>
  <c r="J51" i="242" s="1"/>
  <c r="I50" i="242"/>
  <c r="J50" i="242" s="1"/>
  <c r="I49" i="242"/>
  <c r="J49" i="242"/>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c r="K38" i="242"/>
  <c r="H38" i="242"/>
  <c r="G38" i="242"/>
  <c r="F38" i="242"/>
  <c r="E38" i="242"/>
  <c r="D38" i="242"/>
  <c r="C38" i="242"/>
  <c r="I36" i="242"/>
  <c r="J36" i="242" s="1"/>
  <c r="I35" i="242"/>
  <c r="J35" i="242"/>
  <c r="I34" i="242"/>
  <c r="J34" i="242" s="1"/>
  <c r="I33" i="242"/>
  <c r="J33" i="242" s="1"/>
  <c r="I32" i="242"/>
  <c r="J32" i="242" s="1"/>
  <c r="I31" i="242"/>
  <c r="J31" i="242" s="1"/>
  <c r="I30" i="242"/>
  <c r="J30" i="242" s="1"/>
  <c r="I29" i="242"/>
  <c r="J29" i="242" s="1"/>
  <c r="C17" i="242"/>
  <c r="I26" i="242"/>
  <c r="J26" i="242" s="1"/>
  <c r="I25" i="242"/>
  <c r="J25" i="242"/>
  <c r="C8" i="242"/>
  <c r="I10" i="242"/>
  <c r="J10" i="242" s="1"/>
  <c r="I9" i="242"/>
  <c r="J9" i="242" s="1"/>
  <c r="I243" i="330"/>
  <c r="J243" i="330" s="1"/>
  <c r="A243" i="330"/>
  <c r="A239" i="330"/>
  <c r="K235" i="330"/>
  <c r="K221" i="330" s="1"/>
  <c r="K47" i="241"/>
  <c r="G235" i="330"/>
  <c r="G47" i="241"/>
  <c r="F235" i="330"/>
  <c r="F47" i="241" s="1"/>
  <c r="E235" i="330"/>
  <c r="E47" i="241" s="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4" i="330"/>
  <c r="J194" i="330" s="1"/>
  <c r="I193" i="330"/>
  <c r="J193" i="330" s="1"/>
  <c r="A188" i="330"/>
  <c r="A187" i="330"/>
  <c r="K186" i="330"/>
  <c r="K37" i="241" s="1"/>
  <c r="H186" i="330"/>
  <c r="G186" i="330"/>
  <c r="F186" i="330"/>
  <c r="F37" i="241" s="1"/>
  <c r="E186" i="330"/>
  <c r="E37" i="241"/>
  <c r="D186" i="330"/>
  <c r="D37" i="241"/>
  <c r="C186" i="330"/>
  <c r="C37" i="241"/>
  <c r="I188" i="330"/>
  <c r="J188" i="330" s="1"/>
  <c r="I187" i="330"/>
  <c r="J187" i="330" s="1"/>
  <c r="A176" i="330"/>
  <c r="A175" i="330"/>
  <c r="A174" i="330"/>
  <c r="K171" i="330"/>
  <c r="K35" i="241" s="1"/>
  <c r="G171" i="330"/>
  <c r="G35" i="241" s="1"/>
  <c r="F171" i="330"/>
  <c r="F35" i="241" s="1"/>
  <c r="E171" i="330"/>
  <c r="E35" i="241" s="1"/>
  <c r="D171" i="330"/>
  <c r="D35" i="24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K31" i="241" s="1"/>
  <c r="G132" i="330"/>
  <c r="G31" i="241" s="1"/>
  <c r="F132" i="330"/>
  <c r="E132" i="330"/>
  <c r="E128" i="330" s="1"/>
  <c r="D132" i="330"/>
  <c r="D31" i="241"/>
  <c r="K27" i="330"/>
  <c r="K11" i="241" s="1"/>
  <c r="G27" i="330"/>
  <c r="G11" i="241" s="1"/>
  <c r="F27" i="330"/>
  <c r="F11" i="241" s="1"/>
  <c r="E27" i="330"/>
  <c r="E11" i="241"/>
  <c r="D27" i="330"/>
  <c r="C27" i="330"/>
  <c r="C11" i="241"/>
  <c r="K10" i="330"/>
  <c r="K6" i="330" s="1"/>
  <c r="G10" i="330"/>
  <c r="G8" i="241" s="1"/>
  <c r="F10" i="330"/>
  <c r="F6" i="330" s="1"/>
  <c r="E10" i="330"/>
  <c r="D10" i="330"/>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G32" i="241"/>
  <c r="K146" i="330"/>
  <c r="K32" i="241" s="1"/>
  <c r="I147" i="330"/>
  <c r="J147" i="330" s="1"/>
  <c r="A148" i="330"/>
  <c r="A149" i="330"/>
  <c r="C149" i="330"/>
  <c r="C34" i="241"/>
  <c r="D149" i="330"/>
  <c r="D34" i="241"/>
  <c r="E149" i="330"/>
  <c r="E34" i="241" s="1"/>
  <c r="F149" i="330"/>
  <c r="F34" i="241" s="1"/>
  <c r="G149" i="330"/>
  <c r="G34" i="241" s="1"/>
  <c r="K149" i="330"/>
  <c r="I150" i="330"/>
  <c r="J150" i="330" s="1"/>
  <c r="I166" i="330"/>
  <c r="J166" i="330" s="1"/>
  <c r="I168" i="330"/>
  <c r="J168" i="330" s="1"/>
  <c r="I169" i="330"/>
  <c r="J169" i="330" s="1"/>
  <c r="I170" i="330"/>
  <c r="J170" i="330" s="1"/>
  <c r="K113" i="330"/>
  <c r="K24" i="241" s="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K17" i="241" s="1"/>
  <c r="G17" i="241"/>
  <c r="F17" i="241"/>
  <c r="E76" i="330"/>
  <c r="E17" i="241" s="1"/>
  <c r="D17" i="241"/>
  <c r="C76" i="330"/>
  <c r="C17" i="241"/>
  <c r="I77" i="330"/>
  <c r="J77" i="330" s="1"/>
  <c r="I80" i="330"/>
  <c r="J80" i="330" s="1"/>
  <c r="I79" i="330"/>
  <c r="J79" i="330" s="1"/>
  <c r="I78" i="330"/>
  <c r="J78" i="330" s="1"/>
  <c r="I83" i="330"/>
  <c r="J83" i="330" s="1"/>
  <c r="I82" i="330"/>
  <c r="J82" i="330" s="1"/>
  <c r="K67" i="330"/>
  <c r="K15" i="241"/>
  <c r="H67" i="330"/>
  <c r="H15" i="241"/>
  <c r="G67" i="330"/>
  <c r="I67" i="330" s="1"/>
  <c r="J67" i="330" s="1"/>
  <c r="F67" i="330"/>
  <c r="F15" i="241" s="1"/>
  <c r="E67" i="330"/>
  <c r="E15" i="241"/>
  <c r="D67" i="330"/>
  <c r="C67" i="330"/>
  <c r="C15" i="241"/>
  <c r="H64" i="330"/>
  <c r="H14" i="241" s="1"/>
  <c r="G64" i="330"/>
  <c r="G14" i="241"/>
  <c r="F64" i="330"/>
  <c r="F14" i="241" s="1"/>
  <c r="E64" i="330"/>
  <c r="E14" i="241" s="1"/>
  <c r="D64" i="330"/>
  <c r="D14" i="241"/>
  <c r="K64" i="330"/>
  <c r="K14" i="241" s="1"/>
  <c r="C64" i="330"/>
  <c r="C14" i="241"/>
  <c r="I69" i="330"/>
  <c r="J69" i="330" s="1"/>
  <c r="I68" i="330"/>
  <c r="J68" i="330" s="1"/>
  <c r="I71" i="330"/>
  <c r="J71" i="330" s="1"/>
  <c r="I70" i="330"/>
  <c r="J70" i="330" s="1"/>
  <c r="I66" i="330"/>
  <c r="J66" i="330"/>
  <c r="I65" i="330"/>
  <c r="J65" i="330" s="1"/>
  <c r="K49" i="330"/>
  <c r="G49" i="330"/>
  <c r="F49" i="330"/>
  <c r="F12" i="241" s="1"/>
  <c r="E49" i="330"/>
  <c r="E12" i="241"/>
  <c r="D49" i="330"/>
  <c r="D12" i="241"/>
  <c r="C49" i="330"/>
  <c r="C12" i="241"/>
  <c r="I54" i="330"/>
  <c r="J54" i="330"/>
  <c r="I52" i="330"/>
  <c r="J52" i="330" s="1"/>
  <c r="I51" i="330"/>
  <c r="J51" i="330" s="1"/>
  <c r="I50" i="330"/>
  <c r="J50" i="330" s="1"/>
  <c r="C55" i="330"/>
  <c r="C13" i="241"/>
  <c r="D55" i="330"/>
  <c r="D13" i="241"/>
  <c r="E55" i="330"/>
  <c r="E13" i="241" s="1"/>
  <c r="F55" i="330"/>
  <c r="F13" i="241" s="1"/>
  <c r="G55" i="330"/>
  <c r="G13" i="241" s="1"/>
  <c r="K55" i="330"/>
  <c r="K13" i="241" s="1"/>
  <c r="I56" i="330"/>
  <c r="J56" i="330" s="1"/>
  <c r="I59" i="330"/>
  <c r="J59" i="330" s="1"/>
  <c r="I40" i="330"/>
  <c r="J40" i="330" s="1"/>
  <c r="I39" i="330"/>
  <c r="J39" i="330" s="1"/>
  <c r="I38" i="330"/>
  <c r="J38" i="330" s="1"/>
  <c r="I36" i="330"/>
  <c r="J36" i="330" s="1"/>
  <c r="I35" i="330"/>
  <c r="J35" i="330" s="1"/>
  <c r="I34" i="330"/>
  <c r="J34" i="330" s="1"/>
  <c r="I33" i="330"/>
  <c r="J33" i="330" s="1"/>
  <c r="I32" i="330"/>
  <c r="J32" i="330" s="1"/>
  <c r="I30" i="330"/>
  <c r="J30" i="330" s="1"/>
  <c r="I29" i="330"/>
  <c r="J29" i="330" s="1"/>
  <c r="I28" i="330"/>
  <c r="J28"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D64" i="100"/>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2" i="318"/>
  <c r="J92" i="318"/>
  <c r="I91" i="318"/>
  <c r="J91" i="318"/>
  <c r="I90" i="318"/>
  <c r="J90" i="318"/>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39" i="318"/>
  <c r="J39"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G174" i="323"/>
  <c r="G24" i="272" s="1"/>
  <c r="H174" i="323"/>
  <c r="K174" i="323"/>
  <c r="K24" i="272"/>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c r="K57" i="268"/>
  <c r="G57" i="268"/>
  <c r="F57" i="268"/>
  <c r="E57" i="268"/>
  <c r="D57" i="268"/>
  <c r="D63" i="268" s="1"/>
  <c r="C57" i="268"/>
  <c r="C118" i="330"/>
  <c r="C25" i="241"/>
  <c r="H37" i="241"/>
  <c r="E31" i="241"/>
  <c r="C8" i="241"/>
  <c r="J12" i="267"/>
  <c r="J13" i="267"/>
  <c r="J14" i="267"/>
  <c r="J15" i="267"/>
  <c r="J16" i="267"/>
  <c r="J17" i="267"/>
  <c r="G12" i="267"/>
  <c r="G13" i="267"/>
  <c r="G14" i="267"/>
  <c r="G15" i="267"/>
  <c r="F12" i="267"/>
  <c r="F13" i="267"/>
  <c r="F14" i="267"/>
  <c r="F15" i="267"/>
  <c r="F16" i="267"/>
  <c r="F17" i="267"/>
  <c r="E12" i="267"/>
  <c r="E13" i="267"/>
  <c r="E14" i="267"/>
  <c r="E15" i="267"/>
  <c r="E16" i="267"/>
  <c r="E17" i="267"/>
  <c r="D12" i="267"/>
  <c r="D13" i="267"/>
  <c r="D14" i="267"/>
  <c r="D15" i="267"/>
  <c r="D16" i="267"/>
  <c r="D19" i="267" s="1"/>
  <c r="D17" i="267"/>
  <c r="C12" i="267"/>
  <c r="C13" i="267"/>
  <c r="C14" i="267"/>
  <c r="C19" i="267"/>
  <c r="C15" i="267"/>
  <c r="C16" i="267"/>
  <c r="C17" i="267"/>
  <c r="B12" i="267"/>
  <c r="B13" i="267"/>
  <c r="B14" i="267"/>
  <c r="B15" i="267"/>
  <c r="B16" i="267"/>
  <c r="B17" i="267"/>
  <c r="C59" i="270"/>
  <c r="C45" i="270"/>
  <c r="C31" i="270"/>
  <c r="H18" i="177"/>
  <c r="G43" i="267" s="1"/>
  <c r="K185" i="323"/>
  <c r="K25" i="272"/>
  <c r="K196" i="323"/>
  <c r="K26" i="272" s="1"/>
  <c r="K207" i="323"/>
  <c r="K218" i="323"/>
  <c r="K28" i="272"/>
  <c r="K229" i="323"/>
  <c r="K29" i="272"/>
  <c r="K240" i="323"/>
  <c r="K251" i="323"/>
  <c r="K31" i="272"/>
  <c r="K262" i="323"/>
  <c r="K273" i="323"/>
  <c r="K284" i="323"/>
  <c r="K34" i="272"/>
  <c r="K295" i="323"/>
  <c r="K306" i="323"/>
  <c r="K36" i="272"/>
  <c r="K317" i="323"/>
  <c r="K37" i="272"/>
  <c r="K328" i="323"/>
  <c r="K38" i="272"/>
  <c r="H185" i="323"/>
  <c r="H25" i="272" s="1"/>
  <c r="I25" i="272" s="1"/>
  <c r="J25" i="272" s="1"/>
  <c r="H196" i="323"/>
  <c r="H26"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196" i="323"/>
  <c r="G26" i="272" s="1"/>
  <c r="G207" i="323"/>
  <c r="G218" i="323"/>
  <c r="G229" i="323"/>
  <c r="G240" i="323"/>
  <c r="G251" i="323"/>
  <c r="G262" i="323"/>
  <c r="G273" i="323"/>
  <c r="G33" i="272"/>
  <c r="I33" i="272"/>
  <c r="J33" i="272"/>
  <c r="G284" i="323"/>
  <c r="G295" i="323"/>
  <c r="G35" i="272"/>
  <c r="I35" i="272"/>
  <c r="J35" i="272"/>
  <c r="G306" i="323"/>
  <c r="G317" i="323"/>
  <c r="I317" i="323"/>
  <c r="J317" i="323"/>
  <c r="G328" i="323"/>
  <c r="F185" i="323"/>
  <c r="F25" i="272" s="1"/>
  <c r="F196" i="323"/>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s="1"/>
  <c r="E207" i="323"/>
  <c r="E27" i="272" s="1"/>
  <c r="E218" i="323"/>
  <c r="E28" i="272" s="1"/>
  <c r="E229" i="323"/>
  <c r="E29" i="272" s="1"/>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c r="K193" i="324"/>
  <c r="K28" i="268" s="1"/>
  <c r="K182" i="324"/>
  <c r="K27" i="268"/>
  <c r="K171" i="324"/>
  <c r="K26" i="268"/>
  <c r="K160" i="324"/>
  <c r="K25" i="268" s="1"/>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c r="D204" i="324"/>
  <c r="D29" i="268"/>
  <c r="G193" i="324"/>
  <c r="G28" i="268" s="1"/>
  <c r="H193" i="324"/>
  <c r="H28" i="268" s="1"/>
  <c r="F193" i="324"/>
  <c r="F28" i="268" s="1"/>
  <c r="E193" i="324"/>
  <c r="E28" i="268" s="1"/>
  <c r="D193" i="324"/>
  <c r="D28" i="268"/>
  <c r="G182" i="324"/>
  <c r="G27" i="268" s="1"/>
  <c r="H182" i="324"/>
  <c r="F182" i="324"/>
  <c r="F27" i="268"/>
  <c r="E182" i="324"/>
  <c r="E27" i="268"/>
  <c r="D182" i="324"/>
  <c r="D27" i="268"/>
  <c r="G171" i="324"/>
  <c r="G26" i="268" s="1"/>
  <c r="F171" i="324"/>
  <c r="F26" i="268" s="1"/>
  <c r="E171" i="324"/>
  <c r="E26" i="268" s="1"/>
  <c r="D171" i="324"/>
  <c r="D26" i="268"/>
  <c r="G160" i="324"/>
  <c r="H160" i="324"/>
  <c r="H25" i="268" s="1"/>
  <c r="F160" i="324"/>
  <c r="F25" i="268" s="1"/>
  <c r="E160" i="324"/>
  <c r="E25" i="268" s="1"/>
  <c r="D160" i="324"/>
  <c r="D25" i="268"/>
  <c r="G149" i="324"/>
  <c r="H149" i="324"/>
  <c r="H24" i="268"/>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s="1"/>
  <c r="K29" i="324"/>
  <c r="K10" i="268" s="1"/>
  <c r="K23" i="324"/>
  <c r="K9" i="268"/>
  <c r="K18" i="324"/>
  <c r="K8" i="268" s="1"/>
  <c r="K12" i="324"/>
  <c r="K7" i="268" s="1"/>
  <c r="K7" i="324"/>
  <c r="K6" i="268"/>
  <c r="H20" i="268"/>
  <c r="F20" i="268"/>
  <c r="G19" i="268"/>
  <c r="F19" i="268"/>
  <c r="G18" i="268"/>
  <c r="F18" i="268"/>
  <c r="G17" i="268"/>
  <c r="D17" i="268"/>
  <c r="F16" i="268"/>
  <c r="G15" i="268"/>
  <c r="F15" i="268"/>
  <c r="G14" i="268"/>
  <c r="G13" i="268"/>
  <c r="F13" i="268"/>
  <c r="G12" i="268"/>
  <c r="F12" i="268"/>
  <c r="G35" i="324"/>
  <c r="G11" i="268" s="1"/>
  <c r="F35" i="324"/>
  <c r="F11" i="268" s="1"/>
  <c r="E35" i="324"/>
  <c r="E11" i="268" s="1"/>
  <c r="D35" i="324"/>
  <c r="D11" i="268"/>
  <c r="G29" i="324"/>
  <c r="F29" i="324"/>
  <c r="F10" i="268"/>
  <c r="E29" i="324"/>
  <c r="E10" i="268"/>
  <c r="D29" i="324"/>
  <c r="D10" i="268"/>
  <c r="G23" i="324"/>
  <c r="G9" i="268"/>
  <c r="F23" i="324"/>
  <c r="F9" i="268"/>
  <c r="E23" i="324"/>
  <c r="E9" i="268"/>
  <c r="D23" i="324"/>
  <c r="D9" i="268"/>
  <c r="G18" i="324"/>
  <c r="G8" i="268" s="1"/>
  <c r="F18" i="324"/>
  <c r="F8" i="268" s="1"/>
  <c r="E18" i="324"/>
  <c r="E145" i="324" s="1"/>
  <c r="D18" i="324"/>
  <c r="D8" i="268"/>
  <c r="G12" i="324"/>
  <c r="G7" i="268" s="1"/>
  <c r="F12" i="324"/>
  <c r="E12" i="324"/>
  <c r="E7" i="268" s="1"/>
  <c r="D12" i="324"/>
  <c r="D7" i="268"/>
  <c r="G7" i="324"/>
  <c r="G6" i="268" s="1"/>
  <c r="F7" i="324"/>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E74" i="268"/>
  <c r="F70" i="268"/>
  <c r="F74" i="268" s="1"/>
  <c r="G70" i="268"/>
  <c r="F29" i="267" s="1"/>
  <c r="C70" i="268"/>
  <c r="C74" i="268"/>
  <c r="A75" i="100"/>
  <c r="B82" i="100" s="1"/>
  <c r="A1" i="178" s="1"/>
  <c r="C18" i="177"/>
  <c r="D13" i="242"/>
  <c r="D27" i="242"/>
  <c r="D69" i="242"/>
  <c r="D135" i="242"/>
  <c r="D148" i="242"/>
  <c r="E13" i="242"/>
  <c r="E27" i="242"/>
  <c r="E69" i="242"/>
  <c r="E135" i="242"/>
  <c r="E148" i="242"/>
  <c r="F13" i="242"/>
  <c r="F27" i="242"/>
  <c r="F69" i="242"/>
  <c r="F135" i="242"/>
  <c r="F148" i="242"/>
  <c r="G13" i="242"/>
  <c r="G27" i="242"/>
  <c r="G69" i="242"/>
  <c r="G135" i="242"/>
  <c r="I135" i="242" s="1"/>
  <c r="J135" i="242" s="1"/>
  <c r="G148" i="242"/>
  <c r="H13" i="242"/>
  <c r="H27" i="242"/>
  <c r="H69" i="242"/>
  <c r="I69" i="242" s="1"/>
  <c r="J69" i="242" s="1"/>
  <c r="H135" i="242"/>
  <c r="H148" i="242"/>
  <c r="K13" i="242"/>
  <c r="K27" i="242"/>
  <c r="K69" i="242"/>
  <c r="K135" i="242"/>
  <c r="K148"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s="1"/>
  <c r="K92" i="330"/>
  <c r="K19" i="241" s="1"/>
  <c r="K100" i="330"/>
  <c r="K104" i="330"/>
  <c r="K22" i="241" s="1"/>
  <c r="K108" i="330"/>
  <c r="K23" i="241" s="1"/>
  <c r="K118" i="330"/>
  <c r="K25" i="241" s="1"/>
  <c r="K129" i="330"/>
  <c r="K177" i="330"/>
  <c r="K36" i="241"/>
  <c r="K189" i="330"/>
  <c r="K38" i="241"/>
  <c r="K198" i="330"/>
  <c r="K40" i="241" s="1"/>
  <c r="K209" i="330"/>
  <c r="K41" i="241"/>
  <c r="K214" i="330"/>
  <c r="K42" i="241" s="1"/>
  <c r="K222" i="330"/>
  <c r="K44" i="241" s="1"/>
  <c r="K226" i="330"/>
  <c r="K45" i="241"/>
  <c r="K230" i="330"/>
  <c r="K46" i="241"/>
  <c r="K240" i="330"/>
  <c r="K48" i="241" s="1"/>
  <c r="H7" i="330"/>
  <c r="H24" i="330"/>
  <c r="H9" i="241"/>
  <c r="H92" i="330"/>
  <c r="H19" i="241"/>
  <c r="H100" i="330"/>
  <c r="H21" i="241" s="1"/>
  <c r="H129" i="330"/>
  <c r="H30" i="241" s="1"/>
  <c r="H209" i="330"/>
  <c r="H226" i="330"/>
  <c r="H45" i="241"/>
  <c r="G7" i="330"/>
  <c r="G7" i="241"/>
  <c r="G24" i="330"/>
  <c r="G87" i="330"/>
  <c r="I87" i="330" s="1"/>
  <c r="J87" i="330" s="1"/>
  <c r="G92" i="330"/>
  <c r="G100" i="330"/>
  <c r="G21" i="241" s="1"/>
  <c r="G104" i="330"/>
  <c r="G22" i="241" s="1"/>
  <c r="G108" i="330"/>
  <c r="G23" i="241" s="1"/>
  <c r="G118" i="330"/>
  <c r="G25" i="241" s="1"/>
  <c r="G129" i="330"/>
  <c r="G30" i="241" s="1"/>
  <c r="G177" i="330"/>
  <c r="G36" i="241" s="1"/>
  <c r="G189" i="330"/>
  <c r="G38" i="241" s="1"/>
  <c r="G198" i="330"/>
  <c r="G209" i="330"/>
  <c r="G41" i="241" s="1"/>
  <c r="G214" i="330"/>
  <c r="G42" i="241" s="1"/>
  <c r="G222" i="330"/>
  <c r="G44" i="241"/>
  <c r="G226" i="330"/>
  <c r="G230" i="330"/>
  <c r="G46" i="241"/>
  <c r="G240" i="330"/>
  <c r="G48" i="241" s="1"/>
  <c r="F7" i="330"/>
  <c r="F7" i="241"/>
  <c r="F24" i="330"/>
  <c r="F87" i="330"/>
  <c r="F92" i="330"/>
  <c r="F19" i="241" s="1"/>
  <c r="F100" i="330"/>
  <c r="F21" i="241" s="1"/>
  <c r="F104" i="330"/>
  <c r="F22" i="241" s="1"/>
  <c r="F108" i="330"/>
  <c r="F23" i="241"/>
  <c r="F118" i="330"/>
  <c r="F25" i="241" s="1"/>
  <c r="F129" i="330"/>
  <c r="F30" i="241" s="1"/>
  <c r="F177" i="330"/>
  <c r="F36" i="241" s="1"/>
  <c r="F189" i="330"/>
  <c r="F38" i="241" s="1"/>
  <c r="F198" i="330"/>
  <c r="F209" i="330"/>
  <c r="F41" i="241" s="1"/>
  <c r="F214" i="330"/>
  <c r="F42" i="241" s="1"/>
  <c r="F222" i="330"/>
  <c r="F44" i="241" s="1"/>
  <c r="F226" i="330"/>
  <c r="F45" i="241" s="1"/>
  <c r="F230" i="330"/>
  <c r="F46" i="241" s="1"/>
  <c r="F240" i="330"/>
  <c r="F48" i="241" s="1"/>
  <c r="E7" i="330"/>
  <c r="E7" i="241" s="1"/>
  <c r="E24" i="330"/>
  <c r="E9" i="241"/>
  <c r="E87" i="330"/>
  <c r="E18" i="241" s="1"/>
  <c r="E92" i="330"/>
  <c r="E19" i="241" s="1"/>
  <c r="E100" i="330"/>
  <c r="E21" i="241" s="1"/>
  <c r="E104" i="330"/>
  <c r="E22" i="241" s="1"/>
  <c r="E108" i="330"/>
  <c r="E23" i="241" s="1"/>
  <c r="E118" i="330"/>
  <c r="E25" i="241" s="1"/>
  <c r="E129" i="330"/>
  <c r="E30" i="241" s="1"/>
  <c r="E177" i="330"/>
  <c r="E148" i="330" s="1"/>
  <c r="E36" i="241"/>
  <c r="E189" i="330"/>
  <c r="E38" i="241" s="1"/>
  <c r="E198" i="330"/>
  <c r="E40" i="241" s="1"/>
  <c r="E209" i="330"/>
  <c r="E41" i="241" s="1"/>
  <c r="E214" i="330"/>
  <c r="E197" i="330" s="1"/>
  <c r="E222" i="330"/>
  <c r="E221" i="330" s="1"/>
  <c r="E44" i="241"/>
  <c r="E226" i="330"/>
  <c r="E45" i="241"/>
  <c r="E230" i="330"/>
  <c r="E46" i="241" s="1"/>
  <c r="E240" i="330"/>
  <c r="E48" i="241"/>
  <c r="D7" i="330"/>
  <c r="D7" i="241"/>
  <c r="D24" i="330"/>
  <c r="D9" i="241"/>
  <c r="D87" i="330"/>
  <c r="D18" i="241"/>
  <c r="D92" i="330"/>
  <c r="D19" i="241"/>
  <c r="D100" i="330"/>
  <c r="D104" i="330"/>
  <c r="D22" i="241"/>
  <c r="D108" i="330"/>
  <c r="D23" i="241"/>
  <c r="D118" i="330"/>
  <c r="D25" i="241"/>
  <c r="D129" i="330"/>
  <c r="D32" i="241"/>
  <c r="D177" i="330"/>
  <c r="D148" i="330"/>
  <c r="D189" i="330"/>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39" i="330"/>
  <c r="J239" i="330" s="1"/>
  <c r="I234" i="330"/>
  <c r="J234" i="330" s="1"/>
  <c r="I231" i="330"/>
  <c r="J231" i="330" s="1"/>
  <c r="I227" i="330"/>
  <c r="J227" i="330"/>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s="1"/>
  <c r="I73" i="330"/>
  <c r="J73" i="330" s="1"/>
  <c r="I72" i="330"/>
  <c r="J72" i="330" s="1"/>
  <c r="I63" i="330"/>
  <c r="J63" i="330" s="1"/>
  <c r="I48" i="330"/>
  <c r="J48" i="330" s="1"/>
  <c r="I46" i="330"/>
  <c r="J46" i="330" s="1"/>
  <c r="I44" i="330"/>
  <c r="J44" i="330" s="1"/>
  <c r="I42" i="330"/>
  <c r="J42" i="330" s="1"/>
  <c r="I25" i="330"/>
  <c r="J25" i="330"/>
  <c r="I9" i="330"/>
  <c r="J9" i="330" s="1"/>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37" i="177"/>
  <c r="E45" i="267"/>
  <c r="E37" i="177"/>
  <c r="D45" i="267" s="1"/>
  <c r="D37" i="177"/>
  <c r="C45" i="267"/>
  <c r="C37" i="177"/>
  <c r="B45" i="267"/>
  <c r="K28" i="177"/>
  <c r="J44" i="267" s="1"/>
  <c r="H28" i="177"/>
  <c r="G44" i="267" s="1"/>
  <c r="G28" i="177"/>
  <c r="G39" i="177" s="1"/>
  <c r="G41" i="177" s="1"/>
  <c r="F46" i="267" s="1"/>
  <c r="F28" i="177"/>
  <c r="E44" i="267" s="1"/>
  <c r="E28" i="177"/>
  <c r="D44" i="267" s="1"/>
  <c r="C28" i="177"/>
  <c r="B44" i="267"/>
  <c r="K18" i="177"/>
  <c r="J43" i="267" s="1"/>
  <c r="G18" i="177"/>
  <c r="F43" i="267" s="1"/>
  <c r="F18" i="177"/>
  <c r="E43" i="267" s="1"/>
  <c r="E18" i="177"/>
  <c r="D43" i="267" s="1"/>
  <c r="E77" i="100"/>
  <c r="E46" i="267"/>
  <c r="G48" i="178"/>
  <c r="J40" i="267" s="1"/>
  <c r="G40" i="178"/>
  <c r="J39" i="267" s="1"/>
  <c r="G35" i="178"/>
  <c r="H53" i="174"/>
  <c r="G13" i="178"/>
  <c r="J36" i="267" s="1"/>
  <c r="E48" i="178"/>
  <c r="D40" i="267" s="1"/>
  <c r="D48" i="178"/>
  <c r="C40" i="267"/>
  <c r="E40" i="178"/>
  <c r="D39" i="267" s="1"/>
  <c r="D40" i="178"/>
  <c r="C39" i="267"/>
  <c r="E35" i="178"/>
  <c r="D38" i="267" s="1"/>
  <c r="D35" i="178"/>
  <c r="C38" i="267"/>
  <c r="D37" i="267"/>
  <c r="E13" i="178"/>
  <c r="D36" i="267" s="1"/>
  <c r="D13" i="178"/>
  <c r="C48" i="178"/>
  <c r="B40" i="267"/>
  <c r="C40" i="178"/>
  <c r="C35" i="178"/>
  <c r="B38" i="267"/>
  <c r="B37" i="267"/>
  <c r="C13" i="178"/>
  <c r="B36" i="267"/>
  <c r="J32" i="267"/>
  <c r="J31" i="267"/>
  <c r="G32" i="267"/>
  <c r="F32" i="267"/>
  <c r="E32" i="267"/>
  <c r="D32" i="267"/>
  <c r="C32" i="267"/>
  <c r="G31" i="267"/>
  <c r="H31" i="267" s="1"/>
  <c r="I31" i="267" s="1"/>
  <c r="F31" i="267"/>
  <c r="E31" i="267"/>
  <c r="D31" i="267"/>
  <c r="C31" i="267"/>
  <c r="B32" i="267"/>
  <c r="B31" i="267"/>
  <c r="J24" i="267"/>
  <c r="G24" i="267"/>
  <c r="F24" i="267"/>
  <c r="H24" i="267"/>
  <c r="E24" i="267"/>
  <c r="D24" i="267"/>
  <c r="C24" i="267"/>
  <c r="B24" i="267"/>
  <c r="K36" i="182"/>
  <c r="J6" i="267"/>
  <c r="J9" i="267"/>
  <c r="J21" i="267"/>
  <c r="J22" i="267"/>
  <c r="G22" i="267"/>
  <c r="F22" i="267"/>
  <c r="E22" i="267"/>
  <c r="D22" i="267"/>
  <c r="C22" i="267"/>
  <c r="G21" i="267"/>
  <c r="F21" i="267"/>
  <c r="H21" i="267" s="1"/>
  <c r="I21" i="267" s="1"/>
  <c r="E21" i="267"/>
  <c r="D21" i="267"/>
  <c r="C21" i="267"/>
  <c r="B22" i="267"/>
  <c r="B21" i="267"/>
  <c r="G36" i="182"/>
  <c r="G45" i="174" s="1"/>
  <c r="F36" i="182"/>
  <c r="E36" i="182"/>
  <c r="D36" i="182"/>
  <c r="C18" i="267"/>
  <c r="C36" i="182"/>
  <c r="F6" i="267"/>
  <c r="F9" i="267"/>
  <c r="G6" i="267"/>
  <c r="G9" i="267"/>
  <c r="H9" i="267" s="1"/>
  <c r="I9" i="267" s="1"/>
  <c r="I6" i="182"/>
  <c r="J6" i="182" s="1"/>
  <c r="I7" i="182"/>
  <c r="J7" i="182" s="1"/>
  <c r="I8" i="182"/>
  <c r="J8" i="182" s="1"/>
  <c r="I9" i="182"/>
  <c r="J9" i="182" s="1"/>
  <c r="I10" i="182"/>
  <c r="J10" i="182" s="1"/>
  <c r="I13" i="182"/>
  <c r="J13" i="182" s="1"/>
  <c r="I14" i="182"/>
  <c r="J14" i="182" s="1"/>
  <c r="I19" i="182"/>
  <c r="J19" i="182" s="1"/>
  <c r="E6" i="267"/>
  <c r="E9" i="267"/>
  <c r="D6" i="267"/>
  <c r="D9" i="267"/>
  <c r="E38" i="182"/>
  <c r="E42" i="182" s="1"/>
  <c r="E44" i="182" s="1"/>
  <c r="E46" i="182" s="1"/>
  <c r="E48" i="182" s="1"/>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K10" i="173"/>
  <c r="F104" i="172" s="1"/>
  <c r="K11" i="173"/>
  <c r="G104" i="172" s="1"/>
  <c r="K12" i="173"/>
  <c r="H104" i="172" s="1"/>
  <c r="K13" i="173"/>
  <c r="I104" i="172" s="1"/>
  <c r="K14" i="173"/>
  <c r="C14" i="175"/>
  <c r="B50" i="267" s="1"/>
  <c r="D14" i="175"/>
  <c r="C53" i="172" s="1"/>
  <c r="E14" i="175"/>
  <c r="D53" i="172" s="1"/>
  <c r="F14" i="175"/>
  <c r="G14" i="175"/>
  <c r="F53" i="172" s="1"/>
  <c r="H14" i="175"/>
  <c r="I14" i="175"/>
  <c r="H53" i="172" s="1"/>
  <c r="J14" i="175"/>
  <c r="I53" i="172" s="1"/>
  <c r="K40" i="177"/>
  <c r="B29" i="267"/>
  <c r="D29" i="267"/>
  <c r="D33" i="267" s="1"/>
  <c r="C6" i="323"/>
  <c r="C17" i="323"/>
  <c r="C7" i="272"/>
  <c r="C28" i="323"/>
  <c r="C8" i="272"/>
  <c r="C39" i="323"/>
  <c r="C9" i="272"/>
  <c r="C50" i="323"/>
  <c r="C10" i="272"/>
  <c r="C61" i="323"/>
  <c r="C11" i="272"/>
  <c r="C72" i="323"/>
  <c r="C83" i="323"/>
  <c r="C13" i="272"/>
  <c r="C94" i="323"/>
  <c r="C14" i="272"/>
  <c r="C105" i="323"/>
  <c r="C15" i="272"/>
  <c r="H6" i="323"/>
  <c r="I6" i="323" s="1"/>
  <c r="J6" i="323" s="1"/>
  <c r="H17" i="323"/>
  <c r="H7" i="272" s="1"/>
  <c r="H28" i="323"/>
  <c r="H8" i="272" s="1"/>
  <c r="H50" i="323"/>
  <c r="H61" i="323"/>
  <c r="H11" i="272" s="1"/>
  <c r="H72" i="323"/>
  <c r="H12" i="272"/>
  <c r="H83" i="323"/>
  <c r="H13" i="272"/>
  <c r="H94" i="323"/>
  <c r="I94" i="323"/>
  <c r="J94" i="323"/>
  <c r="G6" i="323"/>
  <c r="G17" i="323"/>
  <c r="G28" i="323"/>
  <c r="G8" i="272" s="1"/>
  <c r="G39" i="323"/>
  <c r="G9" i="272" s="1"/>
  <c r="G50" i="323"/>
  <c r="G10" i="272" s="1"/>
  <c r="G61" i="323"/>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17" i="323"/>
  <c r="E28" i="323"/>
  <c r="E8" i="272"/>
  <c r="E39" i="323"/>
  <c r="E9" i="272" s="1"/>
  <c r="E50" i="323"/>
  <c r="E10" i="272" s="1"/>
  <c r="E61" i="323"/>
  <c r="E11" i="272" s="1"/>
  <c r="E72" i="323"/>
  <c r="E83" i="323"/>
  <c r="E13" i="272"/>
  <c r="E94" i="323"/>
  <c r="E14" i="272"/>
  <c r="F6" i="323"/>
  <c r="F17" i="323"/>
  <c r="F7" i="272" s="1"/>
  <c r="F28" i="323"/>
  <c r="F8" i="272"/>
  <c r="F39" i="323"/>
  <c r="F9" i="272" s="1"/>
  <c r="F50" i="323"/>
  <c r="F10" i="272" s="1"/>
  <c r="F61" i="323"/>
  <c r="F11" i="272" s="1"/>
  <c r="F72" i="323"/>
  <c r="F12" i="272"/>
  <c r="F83" i="323"/>
  <c r="F13" i="272"/>
  <c r="F94" i="323"/>
  <c r="F14" i="272"/>
  <c r="K6" i="323"/>
  <c r="K6" i="272"/>
  <c r="K17" i="323"/>
  <c r="K7" i="272" s="1"/>
  <c r="K28" i="323"/>
  <c r="K8" i="272" s="1"/>
  <c r="K39" i="323"/>
  <c r="K9" i="272" s="1"/>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8" i="323"/>
  <c r="J218" i="323" s="1"/>
  <c r="I217" i="323"/>
  <c r="J217" i="323"/>
  <c r="I216" i="323"/>
  <c r="J216" i="323"/>
  <c r="I215" i="323"/>
  <c r="J215" i="323"/>
  <c r="I214" i="323"/>
  <c r="J214" i="323"/>
  <c r="I213" i="323"/>
  <c r="J213" i="323"/>
  <c r="I212" i="323"/>
  <c r="J212" i="323" s="1"/>
  <c r="I211" i="323"/>
  <c r="J211" i="323" s="1"/>
  <c r="I210" i="323"/>
  <c r="J210" i="323" s="1"/>
  <c r="I209" i="323"/>
  <c r="J209"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6" i="323"/>
  <c r="J186"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38" i="323"/>
  <c r="J38" i="323"/>
  <c r="I37" i="323"/>
  <c r="J37" i="323"/>
  <c r="I36" i="323"/>
  <c r="J36" i="323"/>
  <c r="I35" i="323"/>
  <c r="J35" i="323"/>
  <c r="I34" i="323"/>
  <c r="J34" i="323"/>
  <c r="I33" i="323"/>
  <c r="J33" i="323"/>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G7" i="272"/>
  <c r="G11" i="272"/>
  <c r="F6" i="272"/>
  <c r="D12" i="272"/>
  <c r="G27" i="272"/>
  <c r="G28" i="272"/>
  <c r="G29" i="272"/>
  <c r="G30" i="272"/>
  <c r="I30" i="272"/>
  <c r="J30" i="272"/>
  <c r="G31" i="272"/>
  <c r="G32" i="272"/>
  <c r="I32" i="272"/>
  <c r="J32" i="272"/>
  <c r="H32" i="272"/>
  <c r="K27" i="272"/>
  <c r="K30" i="272"/>
  <c r="K32" i="272"/>
  <c r="F26" i="272"/>
  <c r="E24"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A1" i="182" s="1"/>
  <c r="E53" i="182"/>
  <c r="A53" i="182"/>
  <c r="I43" i="182"/>
  <c r="J43" i="182"/>
  <c r="I35" i="182"/>
  <c r="J35" i="182" s="1"/>
  <c r="I34" i="182"/>
  <c r="J34" i="182" s="1"/>
  <c r="I32" i="182"/>
  <c r="J32" i="182" s="1"/>
  <c r="I31" i="182"/>
  <c r="J31" i="182" s="1"/>
  <c r="I29" i="182"/>
  <c r="J29"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c r="I186" i="324"/>
  <c r="J186" i="324"/>
  <c r="I185" i="324"/>
  <c r="J185" i="324"/>
  <c r="I184" i="324"/>
  <c r="J184" i="324"/>
  <c r="I183" i="324"/>
  <c r="J183" i="324" s="1"/>
  <c r="I181" i="324"/>
  <c r="J181" i="324"/>
  <c r="I180" i="324"/>
  <c r="J180" i="324"/>
  <c r="I179" i="324"/>
  <c r="J179" i="324"/>
  <c r="I178" i="324"/>
  <c r="J178" i="324"/>
  <c r="I177" i="324"/>
  <c r="J177" i="324"/>
  <c r="I176" i="324"/>
  <c r="J176" i="324"/>
  <c r="I175" i="324"/>
  <c r="J175" i="324" s="1"/>
  <c r="I174" i="324"/>
  <c r="J174"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c r="I151" i="324"/>
  <c r="J151" i="324" s="1"/>
  <c r="I150" i="324"/>
  <c r="J150" i="324"/>
  <c r="I148" i="324"/>
  <c r="J148" i="324"/>
  <c r="I146" i="324"/>
  <c r="J146" i="324"/>
  <c r="I40" i="324"/>
  <c r="J40" i="324" s="1"/>
  <c r="I37" i="324"/>
  <c r="J37" i="324" s="1"/>
  <c r="I31" i="324"/>
  <c r="J31" i="324" s="1"/>
  <c r="I17" i="324"/>
  <c r="J17" i="324"/>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I53" i="268" s="1"/>
  <c r="J53" i="268" s="1"/>
  <c r="F43" i="268"/>
  <c r="F47" i="268"/>
  <c r="F53" i="268"/>
  <c r="E43" i="268"/>
  <c r="E47" i="268"/>
  <c r="E53" i="268"/>
  <c r="D43" i="268"/>
  <c r="D47" i="268"/>
  <c r="D53" i="268"/>
  <c r="C43" i="268"/>
  <c r="C47" i="268"/>
  <c r="C53" i="268"/>
  <c r="I62" i="268"/>
  <c r="J62" i="268" s="1"/>
  <c r="I61" i="268"/>
  <c r="J61" i="268" s="1"/>
  <c r="I58" i="268"/>
  <c r="J58" i="268" s="1"/>
  <c r="I56" i="268"/>
  <c r="J56" i="268" s="1"/>
  <c r="I55" i="268"/>
  <c r="J55" i="268" s="1"/>
  <c r="I52" i="268"/>
  <c r="J52" i="268" s="1"/>
  <c r="I51" i="268"/>
  <c r="J51"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F38" i="267" s="1"/>
  <c r="F13" i="178"/>
  <c r="F36" i="267" s="1"/>
  <c r="F48" i="178"/>
  <c r="F40" i="267" s="1"/>
  <c r="E26" i="178"/>
  <c r="C26" i="178"/>
  <c r="A49" i="178"/>
  <c r="A2" i="178"/>
  <c r="G3" i="178"/>
  <c r="F3" i="178"/>
  <c r="E3" i="178"/>
  <c r="D3" i="178"/>
  <c r="C3" i="178"/>
  <c r="B2" i="178"/>
  <c r="F40" i="178"/>
  <c r="F39" i="267" s="1"/>
  <c r="E41" i="178"/>
  <c r="I7" i="177"/>
  <c r="J7" i="177" s="1"/>
  <c r="I10" i="177"/>
  <c r="J10" i="177" s="1"/>
  <c r="I11" i="177"/>
  <c r="J11" i="177" s="1"/>
  <c r="I12" i="177"/>
  <c r="J12" i="177" s="1"/>
  <c r="I13" i="177"/>
  <c r="J13" i="177"/>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E104" i="172"/>
  <c r="D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H17" i="180" s="1"/>
  <c r="F16" i="180"/>
  <c r="B38" i="172" s="1"/>
  <c r="F15" i="180"/>
  <c r="I15" i="180" s="1"/>
  <c r="F14" i="180"/>
  <c r="B36" i="172" s="1"/>
  <c r="F13" i="180"/>
  <c r="B35" i="172" s="1"/>
  <c r="F12" i="180"/>
  <c r="F11" i="180"/>
  <c r="H11" i="180" s="1"/>
  <c r="B33" i="172"/>
  <c r="F10" i="180"/>
  <c r="H10" i="180" s="1"/>
  <c r="F9" i="180"/>
  <c r="F8" i="180"/>
  <c r="B30" i="172" s="1"/>
  <c r="F7" i="180"/>
  <c r="J7" i="180" s="1"/>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E53" i="172"/>
  <c r="B25" i="251"/>
  <c r="B16" i="251"/>
  <c r="B5" i="251"/>
  <c r="A51" i="251"/>
  <c r="B2" i="251"/>
  <c r="A2" i="251"/>
  <c r="E93" i="100"/>
  <c r="A5" i="181"/>
  <c r="G36" i="181"/>
  <c r="G38" i="181" s="1"/>
  <c r="G42" i="181" s="1"/>
  <c r="G44" i="181" s="1"/>
  <c r="H36" i="181"/>
  <c r="I43" i="181"/>
  <c r="J43" i="181"/>
  <c r="I41" i="181"/>
  <c r="J41" i="181"/>
  <c r="I40" i="181"/>
  <c r="J40" i="181" s="1"/>
  <c r="I39" i="181"/>
  <c r="J39" i="181" s="1"/>
  <c r="I35" i="181"/>
  <c r="J35" i="181" s="1"/>
  <c r="I34" i="181"/>
  <c r="J34" i="181" s="1"/>
  <c r="I32" i="181"/>
  <c r="J32" i="181" s="1"/>
  <c r="I31" i="181"/>
  <c r="J31" i="181" s="1"/>
  <c r="I28" i="181"/>
  <c r="J28" i="181" s="1"/>
  <c r="I27" i="181"/>
  <c r="J27" i="181" s="1"/>
  <c r="I26" i="181"/>
  <c r="J26" i="181" s="1"/>
  <c r="I21" i="181"/>
  <c r="J21" i="181"/>
  <c r="I20" i="181"/>
  <c r="J20" i="181" s="1"/>
  <c r="I19" i="181"/>
  <c r="J19" i="181" s="1"/>
  <c r="I18" i="181"/>
  <c r="J18" i="181" s="1"/>
  <c r="I17" i="181"/>
  <c r="J17" i="181" s="1"/>
  <c r="I15" i="181"/>
  <c r="J15" i="181" s="1"/>
  <c r="I13" i="181"/>
  <c r="J13" i="181" s="1"/>
  <c r="I9" i="181"/>
  <c r="J9" i="181" s="1"/>
  <c r="I8" i="181"/>
  <c r="J8" i="181" s="1"/>
  <c r="I7" i="181"/>
  <c r="J7" i="181" s="1"/>
  <c r="I6" i="181"/>
  <c r="J6" i="181" s="1"/>
  <c r="K36" i="181"/>
  <c r="F36" i="181"/>
  <c r="E36" i="18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I11" i="180"/>
  <c r="E18" i="180"/>
  <c r="D18" i="180"/>
  <c r="C18" i="180"/>
  <c r="I3" i="180"/>
  <c r="H3" i="180"/>
  <c r="B3" i="180"/>
  <c r="B18" i="180"/>
  <c r="I136" i="242"/>
  <c r="J136" i="242" s="1"/>
  <c r="J134" i="242"/>
  <c r="J137" i="242"/>
  <c r="I107" i="242"/>
  <c r="J107" i="242"/>
  <c r="I108" i="242"/>
  <c r="J108" i="242" s="1"/>
  <c r="I109" i="242"/>
  <c r="J109" i="242"/>
  <c r="I101" i="242"/>
  <c r="J101" i="242"/>
  <c r="I11" i="242"/>
  <c r="J11" i="242" s="1"/>
  <c r="I12" i="242"/>
  <c r="J12" i="242"/>
  <c r="I14" i="242"/>
  <c r="J14" i="242"/>
  <c r="I15" i="242"/>
  <c r="J15" i="242" s="1"/>
  <c r="I16" i="242"/>
  <c r="J16" i="242"/>
  <c r="I28" i="242"/>
  <c r="J28" i="242"/>
  <c r="I37" i="242"/>
  <c r="J37" i="242" s="1"/>
  <c r="I70" i="242"/>
  <c r="J70" i="242"/>
  <c r="I71" i="242"/>
  <c r="J71" i="242"/>
  <c r="I72" i="242"/>
  <c r="J72" i="242"/>
  <c r="I73" i="242"/>
  <c r="J73" i="242"/>
  <c r="J74" i="242"/>
  <c r="I149" i="242"/>
  <c r="J149" i="242" s="1"/>
  <c r="I146" i="242"/>
  <c r="J146" i="242"/>
  <c r="I139" i="242"/>
  <c r="J139" i="242"/>
  <c r="I133" i="242"/>
  <c r="J133" i="242"/>
  <c r="I132" i="242"/>
  <c r="J132" i="242"/>
  <c r="I131" i="242"/>
  <c r="J131" i="242"/>
  <c r="I129" i="242"/>
  <c r="J129" i="242"/>
  <c r="I128" i="242"/>
  <c r="J128" i="242"/>
  <c r="I127" i="242"/>
  <c r="J127" i="242"/>
  <c r="I126" i="242"/>
  <c r="J126" i="242"/>
  <c r="I125" i="242"/>
  <c r="J125" i="242"/>
  <c r="I124" i="242"/>
  <c r="J124" i="242"/>
  <c r="I123" i="242"/>
  <c r="J123" i="242"/>
  <c r="I119" i="242"/>
  <c r="J119" i="242" s="1"/>
  <c r="I102" i="242"/>
  <c r="J102" i="242" s="1"/>
  <c r="I100" i="242"/>
  <c r="J100" i="242" s="1"/>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F53" i="174"/>
  <c r="F13" i="174" s="1"/>
  <c r="E53" i="174"/>
  <c r="D53" i="174"/>
  <c r="D14" i="174"/>
  <c r="F52" i="174"/>
  <c r="D52" i="174"/>
  <c r="H51" i="174"/>
  <c r="H50" i="174"/>
  <c r="H11" i="174" s="1"/>
  <c r="G51" i="174"/>
  <c r="G50" i="174"/>
  <c r="F51" i="174"/>
  <c r="F50" i="174"/>
  <c r="E51" i="174"/>
  <c r="E50" i="174"/>
  <c r="D51" i="174"/>
  <c r="D11" i="174"/>
  <c r="D50" i="174"/>
  <c r="H48" i="174"/>
  <c r="G48" i="174"/>
  <c r="F48" i="174"/>
  <c r="F49" i="174"/>
  <c r="F10" i="174" s="1"/>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G61" i="270" s="1"/>
  <c r="F36" i="270"/>
  <c r="E36" i="270"/>
  <c r="E61" i="270" s="1"/>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s="1"/>
  <c r="K60" i="269"/>
  <c r="G60" i="269"/>
  <c r="H60" i="269"/>
  <c r="F60" i="269"/>
  <c r="E60" i="269"/>
  <c r="D60" i="269"/>
  <c r="C60" i="269"/>
  <c r="I59" i="269"/>
  <c r="J59" i="269"/>
  <c r="K58" i="269"/>
  <c r="G58" i="269"/>
  <c r="H58" i="269"/>
  <c r="F58" i="269"/>
  <c r="E58" i="269"/>
  <c r="D58" i="269"/>
  <c r="C58" i="269"/>
  <c r="I57" i="269"/>
  <c r="J57" i="269" s="1"/>
  <c r="K45" i="269"/>
  <c r="G45" i="269"/>
  <c r="F45" i="269"/>
  <c r="E45" i="269"/>
  <c r="E62" i="269" s="1"/>
  <c r="D45" i="269"/>
  <c r="C45" i="269"/>
  <c r="K36" i="269"/>
  <c r="G36" i="269"/>
  <c r="F36" i="269"/>
  <c r="F62" i="269" s="1"/>
  <c r="E36" i="269"/>
  <c r="D36" i="269"/>
  <c r="C36" i="269"/>
  <c r="K8" i="269"/>
  <c r="K17" i="269"/>
  <c r="K33" i="269" s="1"/>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83" i="318"/>
  <c r="H99" i="318"/>
  <c r="G30" i="318"/>
  <c r="G46" i="318"/>
  <c r="G83" i="318"/>
  <c r="G99" i="318"/>
  <c r="F30" i="318"/>
  <c r="F46" i="318"/>
  <c r="F83" i="318"/>
  <c r="F99" i="318"/>
  <c r="G14" i="318"/>
  <c r="G67" i="318"/>
  <c r="H14" i="318"/>
  <c r="H67" i="318"/>
  <c r="H102" i="318"/>
  <c r="K14" i="318"/>
  <c r="K15" i="318" s="1"/>
  <c r="K30" i="318"/>
  <c r="K31" i="318" s="1"/>
  <c r="K46" i="318"/>
  <c r="K47" i="318" s="1"/>
  <c r="K67" i="318"/>
  <c r="K83" i="318"/>
  <c r="K84" i="318"/>
  <c r="K99" i="318"/>
  <c r="K100" i="318"/>
  <c r="E14" i="318"/>
  <c r="E15" i="318" s="1"/>
  <c r="E30" i="318"/>
  <c r="E46" i="318"/>
  <c r="E67" i="318"/>
  <c r="E68" i="318"/>
  <c r="E83" i="318"/>
  <c r="E84" i="318" s="1"/>
  <c r="E99" i="318"/>
  <c r="E100" i="318" s="1"/>
  <c r="D14" i="318"/>
  <c r="D15" i="318"/>
  <c r="D30" i="318"/>
  <c r="D31" i="318"/>
  <c r="D46" i="318"/>
  <c r="D47" i="318"/>
  <c r="D67" i="318"/>
  <c r="D68" i="318"/>
  <c r="D83" i="318"/>
  <c r="D84" i="318" s="1"/>
  <c r="D99" i="318"/>
  <c r="D106" i="318" s="1"/>
  <c r="D100" i="318"/>
  <c r="C83" i="318"/>
  <c r="C14" i="318"/>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s="1"/>
  <c r="I28" i="318"/>
  <c r="J28" i="318" s="1"/>
  <c r="I27" i="318"/>
  <c r="J27" i="318" s="1"/>
  <c r="I26" i="318"/>
  <c r="J26" i="318" s="1"/>
  <c r="I21" i="318"/>
  <c r="J21" i="318" s="1"/>
  <c r="I20" i="318"/>
  <c r="J20" i="318" s="1"/>
  <c r="I19" i="318"/>
  <c r="J19"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J11" i="180"/>
  <c r="I24" i="267"/>
  <c r="I16" i="272"/>
  <c r="J16" i="272"/>
  <c r="F9" i="241"/>
  <c r="G45" i="241"/>
  <c r="I45" i="241" s="1"/>
  <c r="J45" i="241" s="1"/>
  <c r="K21" i="241"/>
  <c r="D21" i="241"/>
  <c r="F65" i="317"/>
  <c r="B79" i="100"/>
  <c r="B96" i="100"/>
  <c r="A1" i="242" s="1"/>
  <c r="B97" i="100"/>
  <c r="I83" i="323"/>
  <c r="J83" i="323"/>
  <c r="I61" i="323"/>
  <c r="J61" i="323" s="1"/>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G6" i="272"/>
  <c r="D7" i="272"/>
  <c r="E39" i="177"/>
  <c r="E41" i="177" s="1"/>
  <c r="D46" i="267" s="1"/>
  <c r="A83" i="323"/>
  <c r="A127" i="323"/>
  <c r="A33" i="268"/>
  <c r="A29" i="268"/>
  <c r="A25" i="268"/>
  <c r="K7" i="241"/>
  <c r="G19" i="241"/>
  <c r="B81" i="100"/>
  <c r="A31" i="268"/>
  <c r="A61" i="323"/>
  <c r="A27" i="268"/>
  <c r="A35" i="324"/>
  <c r="B4" i="100"/>
  <c r="B103" i="100"/>
  <c r="A26" i="172"/>
  <c r="F8" i="334"/>
  <c r="G9" i="334"/>
  <c r="F25" i="334"/>
  <c r="G25" i="334"/>
  <c r="F41" i="334"/>
  <c r="G45" i="334"/>
  <c r="F22" i="334"/>
  <c r="B61" i="100"/>
  <c r="A1" i="318" s="1"/>
  <c r="I16" i="183"/>
  <c r="J16" i="183"/>
  <c r="J15" i="180"/>
  <c r="B37" i="172"/>
  <c r="C28" i="272"/>
  <c r="D17" i="272"/>
  <c r="I72" i="323"/>
  <c r="J72" i="323"/>
  <c r="C31" i="183"/>
  <c r="F45" i="267"/>
  <c r="H15" i="272"/>
  <c r="I105" i="323"/>
  <c r="J105" i="323"/>
  <c r="J29" i="267"/>
  <c r="J33" i="267"/>
  <c r="B100" i="100"/>
  <c r="K117" i="326"/>
  <c r="J130" i="326"/>
  <c r="G110" i="335"/>
  <c r="I130" i="335"/>
  <c r="J130" i="335"/>
  <c r="G75" i="333"/>
  <c r="H110" i="333"/>
  <c r="E117" i="333"/>
  <c r="I163" i="333"/>
  <c r="J163" i="333"/>
  <c r="I69" i="333"/>
  <c r="J69" i="333"/>
  <c r="I111" i="333"/>
  <c r="J111" i="333"/>
  <c r="C117" i="333"/>
  <c r="I63" i="333"/>
  <c r="J63" i="333"/>
  <c r="F110" i="333"/>
  <c r="J160" i="333"/>
  <c r="I148" i="325"/>
  <c r="J148" i="325"/>
  <c r="J151" i="325"/>
  <c r="I13" i="325"/>
  <c r="J13" i="325"/>
  <c r="I160" i="325"/>
  <c r="J160" i="325"/>
  <c r="I163" i="325"/>
  <c r="J163" i="325"/>
  <c r="I69" i="325"/>
  <c r="J69" i="325"/>
  <c r="C75" i="325"/>
  <c r="I135" i="325"/>
  <c r="J135" i="325"/>
  <c r="I111" i="325"/>
  <c r="J111" i="325"/>
  <c r="C117" i="325"/>
  <c r="H110" i="325"/>
  <c r="D117" i="325"/>
  <c r="C7" i="325"/>
  <c r="I27" i="325"/>
  <c r="J27" i="325" s="1"/>
  <c r="F110" i="325"/>
  <c r="E110" i="325"/>
  <c r="D7" i="325"/>
  <c r="I63" i="325"/>
  <c r="J63" i="325"/>
  <c r="H117" i="325"/>
  <c r="I157" i="325"/>
  <c r="J157" i="325"/>
  <c r="I99" i="325"/>
  <c r="J99" i="325"/>
  <c r="F110" i="326"/>
  <c r="E110" i="326"/>
  <c r="J63" i="326"/>
  <c r="G75" i="326"/>
  <c r="I135" i="326"/>
  <c r="J135" i="326"/>
  <c r="I17" i="326"/>
  <c r="J17" i="326"/>
  <c r="I69" i="326"/>
  <c r="J69" i="326"/>
  <c r="I114" i="326"/>
  <c r="J114" i="326"/>
  <c r="I157" i="326"/>
  <c r="J157" i="326"/>
  <c r="I27" i="326"/>
  <c r="J27" i="326"/>
  <c r="C117" i="326"/>
  <c r="G117" i="326"/>
  <c r="I117" i="326"/>
  <c r="J117" i="326"/>
  <c r="I160" i="326"/>
  <c r="J160" i="326"/>
  <c r="I99" i="326"/>
  <c r="J99" i="326"/>
  <c r="H110" i="326"/>
  <c r="D117" i="326"/>
  <c r="H117" i="326"/>
  <c r="I148" i="326"/>
  <c r="J148" i="326"/>
  <c r="I13" i="326"/>
  <c r="J13" i="326"/>
  <c r="E7" i="326"/>
  <c r="J163" i="326"/>
  <c r="F7" i="326"/>
  <c r="F166" i="326" s="1"/>
  <c r="E117" i="326"/>
  <c r="J118" i="326"/>
  <c r="I140" i="326"/>
  <c r="J140" i="326"/>
  <c r="G7" i="326"/>
  <c r="I38" i="326"/>
  <c r="J38" i="326"/>
  <c r="E75" i="326"/>
  <c r="I151" i="326"/>
  <c r="J151" i="326" s="1"/>
  <c r="H138" i="326"/>
  <c r="I138" i="326"/>
  <c r="J138" i="326"/>
  <c r="I160" i="242"/>
  <c r="J160" i="242" s="1"/>
  <c r="C75" i="242"/>
  <c r="G75" i="242"/>
  <c r="G110" i="242"/>
  <c r="F110" i="242"/>
  <c r="E117" i="242"/>
  <c r="I99" i="242"/>
  <c r="J99" i="242" s="1"/>
  <c r="F75" i="242"/>
  <c r="G221" i="330"/>
  <c r="I24" i="330"/>
  <c r="J24" i="330"/>
  <c r="K34" i="241"/>
  <c r="C7" i="241"/>
  <c r="C6" i="241"/>
  <c r="C26" i="241"/>
  <c r="I100" i="330"/>
  <c r="J100" i="330" s="1"/>
  <c r="D197" i="330"/>
  <c r="D11" i="241"/>
  <c r="C21" i="241"/>
  <c r="I226" i="330"/>
  <c r="J226" i="330" s="1"/>
  <c r="G9" i="241"/>
  <c r="I9" i="241"/>
  <c r="J9" i="241"/>
  <c r="E75" i="330"/>
  <c r="E6" i="330"/>
  <c r="E8" i="241"/>
  <c r="D6" i="330"/>
  <c r="C53" i="182"/>
  <c r="D28" i="174"/>
  <c r="D11" i="267"/>
  <c r="I114" i="242"/>
  <c r="J114" i="242" s="1"/>
  <c r="D36" i="241"/>
  <c r="I53" i="325"/>
  <c r="J53" i="325"/>
  <c r="C221" i="330"/>
  <c r="C197" i="330"/>
  <c r="C128" i="330"/>
  <c r="C99" i="330"/>
  <c r="C75" i="330"/>
  <c r="C125" i="330"/>
  <c r="C10" i="241"/>
  <c r="F102" i="318"/>
  <c r="J12" i="180"/>
  <c r="I12" i="180"/>
  <c r="H12" i="180"/>
  <c r="B34" i="172"/>
  <c r="D39" i="174"/>
  <c r="O52" i="317"/>
  <c r="O54" i="317"/>
  <c r="O56" i="317"/>
  <c r="P55" i="317"/>
  <c r="P56" i="317"/>
  <c r="Q55" i="317"/>
  <c r="Q56" i="317"/>
  <c r="D31" i="183"/>
  <c r="E7" i="272"/>
  <c r="G8" i="334"/>
  <c r="C49" i="318"/>
  <c r="C104" i="318"/>
  <c r="G65" i="317"/>
  <c r="G52" i="317"/>
  <c r="F38" i="334"/>
  <c r="G38" i="334"/>
  <c r="G39" i="334"/>
  <c r="H9" i="180"/>
  <c r="C6" i="272"/>
  <c r="C36" i="267"/>
  <c r="E52" i="174"/>
  <c r="E49" i="174"/>
  <c r="E10" i="174"/>
  <c r="G25" i="272"/>
  <c r="H35" i="272"/>
  <c r="I295" i="323"/>
  <c r="J295" i="323"/>
  <c r="H52" i="317"/>
  <c r="H54" i="317"/>
  <c r="H66" i="317"/>
  <c r="H65" i="317"/>
  <c r="D13" i="174"/>
  <c r="A20" i="268"/>
  <c r="A160" i="323"/>
  <c r="A38" i="272"/>
  <c r="A303" i="324"/>
  <c r="A38" i="268"/>
  <c r="A328" i="323"/>
  <c r="G18" i="334"/>
  <c r="G117" i="335"/>
  <c r="I117" i="335"/>
  <c r="J117" i="335"/>
  <c r="I118" i="335"/>
  <c r="J118" i="335"/>
  <c r="P65" i="317"/>
  <c r="P52" i="317"/>
  <c r="P54" i="317"/>
  <c r="D102" i="318"/>
  <c r="D104" i="318" s="1"/>
  <c r="D105" i="318" s="1"/>
  <c r="H14" i="272"/>
  <c r="D45" i="174"/>
  <c r="D7" i="174"/>
  <c r="B18" i="267"/>
  <c r="B19" i="267"/>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D221" i="330"/>
  <c r="I13" i="242"/>
  <c r="J13" i="242"/>
  <c r="B3" i="100"/>
  <c r="A39" i="323"/>
  <c r="B98" i="100"/>
  <c r="A149" i="324"/>
  <c r="A28" i="268"/>
  <c r="A13" i="268"/>
  <c r="A6" i="268"/>
  <c r="A7" i="324"/>
  <c r="A32" i="272"/>
  <c r="A9" i="272"/>
  <c r="A138" i="323"/>
  <c r="A50" i="323"/>
  <c r="B77" i="100"/>
  <c r="B93" i="100"/>
  <c r="I83" i="318"/>
  <c r="J83" i="318"/>
  <c r="E31" i="183"/>
  <c r="C63" i="268"/>
  <c r="C29" i="267"/>
  <c r="C33" i="267"/>
  <c r="D18" i="267"/>
  <c r="C6" i="330"/>
  <c r="G34" i="272"/>
  <c r="I251" i="323"/>
  <c r="J251" i="323"/>
  <c r="A35" i="268"/>
  <c r="A35" i="272"/>
  <c r="A270" i="324"/>
  <c r="A14" i="268"/>
  <c r="A24" i="268"/>
  <c r="E28" i="334"/>
  <c r="E49" i="334"/>
  <c r="G46" i="334"/>
  <c r="C7" i="335"/>
  <c r="C166" i="335"/>
  <c r="C110" i="325"/>
  <c r="C166" i="325"/>
  <c r="I114" i="325"/>
  <c r="J114" i="325"/>
  <c r="I140" i="325"/>
  <c r="J140" i="325"/>
  <c r="I135" i="335"/>
  <c r="J135" i="335"/>
  <c r="G31" i="334"/>
  <c r="I75" i="326"/>
  <c r="J75" i="326"/>
  <c r="C29" i="241"/>
  <c r="C49" i="241"/>
  <c r="C50" i="241"/>
  <c r="C26" i="330"/>
  <c r="C16" i="241"/>
  <c r="C148" i="330"/>
  <c r="C247" i="330"/>
  <c r="C257" i="330"/>
  <c r="C39" i="241"/>
  <c r="C20" i="241"/>
  <c r="I7" i="330"/>
  <c r="J7" i="330" s="1"/>
  <c r="C43" i="241"/>
  <c r="C33" i="241"/>
  <c r="D30" i="241"/>
  <c r="D29" i="241"/>
  <c r="D128" i="330"/>
  <c r="P66" i="317"/>
  <c r="K68" i="318"/>
  <c r="G102" i="318"/>
  <c r="I67" i="318"/>
  <c r="J67" i="318"/>
  <c r="I29" i="183"/>
  <c r="I31" i="183"/>
  <c r="G31" i="183"/>
  <c r="D2" i="269"/>
  <c r="D2" i="326"/>
  <c r="I65" i="317"/>
  <c r="G22" i="334"/>
  <c r="C54" i="317"/>
  <c r="C56" i="317"/>
  <c r="D55" i="317"/>
  <c r="D56" i="317"/>
  <c r="E55" i="317"/>
  <c r="L52" i="317"/>
  <c r="L54" i="317"/>
  <c r="L66" i="317"/>
  <c r="L65" i="317"/>
  <c r="D2" i="270"/>
  <c r="D2" i="241"/>
  <c r="D2" i="183"/>
  <c r="D2" i="330"/>
  <c r="C2" i="317"/>
  <c r="D2" i="177"/>
  <c r="E47" i="318"/>
  <c r="F39" i="174"/>
  <c r="E43" i="178"/>
  <c r="E54" i="178" s="1"/>
  <c r="J65" i="317"/>
  <c r="G18" i="272"/>
  <c r="H20" i="272"/>
  <c r="H41" i="241"/>
  <c r="I116" i="323"/>
  <c r="J116" i="323"/>
  <c r="A196" i="323"/>
  <c r="A8" i="268"/>
  <c r="B33" i="267"/>
  <c r="F14" i="174"/>
  <c r="A12" i="268"/>
  <c r="A240" i="323"/>
  <c r="G110" i="325"/>
  <c r="D110" i="333"/>
  <c r="C7" i="326"/>
  <c r="F75" i="325"/>
  <c r="I138" i="325"/>
  <c r="J138" i="325"/>
  <c r="G75" i="325"/>
  <c r="O22" i="238"/>
  <c r="I148" i="335"/>
  <c r="J148" i="335" s="1"/>
  <c r="I102" i="318"/>
  <c r="J102" i="318"/>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I99" i="318"/>
  <c r="J99" i="318"/>
  <c r="H34" i="272"/>
  <c r="I34" i="272"/>
  <c r="J34" i="272"/>
  <c r="F31" i="241"/>
  <c r="I110" i="325"/>
  <c r="J110" i="325"/>
  <c r="C49" i="334"/>
  <c r="G36" i="272"/>
  <c r="I306" i="323"/>
  <c r="J306" i="323"/>
  <c r="G41" i="334"/>
  <c r="F47" i="334"/>
  <c r="G47" i="334"/>
  <c r="F7" i="174"/>
  <c r="B20" i="267"/>
  <c r="B23" i="267"/>
  <c r="B25" i="267"/>
  <c r="E166" i="326"/>
  <c r="E12" i="272"/>
  <c r="D2" i="242"/>
  <c r="C77" i="172"/>
  <c r="D2" i="323"/>
  <c r="C2" i="267"/>
  <c r="D2" i="333"/>
  <c r="F16" i="334"/>
  <c r="K52" i="317"/>
  <c r="K65" i="317"/>
  <c r="E49" i="318"/>
  <c r="E50" i="318" s="1"/>
  <c r="F31" i="183"/>
  <c r="C47" i="334"/>
  <c r="I38" i="272"/>
  <c r="J38" i="272"/>
  <c r="K7" i="333"/>
  <c r="E75" i="325"/>
  <c r="I114" i="333"/>
  <c r="J114" i="333"/>
  <c r="G110" i="333"/>
  <c r="I110" i="333"/>
  <c r="J110" i="333"/>
  <c r="E110" i="335"/>
  <c r="C110" i="333"/>
  <c r="C166" i="333"/>
  <c r="F117" i="333"/>
  <c r="G138" i="335"/>
  <c r="E7" i="335"/>
  <c r="G16" i="334"/>
  <c r="F28" i="334"/>
  <c r="F49" i="334"/>
  <c r="G49" i="334"/>
  <c r="G28" i="334"/>
  <c r="I37" i="272"/>
  <c r="J37" i="272"/>
  <c r="I273" i="323"/>
  <c r="J273" i="323"/>
  <c r="D339" i="323"/>
  <c r="C339" i="323"/>
  <c r="W340" i="323"/>
  <c r="C25" i="272"/>
  <c r="C39" i="272"/>
  <c r="P340" i="323"/>
  <c r="R340" i="323"/>
  <c r="T340" i="323"/>
  <c r="L340" i="323"/>
  <c r="O340" i="323"/>
  <c r="G20" i="272"/>
  <c r="I20" i="272"/>
  <c r="J20" i="272"/>
  <c r="H19" i="272"/>
  <c r="I19" i="272"/>
  <c r="J19" i="272"/>
  <c r="H18" i="272"/>
  <c r="I18" i="272"/>
  <c r="J18" i="272"/>
  <c r="C21" i="272"/>
  <c r="C171" i="323"/>
  <c r="C341" i="323"/>
  <c r="A218" i="323"/>
  <c r="A28" i="272"/>
  <c r="A10" i="272"/>
  <c r="A10" i="268"/>
  <c r="D39" i="272"/>
  <c r="D171" i="323"/>
  <c r="D8" i="272"/>
  <c r="D38" i="241"/>
  <c r="D99" i="330"/>
  <c r="D16" i="241"/>
  <c r="D15" i="241"/>
  <c r="D6" i="241"/>
  <c r="C40" i="272"/>
  <c r="G54" i="317"/>
  <c r="G66" i="317"/>
  <c r="M54" i="317"/>
  <c r="M66" i="317"/>
  <c r="O66" i="317"/>
  <c r="D38" i="181"/>
  <c r="D42" i="181"/>
  <c r="D44" i="181"/>
  <c r="D75" i="333"/>
  <c r="I57" i="270"/>
  <c r="J57" i="270"/>
  <c r="D26" i="178"/>
  <c r="D43" i="178" s="1"/>
  <c r="D54" i="178" s="1"/>
  <c r="E13" i="174"/>
  <c r="J38" i="267"/>
  <c r="G41" i="178"/>
  <c r="D41" i="178"/>
  <c r="E14" i="174"/>
  <c r="C37" i="267"/>
  <c r="E39" i="174"/>
  <c r="I123" i="324"/>
  <c r="J123" i="324"/>
  <c r="I79" i="324"/>
  <c r="J79" i="324"/>
  <c r="I112" i="324"/>
  <c r="J112" i="324"/>
  <c r="I57" i="324"/>
  <c r="J57" i="324"/>
  <c r="I46" i="324"/>
  <c r="J46" i="324"/>
  <c r="I101" i="324"/>
  <c r="J101" i="324"/>
  <c r="I68" i="324"/>
  <c r="J68" i="324"/>
  <c r="D145" i="324"/>
  <c r="G25" i="268"/>
  <c r="I18" i="268"/>
  <c r="J18" i="268"/>
  <c r="M315" i="324"/>
  <c r="O315" i="324"/>
  <c r="I12" i="268"/>
  <c r="J12" i="268"/>
  <c r="I14" i="268"/>
  <c r="J14" i="268"/>
  <c r="L315" i="324"/>
  <c r="N315" i="324"/>
  <c r="P315" i="324"/>
  <c r="R315" i="324"/>
  <c r="Q315" i="324"/>
  <c r="W315" i="324"/>
  <c r="I13" i="268"/>
  <c r="J13" i="268"/>
  <c r="H29" i="324"/>
  <c r="H10" i="268" s="1"/>
  <c r="I10" i="268" s="1"/>
  <c r="J10" i="268" s="1"/>
  <c r="V315" i="324"/>
  <c r="I226" i="324"/>
  <c r="J226" i="324"/>
  <c r="K145" i="324"/>
  <c r="S315" i="324"/>
  <c r="C21" i="268"/>
  <c r="D21" i="268"/>
  <c r="H18" i="324"/>
  <c r="H8" i="268" s="1"/>
  <c r="H19" i="268"/>
  <c r="I19" i="268"/>
  <c r="J19" i="268"/>
  <c r="I281" i="324"/>
  <c r="I17" i="268"/>
  <c r="J17" i="268"/>
  <c r="C314" i="324"/>
  <c r="T315" i="324"/>
  <c r="D39" i="268"/>
  <c r="U315" i="324"/>
  <c r="H34" i="268"/>
  <c r="I259" i="324"/>
  <c r="C39" i="268"/>
  <c r="H27" i="268"/>
  <c r="I182" i="324"/>
  <c r="D314" i="324"/>
  <c r="C145" i="324"/>
  <c r="G16" i="268"/>
  <c r="I16" i="268"/>
  <c r="J16" i="268"/>
  <c r="G30" i="268"/>
  <c r="I215" i="324"/>
  <c r="H35" i="268"/>
  <c r="I270" i="324"/>
  <c r="H15" i="268"/>
  <c r="I15" i="268"/>
  <c r="J15" i="268"/>
  <c r="H7" i="324"/>
  <c r="H6" i="268" s="1"/>
  <c r="H12" i="324"/>
  <c r="I14" i="324"/>
  <c r="J14" i="324" s="1"/>
  <c r="H32" i="268"/>
  <c r="I237" i="324"/>
  <c r="H37" i="268"/>
  <c r="I292" i="324"/>
  <c r="F6" i="268"/>
  <c r="G10" i="268"/>
  <c r="G20" i="268"/>
  <c r="I20" i="268"/>
  <c r="J20" i="268"/>
  <c r="G24" i="268"/>
  <c r="I149" i="324"/>
  <c r="G33" i="268"/>
  <c r="I248" i="324"/>
  <c r="G38" i="268"/>
  <c r="I303" i="324"/>
  <c r="H23" i="324"/>
  <c r="H9" i="268" s="1"/>
  <c r="I9" i="268" s="1"/>
  <c r="J9" i="268" s="1"/>
  <c r="H8" i="269"/>
  <c r="E66" i="317"/>
  <c r="E56" i="317"/>
  <c r="F55" i="317"/>
  <c r="F56" i="317"/>
  <c r="G55" i="317"/>
  <c r="G56" i="317"/>
  <c r="H55" i="317"/>
  <c r="H56" i="317"/>
  <c r="I55" i="317"/>
  <c r="I56" i="317"/>
  <c r="J55" i="317"/>
  <c r="J56" i="317"/>
  <c r="K55" i="317"/>
  <c r="K56" i="317"/>
  <c r="L55" i="317"/>
  <c r="L56" i="317"/>
  <c r="M55" i="317"/>
  <c r="M56" i="317"/>
  <c r="N55" i="317"/>
  <c r="I66" i="317"/>
  <c r="K66" i="317"/>
  <c r="N21" i="317"/>
  <c r="K102" i="318"/>
  <c r="D49" i="318"/>
  <c r="D50" i="318"/>
  <c r="H140" i="333"/>
  <c r="H138" i="333" s="1"/>
  <c r="I100" i="333"/>
  <c r="J100" i="333" s="1"/>
  <c r="I28" i="333"/>
  <c r="J28" i="333"/>
  <c r="I19" i="333"/>
  <c r="J19" i="333" s="1"/>
  <c r="I114" i="335"/>
  <c r="J114" i="335"/>
  <c r="H110" i="335"/>
  <c r="I110" i="335"/>
  <c r="J110" i="335"/>
  <c r="I115" i="335"/>
  <c r="J115" i="335"/>
  <c r="H103" i="335"/>
  <c r="H76" i="335"/>
  <c r="H75" i="335" s="1"/>
  <c r="I55" i="335"/>
  <c r="J55" i="335"/>
  <c r="I41" i="335"/>
  <c r="J41" i="335" s="1"/>
  <c r="I21" i="335"/>
  <c r="J21" i="335"/>
  <c r="H35" i="324"/>
  <c r="I27" i="324"/>
  <c r="J27" i="324" s="1"/>
  <c r="I45" i="268"/>
  <c r="J45" i="268" s="1"/>
  <c r="H235" i="330"/>
  <c r="I235" i="330" s="1"/>
  <c r="J235" i="330" s="1"/>
  <c r="I230" i="330"/>
  <c r="J230" i="330" s="1"/>
  <c r="I223" i="330"/>
  <c r="J223" i="330" s="1"/>
  <c r="H214" i="330"/>
  <c r="H42" i="241" s="1"/>
  <c r="H198" i="330"/>
  <c r="H40" i="241" s="1"/>
  <c r="I179" i="330"/>
  <c r="J179" i="330" s="1"/>
  <c r="H171" i="330"/>
  <c r="I171" i="330" s="1"/>
  <c r="J171" i="330" s="1"/>
  <c r="H132" i="330"/>
  <c r="H31" i="241" s="1"/>
  <c r="H118" i="330"/>
  <c r="H25" i="241" s="1"/>
  <c r="I88" i="330"/>
  <c r="J88" i="330" s="1"/>
  <c r="H7" i="268"/>
  <c r="C316" i="324"/>
  <c r="C40" i="268"/>
  <c r="B28" i="267"/>
  <c r="D316" i="324"/>
  <c r="I31" i="268"/>
  <c r="J31" i="268"/>
  <c r="D40" i="268"/>
  <c r="J281" i="324"/>
  <c r="I36" i="268"/>
  <c r="J36" i="268"/>
  <c r="I38" i="268"/>
  <c r="J38" i="268"/>
  <c r="J303" i="324"/>
  <c r="J149" i="324"/>
  <c r="I24" i="268"/>
  <c r="J24" i="268" s="1"/>
  <c r="J182" i="324"/>
  <c r="I27" i="268"/>
  <c r="J27" i="268" s="1"/>
  <c r="I30" i="268"/>
  <c r="J30" i="268"/>
  <c r="J215" i="324"/>
  <c r="J248" i="324"/>
  <c r="I33" i="268"/>
  <c r="J33" i="268"/>
  <c r="I32" i="268"/>
  <c r="J32" i="268"/>
  <c r="J237" i="324"/>
  <c r="J292" i="324"/>
  <c r="I37" i="268"/>
  <c r="J37" i="268"/>
  <c r="I35" i="268"/>
  <c r="J35" i="268"/>
  <c r="J270" i="324"/>
  <c r="I34" i="268"/>
  <c r="J34" i="268"/>
  <c r="J259" i="324"/>
  <c r="H35" i="241"/>
  <c r="D86" i="268"/>
  <c r="E46" i="174"/>
  <c r="E8" i="174"/>
  <c r="C86" i="268"/>
  <c r="D46" i="174"/>
  <c r="D8" i="174"/>
  <c r="C28" i="267"/>
  <c r="F8" i="241"/>
  <c r="F6" i="241" s="1"/>
  <c r="H45" i="335"/>
  <c r="I45" i="335" s="1"/>
  <c r="J45" i="335" s="1"/>
  <c r="H27" i="335"/>
  <c r="I27" i="335" s="1"/>
  <c r="J27" i="335" s="1"/>
  <c r="I17" i="335"/>
  <c r="J17" i="335" s="1"/>
  <c r="D7" i="335"/>
  <c r="D166" i="335"/>
  <c r="I149" i="333"/>
  <c r="J149" i="333" s="1"/>
  <c r="H118" i="333"/>
  <c r="H117" i="333" s="1"/>
  <c r="H99" i="333"/>
  <c r="I99" i="333" s="1"/>
  <c r="J99" i="333" s="1"/>
  <c r="H76" i="333"/>
  <c r="D7" i="333"/>
  <c r="D166" i="333"/>
  <c r="H8" i="333"/>
  <c r="H7" i="333" s="1"/>
  <c r="H103" i="325"/>
  <c r="I103" i="325" s="1"/>
  <c r="J103" i="325" s="1"/>
  <c r="D166" i="325"/>
  <c r="D166" i="326"/>
  <c r="I8" i="326"/>
  <c r="J8" i="326" s="1"/>
  <c r="I9" i="326"/>
  <c r="J9" i="326" s="1"/>
  <c r="H140" i="242"/>
  <c r="H138" i="242" s="1"/>
  <c r="I144" i="242"/>
  <c r="J144" i="242" s="1"/>
  <c r="G9" i="180"/>
  <c r="C30" i="172"/>
  <c r="C29" i="172"/>
  <c r="J6" i="180"/>
  <c r="N33" i="317"/>
  <c r="N52" i="317"/>
  <c r="N54" i="317"/>
  <c r="N65" i="317"/>
  <c r="I58" i="269"/>
  <c r="J58" i="269"/>
  <c r="D62" i="269"/>
  <c r="I31" i="269"/>
  <c r="J31" i="269"/>
  <c r="D33" i="269"/>
  <c r="I29" i="269"/>
  <c r="J29" i="269"/>
  <c r="C62" i="269"/>
  <c r="E33" i="269"/>
  <c r="I60" i="269"/>
  <c r="J60" i="269" s="1"/>
  <c r="C33" i="269"/>
  <c r="J37" i="269"/>
  <c r="I59" i="270"/>
  <c r="J59" i="270"/>
  <c r="I31" i="270"/>
  <c r="J31" i="270"/>
  <c r="I29" i="270"/>
  <c r="J29" i="270"/>
  <c r="C33" i="270"/>
  <c r="A31" i="334"/>
  <c r="F61" i="270"/>
  <c r="C61" i="270"/>
  <c r="A60" i="269"/>
  <c r="D61" i="270"/>
  <c r="A58" i="269"/>
  <c r="E33" i="270"/>
  <c r="I37" i="270"/>
  <c r="J37" i="270" s="1"/>
  <c r="D33" i="270"/>
  <c r="H8" i="270"/>
  <c r="A45" i="269"/>
  <c r="C43" i="267"/>
  <c r="E45" i="174"/>
  <c r="E7" i="174"/>
  <c r="I33" i="182"/>
  <c r="J33" i="182" s="1"/>
  <c r="C20" i="267"/>
  <c r="C23" i="267"/>
  <c r="C25" i="267"/>
  <c r="H22" i="181"/>
  <c r="I22" i="181" s="1"/>
  <c r="J22" i="181" s="1"/>
  <c r="G10" i="267"/>
  <c r="E55" i="174"/>
  <c r="D38" i="182"/>
  <c r="D42" i="182"/>
  <c r="D44" i="182"/>
  <c r="D46" i="182"/>
  <c r="D48" i="182"/>
  <c r="E11" i="174"/>
  <c r="D341" i="323"/>
  <c r="D21" i="272"/>
  <c r="D40" i="272"/>
  <c r="K99" i="330"/>
  <c r="D247" i="330"/>
  <c r="D257" i="330"/>
  <c r="D33" i="241"/>
  <c r="D49" i="241"/>
  <c r="H149" i="330"/>
  <c r="D20" i="241"/>
  <c r="H18" i="241"/>
  <c r="I60" i="330"/>
  <c r="J60" i="330" s="1"/>
  <c r="D10" i="241"/>
  <c r="D26" i="241"/>
  <c r="H49" i="330"/>
  <c r="H12" i="241" s="1"/>
  <c r="D26" i="330"/>
  <c r="D125" i="330"/>
  <c r="H7" i="241"/>
  <c r="I7" i="241" s="1"/>
  <c r="J7" i="241" s="1"/>
  <c r="A1" i="330"/>
  <c r="A1" i="331"/>
  <c r="A1" i="324"/>
  <c r="A1" i="173"/>
  <c r="B4" i="331"/>
  <c r="B8" i="331"/>
  <c r="A1" i="241"/>
  <c r="A1" i="328"/>
  <c r="A1" i="267"/>
  <c r="A1" i="183"/>
  <c r="I157" i="335"/>
  <c r="J157" i="335" s="1"/>
  <c r="H8" i="180"/>
  <c r="I8" i="180" s="1"/>
  <c r="H6" i="180"/>
  <c r="I6" i="180"/>
  <c r="F7" i="268"/>
  <c r="C31" i="172"/>
  <c r="G10" i="180"/>
  <c r="N56" i="317"/>
  <c r="N66" i="317"/>
  <c r="C64" i="269"/>
  <c r="D64" i="269"/>
  <c r="C63" i="270"/>
  <c r="D63" i="270"/>
  <c r="E17" i="174"/>
  <c r="E26" i="174"/>
  <c r="E28" i="174"/>
  <c r="E27" i="174"/>
  <c r="D50" i="241"/>
  <c r="D256" i="330"/>
  <c r="D248" i="330"/>
  <c r="C32" i="172"/>
  <c r="G11" i="180"/>
  <c r="C33" i="172"/>
  <c r="G12" i="180"/>
  <c r="C34" i="172"/>
  <c r="G13" i="180"/>
  <c r="G14" i="180"/>
  <c r="C35" i="172"/>
  <c r="G15" i="180"/>
  <c r="C36" i="172"/>
  <c r="G16" i="180"/>
  <c r="C37" i="172"/>
  <c r="G17" i="180"/>
  <c r="C39" i="172"/>
  <c r="C38" i="172"/>
  <c r="G52" i="174"/>
  <c r="H76" i="325"/>
  <c r="I76" i="325" s="1"/>
  <c r="J76" i="325" s="1"/>
  <c r="I77" i="242"/>
  <c r="J77" i="242" s="1"/>
  <c r="H46" i="318"/>
  <c r="I18" i="318"/>
  <c r="J18" i="318" s="1"/>
  <c r="I46" i="269"/>
  <c r="J46" i="269" s="1"/>
  <c r="J38" i="269"/>
  <c r="I39" i="269"/>
  <c r="J39" i="269" s="1"/>
  <c r="J19" i="269"/>
  <c r="I51" i="270"/>
  <c r="J51" i="270" s="1"/>
  <c r="J39" i="270"/>
  <c r="H36" i="270"/>
  <c r="H17" i="270"/>
  <c r="I173" i="324"/>
  <c r="J173" i="324" s="1"/>
  <c r="I29" i="324"/>
  <c r="J29" i="324" s="1"/>
  <c r="I7" i="324"/>
  <c r="J7" i="324" s="1"/>
  <c r="I30" i="182"/>
  <c r="J30" i="182" s="1"/>
  <c r="G16" i="267"/>
  <c r="H16" i="267" s="1"/>
  <c r="I16" i="267" s="1"/>
  <c r="I207" i="323"/>
  <c r="J207" i="323" s="1"/>
  <c r="H27" i="272"/>
  <c r="I208" i="323"/>
  <c r="J208" i="323" s="1"/>
  <c r="H10" i="272"/>
  <c r="H39" i="323"/>
  <c r="I39" i="323" s="1"/>
  <c r="J39" i="323" s="1"/>
  <c r="I241" i="330"/>
  <c r="J241" i="330" s="1"/>
  <c r="H189" i="330"/>
  <c r="H38" i="241" s="1"/>
  <c r="H177" i="330"/>
  <c r="H32" i="241"/>
  <c r="I92" i="330"/>
  <c r="J92" i="330" s="1"/>
  <c r="I76" i="330"/>
  <c r="J76" i="330" s="1"/>
  <c r="H75" i="330"/>
  <c r="H17" i="241"/>
  <c r="I81" i="330"/>
  <c r="J81" i="330" s="1"/>
  <c r="H13" i="241"/>
  <c r="I58" i="330"/>
  <c r="J58" i="330" s="1"/>
  <c r="I31" i="330"/>
  <c r="J31" i="330" s="1"/>
  <c r="H10" i="330"/>
  <c r="H6" i="330" s="1"/>
  <c r="A1" i="175"/>
  <c r="A1" i="251"/>
  <c r="A1" i="323"/>
  <c r="A1" i="177"/>
  <c r="A1" i="268"/>
  <c r="H36" i="241"/>
  <c r="H70" i="268"/>
  <c r="G29" i="267" s="1"/>
  <c r="I59" i="268"/>
  <c r="J59" i="268" s="1"/>
  <c r="I54" i="268"/>
  <c r="J54" i="268" s="1"/>
  <c r="I49" i="268"/>
  <c r="J49" i="268" s="1"/>
  <c r="I36" i="270" l="1"/>
  <c r="I45" i="270"/>
  <c r="J45" i="270" s="1"/>
  <c r="F50" i="267"/>
  <c r="F7" i="333"/>
  <c r="F166" i="333" s="1"/>
  <c r="I9" i="180"/>
  <c r="I17" i="325"/>
  <c r="J17" i="325" s="1"/>
  <c r="I76" i="335"/>
  <c r="J76" i="335" s="1"/>
  <c r="I138" i="335"/>
  <c r="J138" i="335" s="1"/>
  <c r="F145" i="324"/>
  <c r="I12" i="324"/>
  <c r="J12" i="324" s="1"/>
  <c r="I6" i="268"/>
  <c r="J6" i="268" s="1"/>
  <c r="G6" i="330"/>
  <c r="I6" i="330" s="1"/>
  <c r="J6" i="330" s="1"/>
  <c r="I10" i="272"/>
  <c r="J10" i="272" s="1"/>
  <c r="H10" i="267"/>
  <c r="I10" i="267" s="1"/>
  <c r="K166" i="335"/>
  <c r="K75" i="333"/>
  <c r="K166" i="333" s="1"/>
  <c r="I154" i="333"/>
  <c r="J154" i="333" s="1"/>
  <c r="I17" i="333"/>
  <c r="J17" i="333" s="1"/>
  <c r="K7" i="325"/>
  <c r="K166" i="325" s="1"/>
  <c r="K166" i="326"/>
  <c r="H117" i="242"/>
  <c r="K38" i="181"/>
  <c r="K42" i="181" s="1"/>
  <c r="K44" i="181" s="1"/>
  <c r="K106" i="318"/>
  <c r="K49" i="318"/>
  <c r="K50" i="318" s="1"/>
  <c r="K62" i="269"/>
  <c r="K64" i="269" s="1"/>
  <c r="I36" i="269"/>
  <c r="J36" i="269" s="1"/>
  <c r="K61" i="270"/>
  <c r="K63" i="270" s="1"/>
  <c r="K33" i="270"/>
  <c r="K39" i="177"/>
  <c r="K41" i="177" s="1"/>
  <c r="J46" i="267" s="1"/>
  <c r="H52" i="174"/>
  <c r="H13" i="174" s="1"/>
  <c r="H49" i="174"/>
  <c r="F11" i="174"/>
  <c r="H10" i="174"/>
  <c r="H14" i="174"/>
  <c r="G26" i="178"/>
  <c r="G43" i="178" s="1"/>
  <c r="G54" i="178" s="1"/>
  <c r="K39" i="268"/>
  <c r="K314" i="324"/>
  <c r="K316" i="324" s="1"/>
  <c r="K21" i="268"/>
  <c r="K63" i="268"/>
  <c r="J18" i="267"/>
  <c r="J19" i="267" s="1"/>
  <c r="K38" i="182"/>
  <c r="K42" i="182" s="1"/>
  <c r="K44" i="182" s="1"/>
  <c r="K46" i="182" s="1"/>
  <c r="K48" i="182" s="1"/>
  <c r="H45" i="174"/>
  <c r="H7" i="174" s="1"/>
  <c r="J11" i="267"/>
  <c r="J20" i="267" s="1"/>
  <c r="J23" i="267" s="1"/>
  <c r="J25" i="267" s="1"/>
  <c r="H55" i="174"/>
  <c r="H28" i="174" s="1"/>
  <c r="K53" i="182"/>
  <c r="K339" i="323"/>
  <c r="K39" i="272"/>
  <c r="K171" i="323"/>
  <c r="K21" i="272"/>
  <c r="K43" i="241"/>
  <c r="K39" i="241"/>
  <c r="K197" i="330"/>
  <c r="K148" i="330"/>
  <c r="K33" i="241"/>
  <c r="K128" i="330"/>
  <c r="K30" i="241"/>
  <c r="K29" i="241" s="1"/>
  <c r="K20" i="241"/>
  <c r="K75" i="330"/>
  <c r="K125" i="330" s="1"/>
  <c r="K16" i="241"/>
  <c r="K26" i="330"/>
  <c r="K12" i="241"/>
  <c r="K10" i="241" s="1"/>
  <c r="K8" i="241"/>
  <c r="K6" i="241" s="1"/>
  <c r="F26" i="178"/>
  <c r="G39" i="174" s="1"/>
  <c r="J26" i="175"/>
  <c r="J27" i="175" s="1"/>
  <c r="E26" i="175"/>
  <c r="E27" i="175" s="1"/>
  <c r="D50" i="267"/>
  <c r="I50" i="267"/>
  <c r="E166" i="335"/>
  <c r="E75" i="333"/>
  <c r="E166" i="333"/>
  <c r="E7" i="325"/>
  <c r="E166" i="325" s="1"/>
  <c r="E102" i="318"/>
  <c r="E106" i="318"/>
  <c r="E104" i="318"/>
  <c r="E105" i="318" s="1"/>
  <c r="E64" i="269"/>
  <c r="E63" i="270"/>
  <c r="E314" i="324"/>
  <c r="E316" i="324" s="1"/>
  <c r="E39" i="268"/>
  <c r="E8" i="268"/>
  <c r="E21" i="268"/>
  <c r="E63" i="268"/>
  <c r="D20" i="267"/>
  <c r="D23" i="267" s="1"/>
  <c r="D25" i="267" s="1"/>
  <c r="F28" i="174"/>
  <c r="F17" i="174"/>
  <c r="F26" i="174"/>
  <c r="E339" i="323"/>
  <c r="E39" i="272"/>
  <c r="E171" i="323"/>
  <c r="E341" i="323" s="1"/>
  <c r="E6" i="272"/>
  <c r="E21" i="272" s="1"/>
  <c r="E43" i="241"/>
  <c r="E42" i="241"/>
  <c r="E39" i="241"/>
  <c r="E33" i="241"/>
  <c r="E247" i="330"/>
  <c r="E257" i="330" s="1"/>
  <c r="E29" i="241"/>
  <c r="E99" i="330"/>
  <c r="E20" i="241"/>
  <c r="E16" i="241"/>
  <c r="E26" i="330"/>
  <c r="E125" i="330" s="1"/>
  <c r="E256" i="330" s="1"/>
  <c r="E10" i="241"/>
  <c r="E6" i="241"/>
  <c r="A1" i="272"/>
  <c r="A1" i="335"/>
  <c r="A1" i="181"/>
  <c r="I138" i="333"/>
  <c r="J138" i="333" s="1"/>
  <c r="H75" i="333"/>
  <c r="H166" i="333" s="1"/>
  <c r="I8" i="333"/>
  <c r="J8" i="333" s="1"/>
  <c r="H75" i="325"/>
  <c r="I75" i="325" s="1"/>
  <c r="J75" i="325" s="1"/>
  <c r="H7" i="325"/>
  <c r="I7" i="325" s="1"/>
  <c r="J7" i="325" s="1"/>
  <c r="I37" i="177"/>
  <c r="J37" i="177" s="1"/>
  <c r="I18" i="177"/>
  <c r="J18" i="177" s="1"/>
  <c r="I57" i="268"/>
  <c r="J57" i="268" s="1"/>
  <c r="H17" i="267"/>
  <c r="I17" i="267" s="1"/>
  <c r="H13" i="267"/>
  <c r="I13" i="267" s="1"/>
  <c r="H12" i="267"/>
  <c r="I12" i="267" s="1"/>
  <c r="H8" i="267"/>
  <c r="I8" i="267" s="1"/>
  <c r="H339" i="323"/>
  <c r="I185" i="323"/>
  <c r="J185" i="323" s="1"/>
  <c r="H24" i="272"/>
  <c r="H39" i="272" s="1"/>
  <c r="I129" i="330"/>
  <c r="J129" i="330" s="1"/>
  <c r="J14" i="180"/>
  <c r="H15" i="180"/>
  <c r="G74" i="268"/>
  <c r="H45" i="267"/>
  <c r="I45" i="267" s="1"/>
  <c r="F44" i="267"/>
  <c r="H44" i="267" s="1"/>
  <c r="I44" i="267" s="1"/>
  <c r="F39" i="177"/>
  <c r="H43" i="267"/>
  <c r="I43" i="267" s="1"/>
  <c r="G117" i="333"/>
  <c r="I117" i="333" s="1"/>
  <c r="J117" i="333" s="1"/>
  <c r="I140" i="333"/>
  <c r="J140" i="333" s="1"/>
  <c r="G7" i="333"/>
  <c r="I7" i="333" s="1"/>
  <c r="J7" i="333" s="1"/>
  <c r="I38" i="333"/>
  <c r="J38" i="333" s="1"/>
  <c r="F106" i="318"/>
  <c r="F49" i="318"/>
  <c r="F104" i="318" s="1"/>
  <c r="F38" i="181"/>
  <c r="F42" i="181" s="1"/>
  <c r="F44" i="181" s="1"/>
  <c r="I214" i="330"/>
  <c r="J214" i="330" s="1"/>
  <c r="I118" i="330"/>
  <c r="J118" i="330" s="1"/>
  <c r="G18" i="241"/>
  <c r="G16" i="241" s="1"/>
  <c r="G75" i="330"/>
  <c r="I75" i="330" s="1"/>
  <c r="J75" i="330" s="1"/>
  <c r="F18" i="241"/>
  <c r="F16" i="241" s="1"/>
  <c r="F75" i="330"/>
  <c r="I55" i="330"/>
  <c r="J55" i="330" s="1"/>
  <c r="O24" i="238"/>
  <c r="I29" i="272"/>
  <c r="J29" i="272" s="1"/>
  <c r="I26" i="272"/>
  <c r="J26" i="272" s="1"/>
  <c r="I174" i="323"/>
  <c r="J174" i="323" s="1"/>
  <c r="I50" i="323"/>
  <c r="J50" i="323" s="1"/>
  <c r="H22" i="267"/>
  <c r="I22" i="267" s="1"/>
  <c r="H14" i="267"/>
  <c r="I14" i="267" s="1"/>
  <c r="F41" i="178"/>
  <c r="G53" i="174"/>
  <c r="G14" i="174" s="1"/>
  <c r="L21" i="175"/>
  <c r="F26" i="175"/>
  <c r="F27" i="175" s="1"/>
  <c r="I26" i="175"/>
  <c r="I27" i="175" s="1"/>
  <c r="H50" i="267"/>
  <c r="G26" i="175"/>
  <c r="G27" i="175" s="1"/>
  <c r="C50" i="267"/>
  <c r="D26" i="175"/>
  <c r="D27" i="175" s="1"/>
  <c r="I140" i="335"/>
  <c r="J140" i="335" s="1"/>
  <c r="G166" i="326"/>
  <c r="I63" i="242"/>
  <c r="J63" i="242" s="1"/>
  <c r="D110" i="242"/>
  <c r="C117" i="242"/>
  <c r="I45" i="242"/>
  <c r="J45" i="242" s="1"/>
  <c r="I138" i="242"/>
  <c r="J138" i="242" s="1"/>
  <c r="D75" i="242"/>
  <c r="K7" i="242"/>
  <c r="K166" i="242" s="1"/>
  <c r="I140" i="242"/>
  <c r="J140" i="242" s="1"/>
  <c r="I111" i="242"/>
  <c r="J111" i="242" s="1"/>
  <c r="C7" i="242"/>
  <c r="C166" i="242" s="1"/>
  <c r="C171" i="242" s="1"/>
  <c r="E7" i="242"/>
  <c r="E166" i="242" s="1"/>
  <c r="D7" i="242"/>
  <c r="D166" i="242" s="1"/>
  <c r="H7" i="242"/>
  <c r="I148" i="242"/>
  <c r="J148" i="242" s="1"/>
  <c r="F7" i="242"/>
  <c r="F166" i="242" s="1"/>
  <c r="G117" i="242"/>
  <c r="I117" i="242" s="1"/>
  <c r="J117" i="242" s="1"/>
  <c r="I151" i="242"/>
  <c r="J151" i="242" s="1"/>
  <c r="I103" i="242"/>
  <c r="J103" i="242" s="1"/>
  <c r="H75" i="242"/>
  <c r="I75" i="242" s="1"/>
  <c r="J75" i="242" s="1"/>
  <c r="I38" i="242"/>
  <c r="J38" i="242" s="1"/>
  <c r="G7" i="242"/>
  <c r="I27" i="242"/>
  <c r="J27" i="242" s="1"/>
  <c r="J8" i="180"/>
  <c r="E29" i="267"/>
  <c r="E33" i="267" s="1"/>
  <c r="I103" i="335"/>
  <c r="J103" i="335" s="1"/>
  <c r="H7" i="335"/>
  <c r="H166" i="335" s="1"/>
  <c r="I8" i="335"/>
  <c r="J8" i="335" s="1"/>
  <c r="I151" i="333"/>
  <c r="J151" i="333" s="1"/>
  <c r="I118" i="333"/>
  <c r="J118" i="333" s="1"/>
  <c r="I76" i="333"/>
  <c r="J76" i="333" s="1"/>
  <c r="I75" i="333"/>
  <c r="J75" i="333" s="1"/>
  <c r="I7" i="326"/>
  <c r="J7" i="326" s="1"/>
  <c r="H166" i="326"/>
  <c r="I166" i="326" s="1"/>
  <c r="J166" i="326" s="1"/>
  <c r="I45" i="326"/>
  <c r="J45" i="326" s="1"/>
  <c r="I154" i="242"/>
  <c r="J154" i="242" s="1"/>
  <c r="I76" i="242"/>
  <c r="J76" i="242" s="1"/>
  <c r="I36" i="181"/>
  <c r="J36" i="181" s="1"/>
  <c r="H38" i="181"/>
  <c r="H49" i="318"/>
  <c r="H104" i="318" s="1"/>
  <c r="I46" i="318"/>
  <c r="J46" i="318" s="1"/>
  <c r="H106" i="318"/>
  <c r="I14" i="318"/>
  <c r="J14" i="318" s="1"/>
  <c r="I45" i="269"/>
  <c r="J45" i="269" s="1"/>
  <c r="H62" i="269"/>
  <c r="H33" i="269"/>
  <c r="I17" i="269"/>
  <c r="J17" i="269" s="1"/>
  <c r="H61" i="270"/>
  <c r="I61" i="270"/>
  <c r="I17" i="270"/>
  <c r="J17" i="270" s="1"/>
  <c r="H33" i="270"/>
  <c r="H39" i="177"/>
  <c r="H41" i="177" s="1"/>
  <c r="G46" i="267" s="1"/>
  <c r="H46" i="267" s="1"/>
  <c r="I46" i="267" s="1"/>
  <c r="I28" i="177"/>
  <c r="J28" i="177" s="1"/>
  <c r="I193" i="324"/>
  <c r="I28" i="268" s="1"/>
  <c r="J28" i="268" s="1"/>
  <c r="I204" i="324"/>
  <c r="H314" i="324"/>
  <c r="I160" i="324"/>
  <c r="H39" i="268"/>
  <c r="I23" i="324"/>
  <c r="J23" i="324" s="1"/>
  <c r="I7" i="268"/>
  <c r="J7" i="268" s="1"/>
  <c r="H32" i="267"/>
  <c r="I32" i="267" s="1"/>
  <c r="H74" i="268"/>
  <c r="H63" i="268"/>
  <c r="G18" i="267"/>
  <c r="G19" i="267" s="1"/>
  <c r="H15" i="267"/>
  <c r="I15" i="267" s="1"/>
  <c r="G11" i="267"/>
  <c r="H38" i="182"/>
  <c r="H42" i="182" s="1"/>
  <c r="H44" i="182" s="1"/>
  <c r="H46" i="182" s="1"/>
  <c r="H48" i="182" s="1"/>
  <c r="H7" i="267"/>
  <c r="I7" i="267" s="1"/>
  <c r="H6" i="267"/>
  <c r="I6" i="267" s="1"/>
  <c r="I229" i="323"/>
  <c r="J229" i="323" s="1"/>
  <c r="I28" i="272"/>
  <c r="J28" i="272" s="1"/>
  <c r="I27" i="272"/>
  <c r="J27" i="272" s="1"/>
  <c r="I196" i="323"/>
  <c r="J196" i="323" s="1"/>
  <c r="I11" i="272"/>
  <c r="J11" i="272" s="1"/>
  <c r="H9" i="272"/>
  <c r="I9" i="272" s="1"/>
  <c r="J9" i="272" s="1"/>
  <c r="I17" i="323"/>
  <c r="J17" i="323" s="1"/>
  <c r="I7" i="272"/>
  <c r="J7" i="272" s="1"/>
  <c r="H6" i="272"/>
  <c r="I6" i="272" s="1"/>
  <c r="J6" i="272" s="1"/>
  <c r="H171" i="323"/>
  <c r="H39" i="241"/>
  <c r="H197" i="330"/>
  <c r="I14" i="241"/>
  <c r="J14" i="241" s="1"/>
  <c r="I64" i="330"/>
  <c r="J64" i="330" s="1"/>
  <c r="H8" i="241"/>
  <c r="H6" i="241" s="1"/>
  <c r="I11" i="241"/>
  <c r="J11" i="241" s="1"/>
  <c r="H10" i="241"/>
  <c r="H16" i="241"/>
  <c r="I108" i="330"/>
  <c r="J108" i="330" s="1"/>
  <c r="H128" i="330"/>
  <c r="H47" i="241"/>
  <c r="I47" i="241" s="1"/>
  <c r="J47" i="241" s="1"/>
  <c r="I48" i="241"/>
  <c r="J48" i="241" s="1"/>
  <c r="I222" i="330"/>
  <c r="I221" i="330" s="1"/>
  <c r="I44" i="241"/>
  <c r="J44" i="241" s="1"/>
  <c r="H221" i="330"/>
  <c r="I42" i="241"/>
  <c r="J42" i="241" s="1"/>
  <c r="I209" i="330"/>
  <c r="J209" i="330" s="1"/>
  <c r="I38" i="241"/>
  <c r="J38" i="241" s="1"/>
  <c r="I186" i="330"/>
  <c r="J186" i="330" s="1"/>
  <c r="I36" i="241"/>
  <c r="J36" i="241" s="1"/>
  <c r="H148" i="330"/>
  <c r="I35" i="241"/>
  <c r="J35" i="241" s="1"/>
  <c r="I32" i="241"/>
  <c r="J32" i="241" s="1"/>
  <c r="H29" i="241"/>
  <c r="I31" i="241"/>
  <c r="J31" i="241" s="1"/>
  <c r="I30" i="241"/>
  <c r="J30" i="241" s="1"/>
  <c r="I25" i="241"/>
  <c r="J25" i="241" s="1"/>
  <c r="H99" i="330"/>
  <c r="I23" i="241"/>
  <c r="J23" i="241" s="1"/>
  <c r="H22" i="241"/>
  <c r="I22" i="241" s="1"/>
  <c r="J22" i="241" s="1"/>
  <c r="I21" i="241"/>
  <c r="J21" i="241" s="1"/>
  <c r="I19" i="241"/>
  <c r="J19" i="241" s="1"/>
  <c r="I17" i="241"/>
  <c r="J17" i="241" s="1"/>
  <c r="H26" i="330"/>
  <c r="I49" i="330"/>
  <c r="J49" i="330" s="1"/>
  <c r="A1" i="334"/>
  <c r="A1" i="270"/>
  <c r="A1" i="238"/>
  <c r="A1" i="174"/>
  <c r="A1" i="326"/>
  <c r="A1" i="180"/>
  <c r="A1" i="269"/>
  <c r="A1" i="317"/>
  <c r="A1" i="325"/>
  <c r="A1" i="333"/>
  <c r="G75" i="335"/>
  <c r="I75" i="335" s="1"/>
  <c r="J75" i="335" s="1"/>
  <c r="I13" i="180"/>
  <c r="J10" i="180"/>
  <c r="J13" i="180"/>
  <c r="B32" i="172"/>
  <c r="I10" i="180"/>
  <c r="J17" i="180"/>
  <c r="H13" i="180"/>
  <c r="I17" i="180"/>
  <c r="B39" i="172"/>
  <c r="F314" i="324"/>
  <c r="G117" i="325"/>
  <c r="G62" i="269"/>
  <c r="I8" i="269"/>
  <c r="J8" i="269" s="1"/>
  <c r="G33" i="269"/>
  <c r="F33" i="269"/>
  <c r="F64" i="269" s="1"/>
  <c r="F33" i="270"/>
  <c r="F63" i="270" s="1"/>
  <c r="G33" i="270"/>
  <c r="G63" i="270" s="1"/>
  <c r="J36" i="270"/>
  <c r="I8" i="270"/>
  <c r="J8" i="270" s="1"/>
  <c r="F166" i="325"/>
  <c r="G49" i="318"/>
  <c r="G104" i="318" s="1"/>
  <c r="G106" i="318"/>
  <c r="I30" i="318"/>
  <c r="K21" i="175"/>
  <c r="H26" i="175"/>
  <c r="H27" i="175" s="1"/>
  <c r="E50" i="267"/>
  <c r="C26" i="175"/>
  <c r="C27" i="175" s="1"/>
  <c r="B53" i="172"/>
  <c r="K14" i="175"/>
  <c r="L14" i="175"/>
  <c r="G53" i="172"/>
  <c r="G50" i="267"/>
  <c r="K15" i="173"/>
  <c r="J52" i="267" s="1"/>
  <c r="G11" i="174"/>
  <c r="G49" i="174"/>
  <c r="G10" i="174" s="1"/>
  <c r="G7" i="335"/>
  <c r="F7" i="335"/>
  <c r="F166" i="335" s="1"/>
  <c r="I103" i="326"/>
  <c r="J103" i="326" s="1"/>
  <c r="H14" i="180"/>
  <c r="B29" i="172"/>
  <c r="H7" i="180"/>
  <c r="I7" i="180"/>
  <c r="J16" i="180"/>
  <c r="B31" i="172"/>
  <c r="I16" i="180"/>
  <c r="I14" i="180"/>
  <c r="H16" i="180"/>
  <c r="J9" i="180"/>
  <c r="G314" i="324"/>
  <c r="G39" i="268"/>
  <c r="I171" i="324"/>
  <c r="F39" i="268"/>
  <c r="F21" i="268"/>
  <c r="I35" i="324"/>
  <c r="J35" i="324" s="1"/>
  <c r="G21" i="268"/>
  <c r="I8" i="268"/>
  <c r="J8" i="268" s="1"/>
  <c r="I18" i="324"/>
  <c r="J18" i="324" s="1"/>
  <c r="G145" i="324"/>
  <c r="F33" i="267"/>
  <c r="G63" i="268"/>
  <c r="F63" i="268"/>
  <c r="I43" i="268"/>
  <c r="J43" i="268" s="1"/>
  <c r="H145" i="324"/>
  <c r="H11" i="268"/>
  <c r="H29" i="267"/>
  <c r="I29" i="267" s="1"/>
  <c r="G33" i="267"/>
  <c r="I70" i="268"/>
  <c r="J70" i="268" s="1"/>
  <c r="I47" i="268"/>
  <c r="G53" i="182"/>
  <c r="E11" i="267"/>
  <c r="F11" i="267"/>
  <c r="I22" i="182"/>
  <c r="J22" i="182" s="1"/>
  <c r="G17" i="174"/>
  <c r="G27" i="174"/>
  <c r="G26" i="174"/>
  <c r="G28" i="174"/>
  <c r="E18" i="267"/>
  <c r="E19" i="267" s="1"/>
  <c r="G7" i="174"/>
  <c r="I36" i="182"/>
  <c r="J36" i="182" s="1"/>
  <c r="F38" i="182"/>
  <c r="F42" i="182" s="1"/>
  <c r="F44" i="182" s="1"/>
  <c r="F46" i="182" s="1"/>
  <c r="F48" i="182" s="1"/>
  <c r="F18" i="267"/>
  <c r="F19" i="267" s="1"/>
  <c r="G38" i="182"/>
  <c r="G42" i="182" s="1"/>
  <c r="G44" i="182" s="1"/>
  <c r="G46" i="182" s="1"/>
  <c r="G48" i="182" s="1"/>
  <c r="G21" i="272"/>
  <c r="I8" i="272"/>
  <c r="J8" i="272" s="1"/>
  <c r="I28" i="323"/>
  <c r="J28" i="323" s="1"/>
  <c r="G171" i="323"/>
  <c r="F21" i="272"/>
  <c r="F171" i="323"/>
  <c r="F339" i="323"/>
  <c r="I24" i="272"/>
  <c r="G39" i="272"/>
  <c r="G339" i="323"/>
  <c r="F24" i="272"/>
  <c r="F39" i="272" s="1"/>
  <c r="F221" i="330"/>
  <c r="G197" i="330"/>
  <c r="I198" i="330"/>
  <c r="J198" i="330" s="1"/>
  <c r="G40" i="241"/>
  <c r="I40" i="241" s="1"/>
  <c r="J40" i="241" s="1"/>
  <c r="G128" i="330"/>
  <c r="F128" i="330"/>
  <c r="I189" i="330"/>
  <c r="J189" i="330" s="1"/>
  <c r="G37" i="241"/>
  <c r="I37" i="241" s="1"/>
  <c r="J37" i="241" s="1"/>
  <c r="I177" i="330"/>
  <c r="J177" i="330" s="1"/>
  <c r="F32" i="241"/>
  <c r="F29" i="241" s="1"/>
  <c r="G12" i="241"/>
  <c r="I12" i="241" s="1"/>
  <c r="J12" i="241" s="1"/>
  <c r="G15" i="241"/>
  <c r="I15" i="241" s="1"/>
  <c r="J15" i="241" s="1"/>
  <c r="I10" i="330"/>
  <c r="J10" i="330" s="1"/>
  <c r="F99" i="330"/>
  <c r="I27" i="330"/>
  <c r="J27" i="330" s="1"/>
  <c r="G26" i="330"/>
  <c r="F26" i="330"/>
  <c r="I13" i="241"/>
  <c r="J13" i="241" s="1"/>
  <c r="F10" i="241"/>
  <c r="I18" i="241"/>
  <c r="J18" i="241" s="1"/>
  <c r="I104" i="330"/>
  <c r="J104" i="330" s="1"/>
  <c r="F20" i="241"/>
  <c r="G20" i="241"/>
  <c r="I24" i="241"/>
  <c r="G99" i="330"/>
  <c r="I113" i="330"/>
  <c r="G43" i="241"/>
  <c r="F43" i="241"/>
  <c r="I46" i="241"/>
  <c r="J46" i="241" s="1"/>
  <c r="I41" i="241"/>
  <c r="J41" i="241" s="1"/>
  <c r="F197" i="330"/>
  <c r="F40" i="241"/>
  <c r="F39" i="241" s="1"/>
  <c r="I240" i="330"/>
  <c r="J240" i="330" s="1"/>
  <c r="I146" i="330"/>
  <c r="J146" i="330" s="1"/>
  <c r="F33" i="241"/>
  <c r="I132" i="330"/>
  <c r="J132" i="330" s="1"/>
  <c r="G29" i="241"/>
  <c r="G148" i="330"/>
  <c r="H34" i="241"/>
  <c r="H33" i="241" s="1"/>
  <c r="I149" i="330"/>
  <c r="J149" i="330" s="1"/>
  <c r="F148" i="330"/>
  <c r="G6" i="241"/>
  <c r="F316" i="324" l="1"/>
  <c r="K104" i="318"/>
  <c r="K105" i="318" s="1"/>
  <c r="H39" i="174"/>
  <c r="K40" i="268"/>
  <c r="J28" i="267" s="1"/>
  <c r="H26" i="174"/>
  <c r="K256" i="330"/>
  <c r="H27" i="174"/>
  <c r="H17" i="174"/>
  <c r="K40" i="272"/>
  <c r="K341" i="323"/>
  <c r="K247" i="330"/>
  <c r="K257" i="330" s="1"/>
  <c r="K49" i="241"/>
  <c r="K26" i="241"/>
  <c r="I128" i="330"/>
  <c r="J128" i="330" s="1"/>
  <c r="F43" i="178"/>
  <c r="F54" i="178" s="1"/>
  <c r="E40" i="268"/>
  <c r="E86" i="268"/>
  <c r="E40" i="272"/>
  <c r="E49" i="241"/>
  <c r="E26" i="241"/>
  <c r="E248" i="330"/>
  <c r="H166" i="325"/>
  <c r="H166" i="242"/>
  <c r="I104" i="318"/>
  <c r="J104" i="318" s="1"/>
  <c r="I314" i="324"/>
  <c r="J314" i="324" s="1"/>
  <c r="H341" i="323"/>
  <c r="H43" i="241"/>
  <c r="H49" i="241" s="1"/>
  <c r="I197" i="330"/>
  <c r="J197" i="330" s="1"/>
  <c r="H247" i="330"/>
  <c r="H257" i="330" s="1"/>
  <c r="I29" i="241"/>
  <c r="J29" i="241" s="1"/>
  <c r="I16" i="241"/>
  <c r="J16" i="241" s="1"/>
  <c r="I74" i="268"/>
  <c r="J74" i="268" s="1"/>
  <c r="G64" i="269"/>
  <c r="G166" i="333"/>
  <c r="I166" i="333" s="1"/>
  <c r="J166" i="333" s="1"/>
  <c r="J222" i="330"/>
  <c r="G33" i="241"/>
  <c r="I33" i="241" s="1"/>
  <c r="G13" i="174"/>
  <c r="K26" i="175"/>
  <c r="K27" i="175" s="1"/>
  <c r="C171" i="335"/>
  <c r="I7" i="242"/>
  <c r="J7" i="242" s="1"/>
  <c r="C171" i="326"/>
  <c r="E171" i="326"/>
  <c r="E171" i="242"/>
  <c r="E171" i="335"/>
  <c r="G166" i="242"/>
  <c r="D171" i="326"/>
  <c r="D171" i="335"/>
  <c r="D171" i="242"/>
  <c r="G316" i="324"/>
  <c r="G40" i="268"/>
  <c r="G86" i="268" s="1"/>
  <c r="I7" i="335"/>
  <c r="J7" i="335" s="1"/>
  <c r="H42" i="181"/>
  <c r="I38" i="181"/>
  <c r="J38" i="181" s="1"/>
  <c r="I62" i="269"/>
  <c r="J62" i="269" s="1"/>
  <c r="H64" i="269"/>
  <c r="J61" i="270"/>
  <c r="H63" i="270"/>
  <c r="J193" i="324"/>
  <c r="I29" i="268"/>
  <c r="J29" i="268" s="1"/>
  <c r="J204" i="324"/>
  <c r="J160" i="324"/>
  <c r="I25" i="268"/>
  <c r="J25" i="268" s="1"/>
  <c r="G20" i="267"/>
  <c r="G23" i="267" s="1"/>
  <c r="G25" i="267" s="1"/>
  <c r="H19" i="267"/>
  <c r="I19" i="267" s="1"/>
  <c r="H11" i="267"/>
  <c r="I11" i="267" s="1"/>
  <c r="H21" i="272"/>
  <c r="H40" i="272" s="1"/>
  <c r="I21" i="272"/>
  <c r="J21" i="272" s="1"/>
  <c r="I171" i="323"/>
  <c r="J171" i="323" s="1"/>
  <c r="I8" i="241"/>
  <c r="J8" i="241" s="1"/>
  <c r="I26" i="330"/>
  <c r="J26" i="330" s="1"/>
  <c r="H125" i="330"/>
  <c r="H256" i="330" s="1"/>
  <c r="H20" i="241"/>
  <c r="H26" i="241" s="1"/>
  <c r="J221" i="330"/>
  <c r="G166" i="335"/>
  <c r="I166" i="335" s="1"/>
  <c r="J166" i="335" s="1"/>
  <c r="H33" i="267"/>
  <c r="I33" i="267" s="1"/>
  <c r="I117" i="325"/>
  <c r="J117" i="325" s="1"/>
  <c r="G166" i="325"/>
  <c r="I33" i="269"/>
  <c r="J33" i="269" s="1"/>
  <c r="I33" i="270"/>
  <c r="I63" i="270" s="1"/>
  <c r="I49" i="318"/>
  <c r="J49" i="318" s="1"/>
  <c r="J30" i="318"/>
  <c r="I106" i="318"/>
  <c r="J106" i="318" s="1"/>
  <c r="J50" i="267"/>
  <c r="F40" i="268"/>
  <c r="F171" i="335" s="1"/>
  <c r="J171" i="324"/>
  <c r="I26" i="268"/>
  <c r="I11" i="268"/>
  <c r="H21" i="268"/>
  <c r="H40" i="268" s="1"/>
  <c r="I145" i="324"/>
  <c r="J145" i="324" s="1"/>
  <c r="H316" i="324"/>
  <c r="I63" i="268"/>
  <c r="J63" i="268" s="1"/>
  <c r="J47" i="268"/>
  <c r="E20" i="267"/>
  <c r="E23" i="267" s="1"/>
  <c r="E25" i="267" s="1"/>
  <c r="I38" i="182"/>
  <c r="J38" i="182" s="1"/>
  <c r="H18" i="267"/>
  <c r="I18" i="267" s="1"/>
  <c r="F20" i="267"/>
  <c r="F40" i="272"/>
  <c r="G40" i="272"/>
  <c r="F341" i="323"/>
  <c r="J24" i="272"/>
  <c r="I39" i="272"/>
  <c r="G341" i="323"/>
  <c r="I339" i="323"/>
  <c r="J339" i="323" s="1"/>
  <c r="G39" i="241"/>
  <c r="I39" i="241" s="1"/>
  <c r="J39" i="241" s="1"/>
  <c r="G247" i="330"/>
  <c r="G257" i="330" s="1"/>
  <c r="G10" i="241"/>
  <c r="I10" i="241" s="1"/>
  <c r="J10" i="241" s="1"/>
  <c r="G125" i="330"/>
  <c r="F125" i="330"/>
  <c r="F256" i="330" s="1"/>
  <c r="F26" i="241"/>
  <c r="I20" i="241"/>
  <c r="J24" i="241"/>
  <c r="I99" i="330"/>
  <c r="J99" i="330" s="1"/>
  <c r="J113" i="330"/>
  <c r="I43" i="241"/>
  <c r="J43" i="241" s="1"/>
  <c r="F247" i="330"/>
  <c r="F257" i="330" s="1"/>
  <c r="F49" i="241"/>
  <c r="I148" i="330"/>
  <c r="J148" i="330" s="1"/>
  <c r="I34" i="241"/>
  <c r="J34" i="241" s="1"/>
  <c r="I6" i="241"/>
  <c r="H46" i="174" l="1"/>
  <c r="H8" i="174" s="1"/>
  <c r="K86" i="268"/>
  <c r="K171" i="326"/>
  <c r="K171" i="335"/>
  <c r="K171" i="242"/>
  <c r="K50" i="241"/>
  <c r="K248" i="330"/>
  <c r="D28" i="267"/>
  <c r="F46" i="174"/>
  <c r="F8" i="174" s="1"/>
  <c r="E50" i="241"/>
  <c r="I166" i="325"/>
  <c r="J166" i="325" s="1"/>
  <c r="I166" i="242"/>
  <c r="J166" i="242" s="1"/>
  <c r="H20" i="267"/>
  <c r="I20" i="267" s="1"/>
  <c r="I341" i="323"/>
  <c r="J341" i="323" s="1"/>
  <c r="J20" i="241"/>
  <c r="I316" i="324"/>
  <c r="J316" i="324" s="1"/>
  <c r="F28" i="267"/>
  <c r="G46" i="174"/>
  <c r="G8" i="174" s="1"/>
  <c r="H44" i="181"/>
  <c r="I44" i="181" s="1"/>
  <c r="J44" i="181" s="1"/>
  <c r="I42" i="181"/>
  <c r="J42" i="181" s="1"/>
  <c r="J63" i="270"/>
  <c r="H248" i="330"/>
  <c r="I125" i="330"/>
  <c r="J125" i="330" s="1"/>
  <c r="H50" i="241"/>
  <c r="G171" i="335"/>
  <c r="G171" i="326"/>
  <c r="G171" i="242"/>
  <c r="F171" i="326"/>
  <c r="F86" i="268"/>
  <c r="I64" i="269"/>
  <c r="J64" i="269" s="1"/>
  <c r="J33" i="270"/>
  <c r="E28" i="267"/>
  <c r="F171" i="242"/>
  <c r="J26" i="268"/>
  <c r="I39" i="268"/>
  <c r="J39" i="268" s="1"/>
  <c r="H171" i="335"/>
  <c r="G28" i="267"/>
  <c r="H171" i="326"/>
  <c r="H171" i="242"/>
  <c r="H86" i="268"/>
  <c r="I21" i="268"/>
  <c r="J11" i="268"/>
  <c r="F23" i="267"/>
  <c r="H23" i="267" s="1"/>
  <c r="I23" i="267" s="1"/>
  <c r="J39" i="272"/>
  <c r="I40" i="272"/>
  <c r="J40" i="272" s="1"/>
  <c r="G49" i="241"/>
  <c r="G26" i="241"/>
  <c r="G248" i="330"/>
  <c r="G256" i="330"/>
  <c r="F50" i="241"/>
  <c r="F248" i="330"/>
  <c r="I247" i="330"/>
  <c r="I257" i="330" s="1"/>
  <c r="J33" i="241"/>
  <c r="I49" i="241"/>
  <c r="J49" i="241" s="1"/>
  <c r="I26" i="241"/>
  <c r="J6" i="241"/>
  <c r="H28" i="267" l="1"/>
  <c r="I28" i="267" s="1"/>
  <c r="I248" i="330"/>
  <c r="J248" i="330" s="1"/>
  <c r="I256" i="330"/>
  <c r="I40" i="268"/>
  <c r="J40" i="268" s="1"/>
  <c r="J21" i="268"/>
  <c r="F25" i="267"/>
  <c r="H25" i="267" s="1"/>
  <c r="I25" i="267" s="1"/>
  <c r="G50" i="241"/>
  <c r="J247" i="330"/>
  <c r="J26" i="241"/>
  <c r="I50" i="241"/>
  <c r="J50" i="241" s="1"/>
</calcChain>
</file>

<file path=xl/sharedStrings.xml><?xml version="1.0" encoding="utf-8"?>
<sst xmlns="http://schemas.openxmlformats.org/spreadsheetml/2006/main" count="3002" uniqueCount="1460">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</sst>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1">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172" fontId="6" fillId="32" borderId="37" xfId="0" applyNumberFormat="1" applyFont="1" applyFill="1" applyBorder="1" applyAlignment="1" applyProtection="1">
      <alignment horizontal="center"/>
      <protection locked="0"/>
    </xf>
    <xf numFmtId="43"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9"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656449561.10000002</c:v>
                </c:pt>
                <c:pt idx="1">
                  <c:v>121132433.04000001</c:v>
                </c:pt>
                <c:pt idx="2">
                  <c:v>129805622.16999999</c:v>
                </c:pt>
                <c:pt idx="3">
                  <c:v>96785494.489999995</c:v>
                </c:pt>
                <c:pt idx="4">
                  <c:v>87189202.5</c:v>
                </c:pt>
                <c:pt idx="5">
                  <c:v>58787527.939999998</c:v>
                </c:pt>
                <c:pt idx="6">
                  <c:v>524167804.82999998</c:v>
                </c:pt>
                <c:pt idx="7">
                  <c:v>3047610173.7199998</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724436649.23709989</c:v>
                </c:pt>
                <c:pt idx="1">
                  <c:v>234401554.68099999</c:v>
                </c:pt>
                <c:pt idx="2">
                  <c:v>3390834382.6949</c:v>
                </c:pt>
                <c:pt idx="3">
                  <c:v>230597398.58329999</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746841906.42999995</c:v>
                </c:pt>
                <c:pt idx="1">
                  <c:v>241651087.30000001</c:v>
                </c:pt>
                <c:pt idx="2">
                  <c:v>3495705549.1700001</c:v>
                </c:pt>
                <c:pt idx="3">
                  <c:v>237729276.88999999</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127812382</c:v>
                </c:pt>
                <c:pt idx="1">
                  <c:v>66804300</c:v>
                </c:pt>
                <c:pt idx="2">
                  <c:v>0</c:v>
                </c:pt>
                <c:pt idx="3">
                  <c:v>126815563</c:v>
                </c:pt>
                <c:pt idx="4">
                  <c:v>0</c:v>
                </c:pt>
                <c:pt idx="5">
                  <c:v>0</c:v>
                </c:pt>
                <c:pt idx="6">
                  <c:v>48586959</c:v>
                </c:pt>
                <c:pt idx="7">
                  <c:v>0</c:v>
                </c:pt>
                <c:pt idx="8">
                  <c:v>365418249</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246554554.86000001</c:v>
                </c:pt>
                <c:pt idx="1">
                  <c:v>255506217.22999999</c:v>
                </c:pt>
                <c:pt idx="2">
                  <c:v>0</c:v>
                </c:pt>
                <c:pt idx="3">
                  <c:v>197756318.49999997</c:v>
                </c:pt>
                <c:pt idx="4">
                  <c:v>0</c:v>
                </c:pt>
                <c:pt idx="5">
                  <c:v>0</c:v>
                </c:pt>
                <c:pt idx="6">
                  <c:v>83100843.930000007</c:v>
                </c:pt>
                <c:pt idx="7">
                  <c:v>0</c:v>
                </c:pt>
                <c:pt idx="8">
                  <c:v>367427070</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936648.53999999957</c:v>
                </c:pt>
                <c:pt idx="1">
                  <c:v>28293360.050000001</c:v>
                </c:pt>
                <c:pt idx="2">
                  <c:v>51590953.230000004</c:v>
                </c:pt>
                <c:pt idx="3">
                  <c:v>34751661.439999998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936648.53999999957</c:v>
                </c:pt>
                <c:pt idx="1">
                  <c:v>29230008.59</c:v>
                </c:pt>
                <c:pt idx="2">
                  <c:v>80820961.820000008</c:v>
                </c:pt>
                <c:pt idx="3">
                  <c:v>115572623.26000001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4" val="2"/>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xdr:cNvGrpSpPr>
          <a:grpSpLocks/>
        </xdr:cNvGrpSpPr>
      </xdr:nvGrpSpPr>
      <xdr:grpSpPr bwMode="auto">
        <a:xfrm>
          <a:off x="0" y="0"/>
          <a:ext cx="8601075" cy="6400800"/>
          <a:chOff x="0" y="0"/>
          <a:chExt cx="903" cy="672"/>
        </a:xfrm>
      </xdr:grpSpPr>
      <xdr:grpSp>
        <xdr:nvGrpSpPr>
          <xdr:cNvPr id="1656589" name="Group 1"/>
          <xdr:cNvGrpSpPr>
            <a:grpSpLocks/>
          </xdr:cNvGrpSpPr>
        </xdr:nvGrpSpPr>
        <xdr:grpSpPr bwMode="auto">
          <a:xfrm>
            <a:off x="0" y="0"/>
            <a:ext cx="903" cy="672"/>
            <a:chOff x="0" y="0"/>
            <a:chExt cx="791" cy="672"/>
          </a:xfrm>
        </xdr:grpSpPr>
        <xdr:grpSp>
          <xdr:nvGrpSpPr>
            <xdr:cNvPr id="1656591" name="Group 2"/>
            <xdr:cNvGrpSpPr>
              <a:grpSpLocks/>
            </xdr:cNvGrpSpPr>
          </xdr:nvGrpSpPr>
          <xdr:grpSpPr bwMode="auto">
            <a:xfrm>
              <a:off x="0" y="0"/>
              <a:ext cx="791" cy="672"/>
              <a:chOff x="12" y="17"/>
              <a:chExt cx="791" cy="672"/>
            </a:xfrm>
          </xdr:grpSpPr>
          <xdr:pic>
            <xdr:nvPicPr>
              <xdr:cNvPr id="1656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xdr:cNvGrpSpPr>
                <a:grpSpLocks/>
              </xdr:cNvGrpSpPr>
            </xdr:nvGrpSpPr>
            <xdr:grpSpPr bwMode="auto">
              <a:xfrm>
                <a:off x="416" y="255"/>
                <a:ext cx="367" cy="413"/>
                <a:chOff x="416" y="255"/>
                <a:chExt cx="367" cy="413"/>
              </a:xfrm>
            </xdr:grpSpPr>
            <xdr:pic>
              <xdr:nvPicPr>
                <xdr:cNvPr id="1656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xdr:cNvGrpSpPr>
                  <a:grpSpLocks/>
                </xdr:cNvGrpSpPr>
              </xdr:nvGrpSpPr>
              <xdr:grpSpPr bwMode="auto">
                <a:xfrm>
                  <a:off x="432" y="264"/>
                  <a:ext cx="286" cy="128"/>
                  <a:chOff x="426" y="263"/>
                  <a:chExt cx="290" cy="130"/>
                </a:xfrm>
              </xdr:grpSpPr>
              <xdr:pic>
                <xdr:nvPicPr>
                  <xdr:cNvPr id="1656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xdr:cNvGrpSpPr>
                <a:grpSpLocks/>
              </xdr:cNvGrpSpPr>
            </xdr:nvGrpSpPr>
            <xdr:grpSpPr bwMode="auto">
              <a:xfrm>
                <a:off x="76" y="364"/>
                <a:ext cx="289" cy="256"/>
                <a:chOff x="76" y="364"/>
                <a:chExt cx="289" cy="256"/>
              </a:xfrm>
            </xdr:grpSpPr>
            <xdr:pic>
              <xdr:nvPicPr>
                <xdr:cNvPr id="1656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xdr:cNvPicPr preferRelativeResize="0">
              <a:picLocks noChangeArrowheads="1" noChangeShapeType="1"/>
              <a:extLst>
                <a:ext uri="{84589F7E-364E-4C9E-8A38-B11213B215E9}">
                  <a14:cameraTool cellRange="FinYear" spid="_x0000_s189878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5" activePane="bottomRight" state="frozen"/>
      <selection pane="topRight"/>
      <selection pane="bottomLeft"/>
      <selection pane="bottomRight" activeCell="P34" sqref="P3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5" t="str">
        <f>muni&amp; " - "&amp;S71C&amp; " - "&amp;date</f>
        <v>KZN225 Msunduzi - Table C3 Monthly Budget Statement - Financial Performance (revenue and expenditure by municipal vote) - M04 October</v>
      </c>
      <c r="B1" s="1045"/>
      <c r="C1" s="1045"/>
      <c r="D1" s="1045"/>
      <c r="E1" s="1045"/>
      <c r="F1" s="1045"/>
      <c r="G1" s="1045"/>
      <c r="H1" s="1045"/>
      <c r="I1" s="1045"/>
      <c r="J1" s="1045"/>
      <c r="K1" s="1045"/>
    </row>
    <row r="2" spans="1:24" x14ac:dyDescent="0.25">
      <c r="A2" s="20" t="str">
        <f>Vdesc</f>
        <v>Vote Description</v>
      </c>
      <c r="B2" s="1036" t="str">
        <f>head27</f>
        <v>Ref</v>
      </c>
      <c r="C2" s="142" t="str">
        <f>Head1</f>
        <v>2019/20</v>
      </c>
      <c r="D2" s="1038" t="str">
        <f>Head2</f>
        <v>Budget Year 2020/21</v>
      </c>
      <c r="E2" s="1039"/>
      <c r="F2" s="1039"/>
      <c r="G2" s="1039"/>
      <c r="H2" s="1039"/>
      <c r="I2" s="1039"/>
      <c r="J2" s="1039"/>
      <c r="K2" s="1040"/>
    </row>
    <row r="3" spans="1:24" ht="25.5" x14ac:dyDescent="0.25">
      <c r="A3" s="168"/>
      <c r="B3" s="104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8"/>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0</v>
      </c>
      <c r="H6" s="44">
        <f>'C3C'!H6</f>
        <v>1482510.0044666666</v>
      </c>
      <c r="I6" s="44">
        <f>G6-H6</f>
        <v>-1482510.0044666666</v>
      </c>
      <c r="J6" s="715">
        <f>IF(I6=0,"",I6/H6)</f>
        <v>-1</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152092600.37999997</v>
      </c>
      <c r="G7" s="44">
        <f>'C3C'!G17</f>
        <v>615861197.25</v>
      </c>
      <c r="H7" s="44">
        <f>'C3C'!H17</f>
        <v>828377315.26237774</v>
      </c>
      <c r="I7" s="44">
        <f t="shared" ref="I7:I20" si="0">G7-H7</f>
        <v>-212516118.01237774</v>
      </c>
      <c r="J7" s="715">
        <f t="shared" ref="J7:J21" si="1">IF(I7=0,"",I7/H7)</f>
        <v>-0.25654507203045029</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12207585.369999999</v>
      </c>
      <c r="G8" s="44">
        <f>'C3C'!G28</f>
        <v>58516623.270000003</v>
      </c>
      <c r="H8" s="44">
        <f>'C3C'!H28</f>
        <v>71554781.431930572</v>
      </c>
      <c r="I8" s="44">
        <f t="shared" si="0"/>
        <v>-13038158.161930569</v>
      </c>
      <c r="J8" s="715">
        <f t="shared" si="1"/>
        <v>-0.1822122561346044</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58.26</v>
      </c>
      <c r="G9" s="44">
        <f>'C3C'!G39</f>
        <v>396487.32</v>
      </c>
      <c r="H9" s="44">
        <f>'C3C'!H39</f>
        <v>6413060.2288333336</v>
      </c>
      <c r="I9" s="44">
        <f t="shared" si="0"/>
        <v>-6016572.9088333333</v>
      </c>
      <c r="J9" s="715">
        <f t="shared" si="1"/>
        <v>-0.93817502006025455</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334908187.32999998</v>
      </c>
      <c r="G10" s="44">
        <f>'C3C'!G50</f>
        <v>1395876485.0700002</v>
      </c>
      <c r="H10" s="44">
        <f>'C3C'!H50</f>
        <v>1125448790.9004972</v>
      </c>
      <c r="I10" s="44">
        <f t="shared" si="0"/>
        <v>270427694.16950297</v>
      </c>
      <c r="J10" s="715">
        <f t="shared" si="1"/>
        <v>0.24028431711506626</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6534208.4799999986</v>
      </c>
      <c r="G11" s="44">
        <f>'C3C'!G61</f>
        <v>38719080.270000003</v>
      </c>
      <c r="H11" s="44">
        <f>'C3C'!H61</f>
        <v>144290155.12924913</v>
      </c>
      <c r="I11" s="44">
        <f t="shared" si="0"/>
        <v>-105571074.85924911</v>
      </c>
      <c r="J11" s="715">
        <f t="shared" si="1"/>
        <v>-0.73165819777990349</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505742639.81999993</v>
      </c>
      <c r="G21" s="73">
        <f t="shared" si="2"/>
        <v>2109369873.1800003</v>
      </c>
      <c r="H21" s="73">
        <f t="shared" si="2"/>
        <v>2177566612.9573545</v>
      </c>
      <c r="I21" s="73">
        <f t="shared" si="2"/>
        <v>-68196739.777354419</v>
      </c>
      <c r="J21" s="716">
        <f t="shared" si="1"/>
        <v>-3.1317866177575336E-2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12714535.029999999</v>
      </c>
      <c r="G24" s="44">
        <f>'C3C'!G174</f>
        <v>49257489.719999999</v>
      </c>
      <c r="H24" s="44">
        <f>'C3C'!H174</f>
        <v>62561560.06727615</v>
      </c>
      <c r="I24" s="44">
        <f t="shared" ref="I24:I38" si="3">G24-H24</f>
        <v>-13304070.347276151</v>
      </c>
      <c r="J24" s="715">
        <f t="shared" ref="J24:J29" si="4">IF(I24=0,"",I24/H24)</f>
        <v>-0.21265566800075791</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45414465.400000006</v>
      </c>
      <c r="G25" s="44">
        <f>'C3C'!G185</f>
        <v>104978455.50999998</v>
      </c>
      <c r="H25" s="44">
        <f>'C3C'!H185</f>
        <v>233837451.2351867</v>
      </c>
      <c r="I25" s="44">
        <f t="shared" si="3"/>
        <v>-128858995.72518672</v>
      </c>
      <c r="J25" s="715">
        <f t="shared" si="4"/>
        <v>-0.55106226587966101</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84513574.860000014</v>
      </c>
      <c r="G26" s="44">
        <f>'C3C'!G196</f>
        <v>285785096.75999987</v>
      </c>
      <c r="H26" s="44">
        <f>'C3C'!H196</f>
        <v>247917204.72086513</v>
      </c>
      <c r="I26" s="44">
        <f t="shared" si="3"/>
        <v>37867892.039134741</v>
      </c>
      <c r="J26" s="715">
        <f t="shared" si="4"/>
        <v>0.15274410697624211</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14153761.019999996</v>
      </c>
      <c r="G27" s="44">
        <f>'C3C'!G207</f>
        <v>43100460.949999996</v>
      </c>
      <c r="H27" s="44">
        <f>'C3C'!H207</f>
        <v>66849651.130362906</v>
      </c>
      <c r="I27" s="44">
        <f t="shared" si="3"/>
        <v>-23749190.18036291</v>
      </c>
      <c r="J27" s="715">
        <f t="shared" si="4"/>
        <v>-0.35526273927817253</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3396225399.6151776</v>
      </c>
      <c r="F28" s="44">
        <f>'C3C'!F218</f>
        <v>216395563.29000002</v>
      </c>
      <c r="G28" s="44">
        <f>'C3C'!G218</f>
        <v>1308716623.6099997</v>
      </c>
      <c r="H28" s="44">
        <f>'C3C'!H218</f>
        <v>1132075133.2050595</v>
      </c>
      <c r="I28" s="44">
        <f t="shared" si="3"/>
        <v>176641490.40494013</v>
      </c>
      <c r="J28" s="715">
        <f t="shared" si="4"/>
        <v>0.15603336317868224</v>
      </c>
      <c r="K28" s="144">
        <f>'C3C'!K218</f>
        <v>3396225399.6151776</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329805169.15482336</v>
      </c>
      <c r="F29" s="44">
        <f>'C3C'!F229</f>
        <v>21993040.09</v>
      </c>
      <c r="G29" s="44">
        <f>'C3C'!G229</f>
        <v>76480946.640000001</v>
      </c>
      <c r="H29" s="44">
        <f>'C3C'!H229</f>
        <v>109935056.38494112</v>
      </c>
      <c r="I29" s="44">
        <f t="shared" si="3"/>
        <v>-33454109.744941115</v>
      </c>
      <c r="J29" s="715">
        <f t="shared" si="4"/>
        <v>-0.30430793274713464</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5559528170.2310734</v>
      </c>
      <c r="F39" s="430">
        <f t="shared" si="6"/>
        <v>395184939.69</v>
      </c>
      <c r="G39" s="430">
        <f t="shared" si="6"/>
        <v>1868319073.1899996</v>
      </c>
      <c r="H39" s="430">
        <f t="shared" si="6"/>
        <v>1853176056.7436914</v>
      </c>
      <c r="I39" s="430">
        <f t="shared" si="6"/>
        <v>15143016.446307987</v>
      </c>
      <c r="J39" s="718">
        <f>IF(I39=0,"",I39/H39)</f>
        <v>8.1713857629460967E-3</v>
      </c>
      <c r="K39" s="513">
        <f>SUM(K24:K38)</f>
        <v>5559528170.2310734</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973171668.64099121</v>
      </c>
      <c r="F40" s="55">
        <f t="shared" si="7"/>
        <v>110557700.12999994</v>
      </c>
      <c r="G40" s="55">
        <f t="shared" si="7"/>
        <v>241050799.99000072</v>
      </c>
      <c r="H40" s="55">
        <f t="shared" si="7"/>
        <v>324390556.2136631</v>
      </c>
      <c r="I40" s="55">
        <f>I21-I39</f>
        <v>-83339756.223662406</v>
      </c>
      <c r="J40" s="719">
        <f>IF(I40=0,"",I40/H40)</f>
        <v>-0.25691178311852531</v>
      </c>
      <c r="K40" s="235">
        <f>K21-K39</f>
        <v>973171668.64099121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200" activePane="bottomRight" state="frozen"/>
      <selection pane="topRight"/>
      <selection pane="bottomLeft"/>
      <selection pane="bottomRight" activeCell="K230" sqref="K230"/>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M04 October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8" t="str">
        <f>Head2</f>
        <v>Budget Year 2020/21</v>
      </c>
      <c r="E2" s="1039"/>
      <c r="F2" s="1039"/>
      <c r="G2" s="1039"/>
      <c r="H2" s="1039"/>
      <c r="I2" s="1039"/>
      <c r="J2" s="1039"/>
      <c r="K2" s="1040"/>
      <c r="L2" s="1049" t="e">
        <f>Head4</f>
        <v>#REF!</v>
      </c>
      <c r="M2" s="1050"/>
      <c r="N2" s="1050"/>
      <c r="O2" s="1050"/>
      <c r="P2" s="1050"/>
      <c r="Q2" s="1050"/>
      <c r="R2" s="1050"/>
      <c r="S2" s="1050"/>
      <c r="T2" s="1050"/>
      <c r="U2" s="1050"/>
      <c r="V2" s="1050"/>
      <c r="W2" s="1051"/>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0</v>
      </c>
      <c r="H6" s="443">
        <f t="shared" si="0"/>
        <v>1482510.0044666666</v>
      </c>
      <c r="I6" s="44">
        <f t="shared" ref="I6:I69" si="1">G6-H6</f>
        <v>-1482510.0044666666</v>
      </c>
      <c r="J6" s="330">
        <f t="shared" ref="J6:J69" si="2">IF(I6=0,"",I6/H6)</f>
        <v>-1</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c r="H8" s="742">
        <f>E8/12*4</f>
        <v>1482510.0044666666</v>
      </c>
      <c r="I8" s="44">
        <f t="shared" si="1"/>
        <v>-1482510.0044666666</v>
      </c>
      <c r="J8" s="330">
        <f t="shared" si="2"/>
        <v>-1</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152092600.37999997</v>
      </c>
      <c r="G17" s="441">
        <f t="shared" si="3"/>
        <v>615861197.25</v>
      </c>
      <c r="H17" s="443">
        <f t="shared" si="3"/>
        <v>828377315.26237774</v>
      </c>
      <c r="I17" s="44">
        <f t="shared" si="1"/>
        <v>-212516118.01237774</v>
      </c>
      <c r="J17" s="330">
        <f t="shared" si="2"/>
        <v>-0.25654507203045029</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1239616.5999999999</v>
      </c>
      <c r="G18" s="741">
        <v>-2906611.4399999995</v>
      </c>
      <c r="H18" s="742"/>
      <c r="I18" s="44">
        <f t="shared" si="1"/>
        <v>-2906611.4399999995</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734553.39999999991</v>
      </c>
      <c r="G19" s="741">
        <v>150353061.93999997</v>
      </c>
      <c r="H19" s="742">
        <f>E19/12*4</f>
        <v>202529666.66666698</v>
      </c>
      <c r="I19" s="44">
        <f t="shared" si="1"/>
        <v>-52176604.726667017</v>
      </c>
      <c r="J19" s="330">
        <f t="shared" si="2"/>
        <v>-0.25762450304399981</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150097394.14999998</v>
      </c>
      <c r="G21" s="741">
        <v>468369992.5</v>
      </c>
      <c r="H21" s="742">
        <f>E21/12*4</f>
        <v>625847648.59571075</v>
      </c>
      <c r="I21" s="44">
        <f t="shared" si="1"/>
        <v>-157477656.09571075</v>
      </c>
      <c r="J21" s="330">
        <f t="shared" si="2"/>
        <v>-0.25162298915568704</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21036.230000000003</v>
      </c>
      <c r="G22" s="741">
        <v>44754.25</v>
      </c>
      <c r="H22" s="742"/>
      <c r="I22" s="44">
        <f t="shared" si="1"/>
        <v>44754.25</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12207585.369999999</v>
      </c>
      <c r="G28" s="441">
        <f t="shared" si="4"/>
        <v>58516623.270000003</v>
      </c>
      <c r="H28" s="443">
        <f t="shared" si="4"/>
        <v>71554781.431930572</v>
      </c>
      <c r="I28" s="44">
        <f t="shared" si="1"/>
        <v>-13038158.161930569</v>
      </c>
      <c r="J28" s="330">
        <f t="shared" si="2"/>
        <v>-0.1822122561346044</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33825.039999999994</v>
      </c>
      <c r="G29" s="741">
        <v>42038.37</v>
      </c>
      <c r="H29" s="741">
        <f t="shared" ref="H29:H32" si="5">E29/12*4</f>
        <v>1174396.0939333332</v>
      </c>
      <c r="I29" s="258">
        <f t="shared" si="1"/>
        <v>-1132357.7239333331</v>
      </c>
      <c r="J29" s="330">
        <f t="shared" si="2"/>
        <v>-0.96420426616099897</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28135.8</v>
      </c>
      <c r="G30" s="741">
        <v>388411.06999999995</v>
      </c>
      <c r="H30" s="742">
        <f t="shared" si="5"/>
        <v>1604844.6216</v>
      </c>
      <c r="I30" s="44">
        <f t="shared" si="1"/>
        <v>-1216433.5515999999</v>
      </c>
      <c r="J30" s="330">
        <f t="shared" si="2"/>
        <v>-0.75797590322933472</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3077778.99</v>
      </c>
      <c r="G31" s="741">
        <v>9969827.8299999982</v>
      </c>
      <c r="H31" s="742">
        <f t="shared" si="5"/>
        <v>7325351.5957561433</v>
      </c>
      <c r="I31" s="44">
        <f t="shared" si="1"/>
        <v>2644476.2342438549</v>
      </c>
      <c r="J31" s="330">
        <f t="shared" si="2"/>
        <v>0.3610033183630259</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9067845.5399999991</v>
      </c>
      <c r="G32" s="741">
        <v>48116346.000000007</v>
      </c>
      <c r="H32" s="742">
        <f t="shared" si="5"/>
        <v>61450189.12064109</v>
      </c>
      <c r="I32" s="44">
        <f t="shared" si="1"/>
        <v>-13333843.120641083</v>
      </c>
      <c r="J32" s="330">
        <f t="shared" si="2"/>
        <v>-0.21698620153086315</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58.26</v>
      </c>
      <c r="G39" s="441">
        <f t="shared" si="7"/>
        <v>396487.32</v>
      </c>
      <c r="H39" s="443">
        <f t="shared" si="7"/>
        <v>6413060.2288333336</v>
      </c>
      <c r="I39" s="44">
        <f t="shared" si="1"/>
        <v>-6016572.9088333333</v>
      </c>
      <c r="J39" s="330">
        <f t="shared" si="2"/>
        <v>-0.93817502006025455</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 t="shared" ref="H40:H42" si="8">E40/12*4</f>
        <v>6326686.2136333333</v>
      </c>
      <c r="I40" s="44">
        <f t="shared" si="1"/>
        <v>-5930257.1536333337</v>
      </c>
      <c r="J40" s="330">
        <f t="shared" si="2"/>
        <v>-0.93734017357368893</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v>58.26</v>
      </c>
      <c r="G41" s="741">
        <v>58.26</v>
      </c>
      <c r="H41" s="742">
        <f t="shared" si="8"/>
        <v>672.00466666666659</v>
      </c>
      <c r="I41" s="44">
        <f t="shared" si="1"/>
        <v>-613.7446666666666</v>
      </c>
      <c r="J41" s="330">
        <f t="shared" si="2"/>
        <v>-0.91330417348292225</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8"/>
        <v>85702.010533333334</v>
      </c>
      <c r="I42" s="44">
        <f t="shared" si="1"/>
        <v>-85702.010533333334</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334908187.32999998</v>
      </c>
      <c r="G50" s="441">
        <f t="shared" si="10"/>
        <v>1395876485.0700002</v>
      </c>
      <c r="H50" s="443">
        <f t="shared" si="10"/>
        <v>1125448790.9004972</v>
      </c>
      <c r="I50" s="44">
        <f t="shared" si="1"/>
        <v>270427694.16950297</v>
      </c>
      <c r="J50" s="330">
        <f t="shared" si="2"/>
        <v>0.24028431711506626</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198132432.32999998</v>
      </c>
      <c r="G51" s="741">
        <v>843270681.35000002</v>
      </c>
      <c r="H51" s="742">
        <f t="shared" ref="H51:H54" si="11">E51/12*4</f>
        <v>595835702.49562347</v>
      </c>
      <c r="I51" s="44">
        <f t="shared" si="1"/>
        <v>247434978.85437655</v>
      </c>
      <c r="J51" s="330">
        <f t="shared" si="2"/>
        <v>0.41527383776770915</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373480.13</v>
      </c>
      <c r="G52" s="741">
        <v>2830405.21</v>
      </c>
      <c r="H52" s="742">
        <f t="shared" si="11"/>
        <v>6545901.0881000003</v>
      </c>
      <c r="I52" s="44">
        <f t="shared" si="1"/>
        <v>-3715495.8781000003</v>
      </c>
      <c r="J52" s="330">
        <f t="shared" si="2"/>
        <v>-0.56760648046676376</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26618239.110000003</v>
      </c>
      <c r="G53" s="741">
        <v>55830909.540000014</v>
      </c>
      <c r="H53" s="742">
        <f t="shared" si="11"/>
        <v>21930933.251771733</v>
      </c>
      <c r="I53" s="44">
        <f t="shared" si="1"/>
        <v>33899976.288228281</v>
      </c>
      <c r="J53" s="330">
        <f t="shared" si="2"/>
        <v>1.545760770827644</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109784035.76000001</v>
      </c>
      <c r="G54" s="741">
        <v>493944488.97000003</v>
      </c>
      <c r="H54" s="742">
        <f t="shared" si="11"/>
        <v>501136254.06500202</v>
      </c>
      <c r="I54" s="44">
        <f t="shared" si="1"/>
        <v>-7191765.0950019956</v>
      </c>
      <c r="J54" s="330">
        <f t="shared" si="2"/>
        <v>-1.4350917613055304E-2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432870465.38774735</v>
      </c>
      <c r="F61" s="443">
        <f t="shared" si="13"/>
        <v>6534208.4799999986</v>
      </c>
      <c r="G61" s="441">
        <f t="shared" si="13"/>
        <v>38719080.270000003</v>
      </c>
      <c r="H61" s="443">
        <f t="shared" si="13"/>
        <v>144290155.12924913</v>
      </c>
      <c r="I61" s="44">
        <f t="shared" si="1"/>
        <v>-105571074.85924911</v>
      </c>
      <c r="J61" s="330">
        <f t="shared" si="2"/>
        <v>-0.73165819777990349</v>
      </c>
      <c r="K61" s="442">
        <f t="shared" si="13"/>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1808019.2899999998</v>
      </c>
      <c r="G62" s="741">
        <v>8459993.5999999996</v>
      </c>
      <c r="H62" s="742"/>
      <c r="I62" s="44">
        <f t="shared" si="1"/>
        <v>8459993.5999999996</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18018.73</v>
      </c>
      <c r="G63" s="741">
        <v>47024.090000000004</v>
      </c>
      <c r="H63" s="742">
        <f t="shared" ref="H63:H65" si="14">E63/12*4</f>
        <v>13674095.719466666</v>
      </c>
      <c r="I63" s="44">
        <f t="shared" si="1"/>
        <v>-13627071.629466666</v>
      </c>
      <c r="J63" s="330">
        <f t="shared" si="2"/>
        <v>-0.99656108228545925</v>
      </c>
      <c r="K63" s="743">
        <f t="shared" ref="K63:K65" si="15">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4416757.2799999993</v>
      </c>
      <c r="G64" s="741">
        <v>30668072.410000004</v>
      </c>
      <c r="H64" s="742">
        <f t="shared" si="14"/>
        <v>109412425.84778245</v>
      </c>
      <c r="I64" s="44">
        <f t="shared" si="1"/>
        <v>-78744353.437782437</v>
      </c>
      <c r="J64" s="330">
        <f t="shared" si="2"/>
        <v>-0.71970210721160432</v>
      </c>
      <c r="K64" s="743">
        <f t="shared" si="15"/>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291413.18</v>
      </c>
      <c r="G65" s="741">
        <v>-456009.82999999996</v>
      </c>
      <c r="H65" s="742">
        <f t="shared" si="14"/>
        <v>21203633.562000003</v>
      </c>
      <c r="I65" s="44">
        <f t="shared" si="1"/>
        <v>-21659643.392000001</v>
      </c>
      <c r="J65" s="330">
        <f t="shared" si="2"/>
        <v>-1.0215062115965461</v>
      </c>
      <c r="K65" s="743">
        <f t="shared" si="15"/>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6532699838.8720646</v>
      </c>
      <c r="F171" s="450">
        <f t="shared" si="30"/>
        <v>505742639.81999993</v>
      </c>
      <c r="G171" s="448">
        <f t="shared" si="30"/>
        <v>2109369873.1800003</v>
      </c>
      <c r="H171" s="450">
        <f t="shared" si="30"/>
        <v>2177566612.9573545</v>
      </c>
      <c r="I171" s="514">
        <f t="shared" si="24"/>
        <v>-68196739.77735424</v>
      </c>
      <c r="J171" s="515">
        <f t="shared" si="25"/>
        <v>-3.1317866177575253E-2</v>
      </c>
      <c r="K171" s="449">
        <f t="shared" si="30"/>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187684680.20182845</v>
      </c>
      <c r="F174" s="470">
        <f t="shared" si="31"/>
        <v>12714535.029999999</v>
      </c>
      <c r="G174" s="468">
        <f t="shared" si="31"/>
        <v>49257489.719999999</v>
      </c>
      <c r="H174" s="470">
        <f t="shared" si="31"/>
        <v>62561560.06727615</v>
      </c>
      <c r="I174" s="44">
        <f t="shared" si="24"/>
        <v>-13304070.347276151</v>
      </c>
      <c r="J174" s="330">
        <f t="shared" si="25"/>
        <v>-0.21265566800075791</v>
      </c>
      <c r="K174" s="469">
        <f t="shared" si="31"/>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1119268.3700000001</v>
      </c>
      <c r="G175" s="733">
        <v>4230080.8200000012</v>
      </c>
      <c r="H175" s="746">
        <f t="shared" ref="H175:H178" si="32">E175/12*4</f>
        <v>6585885.8878973313</v>
      </c>
      <c r="I175" s="44">
        <f t="shared" si="24"/>
        <v>-2355805.06789733</v>
      </c>
      <c r="J175" s="330">
        <f t="shared" si="25"/>
        <v>-0.35770511484666268</v>
      </c>
      <c r="K175" s="747">
        <f t="shared" ref="K175:K178" si="33">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3822413.0699999994</v>
      </c>
      <c r="G176" s="733">
        <v>14514031.160000004</v>
      </c>
      <c r="H176" s="746">
        <f t="shared" si="32"/>
        <v>16068692.436053948</v>
      </c>
      <c r="I176" s="44">
        <f t="shared" si="24"/>
        <v>-1554661.2760539446</v>
      </c>
      <c r="J176" s="330">
        <f t="shared" si="25"/>
        <v>-9.6750951095789892E-2</v>
      </c>
      <c r="K176" s="747">
        <f t="shared" si="33"/>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6989722.4499999993</v>
      </c>
      <c r="G177" s="733">
        <v>28351210.459999997</v>
      </c>
      <c r="H177" s="746">
        <f t="shared" si="32"/>
        <v>35624111.479204871</v>
      </c>
      <c r="I177" s="44">
        <f t="shared" si="24"/>
        <v>-7272901.0192048736</v>
      </c>
      <c r="J177" s="330">
        <f t="shared" si="25"/>
        <v>-0.20415669941551634</v>
      </c>
      <c r="K177" s="747">
        <f t="shared" si="33"/>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783131.14</v>
      </c>
      <c r="G178" s="733">
        <v>2162167.2800000003</v>
      </c>
      <c r="H178" s="746">
        <f t="shared" si="32"/>
        <v>4282870.2641199995</v>
      </c>
      <c r="I178" s="44">
        <f t="shared" si="24"/>
        <v>-2120702.9841199992</v>
      </c>
      <c r="J178" s="330">
        <f t="shared" si="25"/>
        <v>-0.49515928649212532</v>
      </c>
      <c r="K178" s="747">
        <f t="shared" si="33"/>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701512353.70556009</v>
      </c>
      <c r="F185" s="443">
        <f t="shared" si="34"/>
        <v>45414465.400000006</v>
      </c>
      <c r="G185" s="441">
        <f t="shared" si="34"/>
        <v>104978455.50999998</v>
      </c>
      <c r="H185" s="443">
        <f t="shared" si="34"/>
        <v>233837451.2351867</v>
      </c>
      <c r="I185" s="44">
        <f t="shared" si="24"/>
        <v>-128858995.72518672</v>
      </c>
      <c r="J185" s="330">
        <f t="shared" si="25"/>
        <v>-0.55106226587966101</v>
      </c>
      <c r="K185" s="442">
        <f t="shared" si="34"/>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18289682.649999999</v>
      </c>
      <c r="G186" s="733">
        <v>30141934.109999985</v>
      </c>
      <c r="H186" s="746">
        <f t="shared" ref="H186:H190" si="35">E186/12*4</f>
        <v>31528330.624909509</v>
      </c>
      <c r="I186" s="44">
        <f t="shared" si="24"/>
        <v>-1386396.5149095245</v>
      </c>
      <c r="J186" s="330">
        <f t="shared" si="25"/>
        <v>-4.3973039086762734E-2</v>
      </c>
      <c r="K186" s="747">
        <f t="shared" ref="K186:K190" si="36">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7629366.6600000011</v>
      </c>
      <c r="G187" s="733">
        <v>23707735.509999998</v>
      </c>
      <c r="H187" s="746">
        <f t="shared" si="35"/>
        <v>15067017.930201633</v>
      </c>
      <c r="I187" s="44">
        <f t="shared" si="24"/>
        <v>8640717.579798365</v>
      </c>
      <c r="J187" s="330">
        <f t="shared" si="25"/>
        <v>0.57348558419633677</v>
      </c>
      <c r="K187" s="747">
        <f t="shared" si="36"/>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2032115.0999999999</v>
      </c>
      <c r="G188" s="733">
        <v>5654164.4300000006</v>
      </c>
      <c r="H188" s="746">
        <f t="shared" si="35"/>
        <v>152528540.97169808</v>
      </c>
      <c r="I188" s="44">
        <f t="shared" si="24"/>
        <v>-146874376.54169807</v>
      </c>
      <c r="J188" s="330">
        <f t="shared" si="25"/>
        <v>-0.96293044964581975</v>
      </c>
      <c r="K188" s="747">
        <f t="shared" si="36"/>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11161365.299999999</v>
      </c>
      <c r="G189" s="733">
        <v>31873255.589999996</v>
      </c>
      <c r="H189" s="746">
        <f t="shared" si="35"/>
        <v>7413095.1521794694</v>
      </c>
      <c r="I189" s="44">
        <f t="shared" si="24"/>
        <v>24460160.437820528</v>
      </c>
      <c r="J189" s="330">
        <f t="shared" si="25"/>
        <v>3.2995880850968407</v>
      </c>
      <c r="K189" s="747">
        <f t="shared" si="36"/>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6301935.6900000013</v>
      </c>
      <c r="G190" s="733">
        <v>13601365.869999995</v>
      </c>
      <c r="H190" s="746">
        <f t="shared" si="35"/>
        <v>27300466.556198012</v>
      </c>
      <c r="I190" s="44">
        <f t="shared" si="24"/>
        <v>-13699100.686198017</v>
      </c>
      <c r="J190" s="330">
        <f t="shared" si="25"/>
        <v>-0.50178998435790156</v>
      </c>
      <c r="K190" s="747">
        <f t="shared" si="36"/>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743751614.16259539</v>
      </c>
      <c r="F196" s="443">
        <f t="shared" si="37"/>
        <v>84513574.860000014</v>
      </c>
      <c r="G196" s="441">
        <f t="shared" si="37"/>
        <v>285785096.75999987</v>
      </c>
      <c r="H196" s="443">
        <f t="shared" si="37"/>
        <v>247917204.72086513</v>
      </c>
      <c r="I196" s="44">
        <f t="shared" si="24"/>
        <v>37867892.039134741</v>
      </c>
      <c r="J196" s="330">
        <f t="shared" si="25"/>
        <v>0.15274410697624211</v>
      </c>
      <c r="K196" s="442">
        <f t="shared" si="37"/>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4511362.5100000007</v>
      </c>
      <c r="G197" s="733">
        <v>13103560.950000005</v>
      </c>
      <c r="H197" s="746"/>
      <c r="I197" s="44">
        <f t="shared" si="24"/>
        <v>13103560.950000005</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36824302.25</v>
      </c>
      <c r="G198" s="733">
        <v>123331895.01999995</v>
      </c>
      <c r="H198" s="746">
        <f>E198/12*4</f>
        <v>247917204.72086513</v>
      </c>
      <c r="I198" s="44">
        <f>G198-H198</f>
        <v>-124585309.70086518</v>
      </c>
      <c r="J198" s="330">
        <f t="shared" ref="J198:J261" si="38">IF(I198=0,"",I198/H198)</f>
        <v>-0.50252788966840056</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29186650.200000022</v>
      </c>
      <c r="G199" s="733">
        <v>108840396.86999987</v>
      </c>
      <c r="H199" s="746"/>
      <c r="I199" s="44">
        <f t="shared" ref="I199:I261" si="39">G199-H199</f>
        <v>108840396.86999987</v>
      </c>
      <c r="J199" s="330" t="e">
        <f t="shared" si="38"/>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13991259.899999993</v>
      </c>
      <c r="G200" s="733">
        <v>40509243.920000017</v>
      </c>
      <c r="H200" s="746"/>
      <c r="I200" s="44">
        <f t="shared" si="39"/>
        <v>40509243.920000017</v>
      </c>
      <c r="J200" s="330" t="e">
        <f t="shared" si="38"/>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9"/>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9"/>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9"/>
        <v>0</v>
      </c>
      <c r="J203" s="330" t="str">
        <f t="shared" si="38"/>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9"/>
        <v>0</v>
      </c>
      <c r="J204" s="330" t="str">
        <f t="shared" si="38"/>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9"/>
        <v>0</v>
      </c>
      <c r="J205" s="330" t="str">
        <f t="shared" si="38"/>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9"/>
        <v>0</v>
      </c>
      <c r="J206" s="330" t="str">
        <f t="shared" si="38"/>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0">SUM(C208:C217)</f>
        <v>0</v>
      </c>
      <c r="D207" s="444">
        <f t="shared" si="40"/>
        <v>200548950.39124021</v>
      </c>
      <c r="E207" s="441">
        <f t="shared" si="40"/>
        <v>200548953.39108872</v>
      </c>
      <c r="F207" s="443">
        <f t="shared" si="40"/>
        <v>14153761.019999996</v>
      </c>
      <c r="G207" s="441">
        <f t="shared" si="40"/>
        <v>43100460.949999996</v>
      </c>
      <c r="H207" s="443">
        <f t="shared" si="40"/>
        <v>66849651.130362906</v>
      </c>
      <c r="I207" s="44">
        <f t="shared" si="39"/>
        <v>-23749190.18036291</v>
      </c>
      <c r="J207" s="330">
        <f t="shared" si="38"/>
        <v>-0.35526273927817253</v>
      </c>
      <c r="K207" s="442">
        <f t="shared" si="40"/>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6996183.4399999967</v>
      </c>
      <c r="G208" s="384">
        <v>19734567.379999999</v>
      </c>
      <c r="H208" s="472">
        <f t="shared" ref="H208:H212" si="41">E208/12*4</f>
        <v>12367412.019290702</v>
      </c>
      <c r="I208" s="44">
        <f t="shared" si="39"/>
        <v>7367155.3607092965</v>
      </c>
      <c r="J208" s="330">
        <f t="shared" si="38"/>
        <v>0.59569094562532565</v>
      </c>
      <c r="K208" s="395">
        <f t="shared" ref="K208:K212" si="42">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2257315.5699999998</v>
      </c>
      <c r="G209" s="384">
        <v>9726063.5899999999</v>
      </c>
      <c r="H209" s="472">
        <f t="shared" si="41"/>
        <v>1435392.4763675795</v>
      </c>
      <c r="I209" s="44">
        <f t="shared" si="39"/>
        <v>8290671.1136324201</v>
      </c>
      <c r="J209" s="330">
        <f t="shared" si="38"/>
        <v>5.7758914374505332</v>
      </c>
      <c r="K209" s="395">
        <f t="shared" si="42"/>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1245245.51</v>
      </c>
      <c r="G210" s="384">
        <v>3655613.54</v>
      </c>
      <c r="H210" s="472">
        <f t="shared" si="41"/>
        <v>39208985.097244404</v>
      </c>
      <c r="I210" s="44">
        <f t="shared" si="39"/>
        <v>-35553371.557244405</v>
      </c>
      <c r="J210" s="330">
        <f t="shared" si="38"/>
        <v>-0.9067659228890137</v>
      </c>
      <c r="K210" s="395">
        <f t="shared" si="42"/>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3325715.98</v>
      </c>
      <c r="G211" s="384">
        <v>8962544.9999999981</v>
      </c>
      <c r="H211" s="472">
        <f t="shared" si="41"/>
        <v>10167466.48098436</v>
      </c>
      <c r="I211" s="44">
        <f t="shared" si="39"/>
        <v>-1204921.4809843618</v>
      </c>
      <c r="J211" s="330">
        <f t="shared" si="38"/>
        <v>-0.11850754396268319</v>
      </c>
      <c r="K211" s="395">
        <f t="shared" si="42"/>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329300.51999999996</v>
      </c>
      <c r="G212" s="384">
        <v>1021671.4400000001</v>
      </c>
      <c r="H212" s="472">
        <f t="shared" si="41"/>
        <v>3670395.0564758549</v>
      </c>
      <c r="I212" s="44">
        <f t="shared" si="39"/>
        <v>-2648723.616475855</v>
      </c>
      <c r="J212" s="330">
        <f t="shared" si="38"/>
        <v>-0.72164537487663194</v>
      </c>
      <c r="K212" s="395">
        <f t="shared" si="42"/>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9"/>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9"/>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9"/>
        <v>0</v>
      </c>
      <c r="J215" s="330" t="str">
        <f t="shared" si="38"/>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9"/>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9"/>
        <v>0</v>
      </c>
      <c r="J217" s="330" t="str">
        <f t="shared" si="38"/>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3">SUM(C219:C228)</f>
        <v>0</v>
      </c>
      <c r="D218" s="444">
        <f t="shared" si="43"/>
        <v>3393288719.277081</v>
      </c>
      <c r="E218" s="441">
        <f t="shared" si="43"/>
        <v>3396225399.6151776</v>
      </c>
      <c r="F218" s="443">
        <f t="shared" si="43"/>
        <v>216395563.29000002</v>
      </c>
      <c r="G218" s="441">
        <f t="shared" si="43"/>
        <v>1308716623.6099997</v>
      </c>
      <c r="H218" s="443">
        <f t="shared" si="43"/>
        <v>1132075133.2050595</v>
      </c>
      <c r="I218" s="44">
        <f t="shared" si="39"/>
        <v>176641490.40494013</v>
      </c>
      <c r="J218" s="330">
        <f t="shared" si="38"/>
        <v>0.15603336317868224</v>
      </c>
      <c r="K218" s="442">
        <f t="shared" si="43"/>
        <v>3396225399.6151776</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82725761.019999996</v>
      </c>
      <c r="G219" s="384">
        <v>849426088.06999993</v>
      </c>
      <c r="H219" s="472">
        <f t="shared" ref="H219:H223" si="44">E219/12*4</f>
        <v>651715731.49184024</v>
      </c>
      <c r="I219" s="44">
        <f t="shared" si="39"/>
        <v>197710356.57815969</v>
      </c>
      <c r="J219" s="330">
        <f t="shared" si="38"/>
        <v>0.30336901048188847</v>
      </c>
      <c r="K219" s="395">
        <f t="shared" ref="K219:K223" si="45">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1997740.9399999997</v>
      </c>
      <c r="G220" s="384">
        <v>4667259.0599999987</v>
      </c>
      <c r="H220" s="472">
        <f t="shared" si="44"/>
        <v>18840882.267451245</v>
      </c>
      <c r="I220" s="44">
        <f t="shared" si="39"/>
        <v>-14173623.207451247</v>
      </c>
      <c r="J220" s="330">
        <f t="shared" si="38"/>
        <v>-0.75228022797727634</v>
      </c>
      <c r="K220" s="395">
        <f t="shared" si="45"/>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97499418.257450104</v>
      </c>
      <c r="F221" s="472">
        <v>30155103.620000005</v>
      </c>
      <c r="G221" s="384">
        <v>89204814.159999996</v>
      </c>
      <c r="H221" s="472">
        <f t="shared" si="44"/>
        <v>32499806.0858167</v>
      </c>
      <c r="I221" s="44">
        <f t="shared" si="39"/>
        <v>56705008.0741833</v>
      </c>
      <c r="J221" s="330">
        <f t="shared" si="38"/>
        <v>1.744779889592327</v>
      </c>
      <c r="K221" s="395">
        <f t="shared" si="45"/>
        <v>97499418.257450104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101377482.15000001</v>
      </c>
      <c r="G222" s="384">
        <v>365038973.70000005</v>
      </c>
      <c r="H222" s="472">
        <f t="shared" si="44"/>
        <v>422263268.84865665</v>
      </c>
      <c r="I222" s="44">
        <f t="shared" si="39"/>
        <v>-57224295.148656607</v>
      </c>
      <c r="J222" s="330">
        <f t="shared" si="38"/>
        <v>-0.13551805087069119</v>
      </c>
      <c r="K222" s="395">
        <f t="shared" si="45"/>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139475.56</v>
      </c>
      <c r="G223" s="384">
        <v>379488.62</v>
      </c>
      <c r="H223" s="472">
        <f t="shared" si="44"/>
        <v>6755444.5112945093</v>
      </c>
      <c r="I223" s="44">
        <f t="shared" si="39"/>
        <v>-6375955.8912945092</v>
      </c>
      <c r="J223" s="330">
        <f t="shared" si="38"/>
        <v>-0.94382477431862133</v>
      </c>
      <c r="K223" s="395">
        <f t="shared" si="45"/>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9"/>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9"/>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9"/>
        <v>0</v>
      </c>
      <c r="J226" s="330" t="str">
        <f t="shared" si="38"/>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9"/>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9"/>
        <v>0</v>
      </c>
      <c r="J228" s="330" t="str">
        <f t="shared" si="38"/>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6">SUM(C230:C239)</f>
        <v>0</v>
      </c>
      <c r="D229" s="444">
        <f t="shared" si="46"/>
        <v>281692261.08596432</v>
      </c>
      <c r="E229" s="441">
        <f t="shared" si="46"/>
        <v>329805169.15482336</v>
      </c>
      <c r="F229" s="443">
        <f t="shared" si="46"/>
        <v>21993040.09</v>
      </c>
      <c r="G229" s="441">
        <f t="shared" si="46"/>
        <v>76480946.640000001</v>
      </c>
      <c r="H229" s="443">
        <f t="shared" si="46"/>
        <v>109935056.38494112</v>
      </c>
      <c r="I229" s="44">
        <f t="shared" si="39"/>
        <v>-33454109.744941115</v>
      </c>
      <c r="J229" s="330">
        <f t="shared" si="38"/>
        <v>-0.30430793274713464</v>
      </c>
      <c r="K229" s="442">
        <f t="shared" si="46"/>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329805169.15482336</v>
      </c>
      <c r="F230" s="472">
        <v>5187195.790000001</v>
      </c>
      <c r="G230" s="384">
        <v>24571184.680000011</v>
      </c>
      <c r="H230" s="472">
        <f>E230/12*4</f>
        <v>109935056.38494112</v>
      </c>
      <c r="I230" s="44">
        <f t="shared" si="39"/>
        <v>-85363871.704941109</v>
      </c>
      <c r="J230" s="330">
        <f t="shared" si="38"/>
        <v>-0.7764936364432905</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1158795.0900000001</v>
      </c>
      <c r="G231" s="384">
        <v>3585695.5600000005</v>
      </c>
      <c r="H231" s="742"/>
      <c r="I231" s="44">
        <f t="shared" si="39"/>
        <v>3585695.5600000005</v>
      </c>
      <c r="J231" s="330" t="e">
        <f t="shared" si="38"/>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6341388.459999999</v>
      </c>
      <c r="G232" s="384">
        <v>21138965.700000007</v>
      </c>
      <c r="H232" s="742"/>
      <c r="I232" s="44">
        <f t="shared" si="39"/>
        <v>21138965.700000007</v>
      </c>
      <c r="J232" s="330" t="e">
        <f t="shared" si="38"/>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9130303.2800000012</v>
      </c>
      <c r="G233" s="384">
        <v>26574139.50999999</v>
      </c>
      <c r="H233" s="742"/>
      <c r="I233" s="44">
        <f t="shared" si="39"/>
        <v>26574139.50999999</v>
      </c>
      <c r="J233" s="330" t="e">
        <f t="shared" si="38"/>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175357.46999999994</v>
      </c>
      <c r="G234" s="384">
        <v>610961.18999999994</v>
      </c>
      <c r="H234" s="742"/>
      <c r="I234" s="44">
        <f t="shared" si="39"/>
        <v>610961.18999999994</v>
      </c>
      <c r="J234" s="330" t="e">
        <f t="shared" si="38"/>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9"/>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9"/>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9"/>
        <v>0</v>
      </c>
      <c r="J237" s="330" t="str">
        <f t="shared" si="38"/>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9"/>
        <v>0</v>
      </c>
      <c r="J238" s="330" t="str">
        <f t="shared" si="38"/>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9"/>
        <v>0</v>
      </c>
      <c r="J239" s="330" t="str">
        <f t="shared" si="38"/>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47">SUM(C241:C250)</f>
        <v>0</v>
      </c>
      <c r="D240" s="444">
        <f t="shared" si="47"/>
        <v>0</v>
      </c>
      <c r="E240" s="441">
        <f t="shared" si="47"/>
        <v>0</v>
      </c>
      <c r="F240" s="443">
        <f t="shared" si="47"/>
        <v>0</v>
      </c>
      <c r="G240" s="441">
        <f t="shared" si="47"/>
        <v>0</v>
      </c>
      <c r="H240" s="443">
        <f t="shared" si="47"/>
        <v>0</v>
      </c>
      <c r="I240" s="44">
        <f t="shared" si="39"/>
        <v>0</v>
      </c>
      <c r="J240" s="330" t="str">
        <f t="shared" si="38"/>
        <v/>
      </c>
      <c r="K240" s="442">
        <f t="shared" si="47"/>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9"/>
        <v>0</v>
      </c>
      <c r="J241" s="330" t="str">
        <f t="shared" si="38"/>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9"/>
        <v>0</v>
      </c>
      <c r="J242" s="330" t="str">
        <f t="shared" si="38"/>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9"/>
        <v>0</v>
      </c>
      <c r="J243" s="330" t="str">
        <f t="shared" si="38"/>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9"/>
        <v>0</v>
      </c>
      <c r="J244" s="330" t="str">
        <f t="shared" si="38"/>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9"/>
        <v>0</v>
      </c>
      <c r="J245" s="330" t="str">
        <f t="shared" si="38"/>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9"/>
        <v>0</v>
      </c>
      <c r="J246" s="330" t="str">
        <f t="shared" si="38"/>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9"/>
        <v>0</v>
      </c>
      <c r="J247" s="330" t="str">
        <f t="shared" si="38"/>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9"/>
        <v>0</v>
      </c>
      <c r="J248" s="330" t="str">
        <f t="shared" si="38"/>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9"/>
        <v>0</v>
      </c>
      <c r="J249" s="330" t="str">
        <f t="shared" si="38"/>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9"/>
        <v>0</v>
      </c>
      <c r="J250" s="330" t="str">
        <f t="shared" si="38"/>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8">SUM(C252:C261)</f>
        <v>0</v>
      </c>
      <c r="D251" s="444">
        <f t="shared" si="48"/>
        <v>0</v>
      </c>
      <c r="E251" s="441">
        <f t="shared" si="48"/>
        <v>0</v>
      </c>
      <c r="F251" s="443">
        <f t="shared" si="48"/>
        <v>0</v>
      </c>
      <c r="G251" s="441">
        <f t="shared" si="48"/>
        <v>0</v>
      </c>
      <c r="H251" s="443">
        <f t="shared" si="48"/>
        <v>0</v>
      </c>
      <c r="I251" s="44">
        <f t="shared" si="39"/>
        <v>0</v>
      </c>
      <c r="J251" s="330" t="str">
        <f t="shared" si="38"/>
        <v/>
      </c>
      <c r="K251" s="442">
        <f t="shared" si="48"/>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9"/>
        <v>0</v>
      </c>
      <c r="J252" s="330" t="str">
        <f t="shared" si="38"/>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9"/>
        <v>0</v>
      </c>
      <c r="J253" s="330" t="str">
        <f t="shared" si="38"/>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9"/>
        <v>0</v>
      </c>
      <c r="J254" s="330" t="str">
        <f t="shared" si="38"/>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9"/>
        <v>0</v>
      </c>
      <c r="J255" s="330" t="str">
        <f t="shared" si="38"/>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9"/>
        <v>0</v>
      </c>
      <c r="J256" s="330" t="str">
        <f t="shared" si="38"/>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9"/>
        <v>0</v>
      </c>
      <c r="J257" s="330" t="str">
        <f t="shared" si="38"/>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9"/>
        <v>0</v>
      </c>
      <c r="J258" s="330" t="str">
        <f t="shared" si="38"/>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9"/>
        <v>0</v>
      </c>
      <c r="J259" s="330" t="str">
        <f t="shared" si="38"/>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9"/>
        <v>0</v>
      </c>
      <c r="J260" s="330" t="str">
        <f t="shared" si="38"/>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9"/>
        <v>0</v>
      </c>
      <c r="J261" s="330" t="str">
        <f t="shared" si="38"/>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9">SUM(C263:C272)</f>
        <v>0</v>
      </c>
      <c r="D262" s="444">
        <f t="shared" si="49"/>
        <v>0</v>
      </c>
      <c r="E262" s="441">
        <f t="shared" si="49"/>
        <v>0</v>
      </c>
      <c r="F262" s="443">
        <f t="shared" si="49"/>
        <v>0</v>
      </c>
      <c r="G262" s="441">
        <f t="shared" si="49"/>
        <v>0</v>
      </c>
      <c r="H262" s="443">
        <f t="shared" si="49"/>
        <v>0</v>
      </c>
      <c r="I262" s="44">
        <f t="shared" ref="I262:I325" si="50">G262-H262</f>
        <v>0</v>
      </c>
      <c r="J262" s="330" t="str">
        <f t="shared" ref="J262:J325" si="51">IF(I262=0,"",I262/H262)</f>
        <v/>
      </c>
      <c r="K262" s="442">
        <f t="shared" si="49"/>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0"/>
        <v>0</v>
      </c>
      <c r="J263" s="330" t="str">
        <f t="shared" si="51"/>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0"/>
        <v>0</v>
      </c>
      <c r="J264" s="330" t="str">
        <f t="shared" si="51"/>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0"/>
        <v>0</v>
      </c>
      <c r="J265" s="330" t="str">
        <f t="shared" si="51"/>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0"/>
        <v>0</v>
      </c>
      <c r="J266" s="330" t="str">
        <f t="shared" si="51"/>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0"/>
        <v>0</v>
      </c>
      <c r="J267" s="330" t="str">
        <f t="shared" si="51"/>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0"/>
        <v>0</v>
      </c>
      <c r="J268" s="330" t="str">
        <f t="shared" si="51"/>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0"/>
        <v>0</v>
      </c>
      <c r="J269" s="330" t="str">
        <f t="shared" si="51"/>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0"/>
        <v>0</v>
      </c>
      <c r="J270" s="330" t="str">
        <f t="shared" si="51"/>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0"/>
        <v>0</v>
      </c>
      <c r="J271" s="330" t="str">
        <f t="shared" si="51"/>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0"/>
        <v>0</v>
      </c>
      <c r="J272" s="330" t="str">
        <f t="shared" si="51"/>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2">SUM(C274:C283)</f>
        <v>0</v>
      </c>
      <c r="D273" s="444">
        <f t="shared" si="52"/>
        <v>0</v>
      </c>
      <c r="E273" s="441">
        <f t="shared" si="52"/>
        <v>0</v>
      </c>
      <c r="F273" s="443">
        <f t="shared" si="52"/>
        <v>0</v>
      </c>
      <c r="G273" s="441">
        <f t="shared" si="52"/>
        <v>0</v>
      </c>
      <c r="H273" s="443">
        <f t="shared" si="52"/>
        <v>0</v>
      </c>
      <c r="I273" s="44">
        <f t="shared" si="50"/>
        <v>0</v>
      </c>
      <c r="J273" s="330" t="str">
        <f t="shared" si="51"/>
        <v/>
      </c>
      <c r="K273" s="442">
        <f t="shared" si="52"/>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0"/>
        <v>0</v>
      </c>
      <c r="J274" s="330" t="str">
        <f t="shared" si="51"/>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0"/>
        <v>0</v>
      </c>
      <c r="J275" s="330" t="str">
        <f t="shared" si="51"/>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0"/>
        <v>0</v>
      </c>
      <c r="J276" s="330" t="str">
        <f t="shared" si="51"/>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0"/>
        <v>0</v>
      </c>
      <c r="J277" s="330" t="str">
        <f t="shared" si="51"/>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0"/>
        <v>0</v>
      </c>
      <c r="J278" s="330" t="str">
        <f t="shared" si="51"/>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0"/>
        <v>0</v>
      </c>
      <c r="J279" s="330" t="str">
        <f t="shared" si="51"/>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0"/>
        <v>0</v>
      </c>
      <c r="J280" s="330" t="str">
        <f t="shared" si="51"/>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0"/>
        <v>0</v>
      </c>
      <c r="J281" s="330" t="str">
        <f t="shared" si="51"/>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0"/>
        <v>0</v>
      </c>
      <c r="J282" s="330" t="str">
        <f t="shared" si="51"/>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0"/>
        <v>0</v>
      </c>
      <c r="J283" s="330" t="str">
        <f t="shared" si="51"/>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3">SUM(C285:C294)</f>
        <v>0</v>
      </c>
      <c r="D284" s="444">
        <f t="shared" si="53"/>
        <v>0</v>
      </c>
      <c r="E284" s="441">
        <f t="shared" si="53"/>
        <v>0</v>
      </c>
      <c r="F284" s="443">
        <f t="shared" si="53"/>
        <v>0</v>
      </c>
      <c r="G284" s="441">
        <f t="shared" si="53"/>
        <v>0</v>
      </c>
      <c r="H284" s="443">
        <f t="shared" si="53"/>
        <v>0</v>
      </c>
      <c r="I284" s="44">
        <f t="shared" si="50"/>
        <v>0</v>
      </c>
      <c r="J284" s="330" t="str">
        <f t="shared" si="51"/>
        <v/>
      </c>
      <c r="K284" s="442">
        <f t="shared" si="53"/>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0"/>
        <v>0</v>
      </c>
      <c r="J285" s="330" t="str">
        <f t="shared" si="51"/>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0"/>
        <v>0</v>
      </c>
      <c r="J286" s="330" t="str">
        <f t="shared" si="51"/>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0"/>
        <v>0</v>
      </c>
      <c r="J287" s="330" t="str">
        <f t="shared" si="51"/>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0"/>
        <v>0</v>
      </c>
      <c r="J288" s="330" t="str">
        <f t="shared" si="51"/>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0"/>
        <v>0</v>
      </c>
      <c r="J289" s="330" t="str">
        <f t="shared" si="51"/>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0"/>
        <v>0</v>
      </c>
      <c r="J290" s="330" t="str">
        <f t="shared" si="51"/>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0"/>
        <v>0</v>
      </c>
      <c r="J291" s="330" t="str">
        <f t="shared" si="51"/>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0"/>
        <v>0</v>
      </c>
      <c r="J292" s="330" t="str">
        <f t="shared" si="51"/>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0"/>
        <v>0</v>
      </c>
      <c r="J293" s="330" t="str">
        <f t="shared" si="51"/>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0"/>
        <v>0</v>
      </c>
      <c r="J294" s="330" t="str">
        <f t="shared" si="51"/>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4">SUM(C296:C305)</f>
        <v>0</v>
      </c>
      <c r="D295" s="444">
        <f t="shared" si="54"/>
        <v>0</v>
      </c>
      <c r="E295" s="441">
        <f t="shared" si="54"/>
        <v>0</v>
      </c>
      <c r="F295" s="443">
        <f t="shared" si="54"/>
        <v>0</v>
      </c>
      <c r="G295" s="441">
        <f t="shared" si="54"/>
        <v>0</v>
      </c>
      <c r="H295" s="443">
        <f t="shared" si="54"/>
        <v>0</v>
      </c>
      <c r="I295" s="44">
        <f t="shared" si="50"/>
        <v>0</v>
      </c>
      <c r="J295" s="330" t="str">
        <f t="shared" si="51"/>
        <v/>
      </c>
      <c r="K295" s="442">
        <f t="shared" si="54"/>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0"/>
        <v>0</v>
      </c>
      <c r="J296" s="330" t="str">
        <f t="shared" si="51"/>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0"/>
        <v>0</v>
      </c>
      <c r="J297" s="330" t="str">
        <f t="shared" si="51"/>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0"/>
        <v>0</v>
      </c>
      <c r="J298" s="330" t="str">
        <f t="shared" si="51"/>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0"/>
        <v>0</v>
      </c>
      <c r="J299" s="330" t="str">
        <f t="shared" si="51"/>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0"/>
        <v>0</v>
      </c>
      <c r="J300" s="330" t="str">
        <f t="shared" si="51"/>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0"/>
        <v>0</v>
      </c>
      <c r="J301" s="330" t="str">
        <f t="shared" si="51"/>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0"/>
        <v>0</v>
      </c>
      <c r="J302" s="330" t="str">
        <f t="shared" si="51"/>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0"/>
        <v>0</v>
      </c>
      <c r="J303" s="330" t="str">
        <f t="shared" si="51"/>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0"/>
        <v>0</v>
      </c>
      <c r="J304" s="330" t="str">
        <f t="shared" si="51"/>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0"/>
        <v>0</v>
      </c>
      <c r="J305" s="330" t="str">
        <f t="shared" si="51"/>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5">SUM(C307:C316)</f>
        <v>0</v>
      </c>
      <c r="D306" s="444">
        <f t="shared" si="55"/>
        <v>0</v>
      </c>
      <c r="E306" s="441">
        <f t="shared" si="55"/>
        <v>0</v>
      </c>
      <c r="F306" s="443">
        <f t="shared" si="55"/>
        <v>0</v>
      </c>
      <c r="G306" s="441">
        <f t="shared" si="55"/>
        <v>0</v>
      </c>
      <c r="H306" s="443">
        <f t="shared" si="55"/>
        <v>0</v>
      </c>
      <c r="I306" s="44">
        <f t="shared" si="50"/>
        <v>0</v>
      </c>
      <c r="J306" s="330" t="str">
        <f t="shared" si="51"/>
        <v/>
      </c>
      <c r="K306" s="442">
        <f t="shared" si="55"/>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0"/>
        <v>0</v>
      </c>
      <c r="J307" s="330" t="str">
        <f t="shared" si="51"/>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0"/>
        <v>0</v>
      </c>
      <c r="J308" s="330" t="str">
        <f t="shared" si="51"/>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0"/>
        <v>0</v>
      </c>
      <c r="J309" s="330" t="str">
        <f t="shared" si="51"/>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0"/>
        <v>0</v>
      </c>
      <c r="J310" s="330" t="str">
        <f t="shared" si="51"/>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0"/>
        <v>0</v>
      </c>
      <c r="J311" s="330" t="str">
        <f t="shared" si="51"/>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0"/>
        <v>0</v>
      </c>
      <c r="J312" s="330" t="str">
        <f t="shared" si="51"/>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0"/>
        <v>0</v>
      </c>
      <c r="J313" s="330" t="str">
        <f t="shared" si="51"/>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0"/>
        <v>0</v>
      </c>
      <c r="J314" s="330" t="str">
        <f t="shared" si="51"/>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0"/>
        <v>0</v>
      </c>
      <c r="J315" s="330" t="str">
        <f t="shared" si="51"/>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0"/>
        <v>0</v>
      </c>
      <c r="J316" s="330" t="str">
        <f t="shared" si="51"/>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6">SUM(C318:C327)</f>
        <v>0</v>
      </c>
      <c r="D317" s="444">
        <f t="shared" si="56"/>
        <v>0</v>
      </c>
      <c r="E317" s="441">
        <f t="shared" si="56"/>
        <v>0</v>
      </c>
      <c r="F317" s="443">
        <f t="shared" si="56"/>
        <v>0</v>
      </c>
      <c r="G317" s="441">
        <f t="shared" si="56"/>
        <v>0</v>
      </c>
      <c r="H317" s="443">
        <f t="shared" si="56"/>
        <v>0</v>
      </c>
      <c r="I317" s="44">
        <f t="shared" si="50"/>
        <v>0</v>
      </c>
      <c r="J317" s="330" t="str">
        <f t="shared" si="51"/>
        <v/>
      </c>
      <c r="K317" s="442">
        <f t="shared" si="56"/>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0"/>
        <v>0</v>
      </c>
      <c r="J318" s="330" t="str">
        <f t="shared" si="51"/>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0"/>
        <v>0</v>
      </c>
      <c r="J319" s="330" t="str">
        <f t="shared" si="51"/>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0"/>
        <v>0</v>
      </c>
      <c r="J320" s="330" t="str">
        <f t="shared" si="51"/>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0"/>
        <v>0</v>
      </c>
      <c r="J321" s="330" t="str">
        <f t="shared" si="51"/>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0"/>
        <v>0</v>
      </c>
      <c r="J322" s="330" t="str">
        <f t="shared" si="51"/>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0"/>
        <v>0</v>
      </c>
      <c r="J323" s="330" t="str">
        <f t="shared" si="51"/>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0"/>
        <v>0</v>
      </c>
      <c r="J324" s="330" t="str">
        <f t="shared" si="51"/>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0"/>
        <v>0</v>
      </c>
      <c r="J325" s="330" t="str">
        <f t="shared" si="51"/>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57">G326-H326</f>
        <v>0</v>
      </c>
      <c r="J326" s="330" t="str">
        <f t="shared" ref="J326:J341" si="58">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57"/>
        <v>0</v>
      </c>
      <c r="J327" s="330" t="str">
        <f t="shared" si="58"/>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9">SUM(C329:C338)</f>
        <v>0</v>
      </c>
      <c r="D328" s="444">
        <f t="shared" si="59"/>
        <v>0</v>
      </c>
      <c r="E328" s="441">
        <f t="shared" si="59"/>
        <v>0</v>
      </c>
      <c r="F328" s="443">
        <f t="shared" si="59"/>
        <v>0</v>
      </c>
      <c r="G328" s="441">
        <f t="shared" si="59"/>
        <v>0</v>
      </c>
      <c r="H328" s="443">
        <f t="shared" si="59"/>
        <v>0</v>
      </c>
      <c r="I328" s="44">
        <f t="shared" si="57"/>
        <v>0</v>
      </c>
      <c r="J328" s="330" t="str">
        <f t="shared" si="58"/>
        <v/>
      </c>
      <c r="K328" s="442">
        <f t="shared" si="59"/>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57"/>
        <v>0</v>
      </c>
      <c r="J329" s="330" t="str">
        <f t="shared" si="58"/>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57"/>
        <v>0</v>
      </c>
      <c r="J330" s="330" t="str">
        <f t="shared" si="58"/>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57"/>
        <v>0</v>
      </c>
      <c r="J331" s="330" t="str">
        <f t="shared" si="58"/>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57"/>
        <v>0</v>
      </c>
      <c r="J332" s="330" t="str">
        <f t="shared" si="58"/>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57"/>
        <v>0</v>
      </c>
      <c r="J333" s="330" t="str">
        <f t="shared" si="58"/>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57"/>
        <v>0</v>
      </c>
      <c r="J334" s="330" t="str">
        <f t="shared" si="58"/>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57"/>
        <v>0</v>
      </c>
      <c r="J335" s="330" t="str">
        <f t="shared" si="58"/>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57"/>
        <v>0</v>
      </c>
      <c r="J336" s="330" t="str">
        <f t="shared" si="58"/>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57"/>
        <v>0</v>
      </c>
      <c r="J337" s="330" t="str">
        <f t="shared" si="58"/>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57"/>
        <v>0</v>
      </c>
      <c r="J338" s="330" t="str">
        <f t="shared" si="58"/>
        <v/>
      </c>
      <c r="K338" s="395"/>
      <c r="L338" s="452">
        <f t="shared" ref="L338:W338" si="60">SUM(L173:L249)</f>
        <v>0</v>
      </c>
      <c r="M338" s="453">
        <f t="shared" si="60"/>
        <v>0</v>
      </c>
      <c r="N338" s="453">
        <f t="shared" si="60"/>
        <v>0</v>
      </c>
      <c r="O338" s="453">
        <f t="shared" si="60"/>
        <v>0</v>
      </c>
      <c r="P338" s="453">
        <f t="shared" si="60"/>
        <v>0</v>
      </c>
      <c r="Q338" s="453">
        <f t="shared" si="60"/>
        <v>0</v>
      </c>
      <c r="R338" s="453">
        <f t="shared" si="60"/>
        <v>0</v>
      </c>
      <c r="S338" s="453">
        <f t="shared" si="60"/>
        <v>0</v>
      </c>
      <c r="T338" s="453">
        <f t="shared" si="60"/>
        <v>0</v>
      </c>
      <c r="U338" s="453">
        <f t="shared" si="60"/>
        <v>0</v>
      </c>
      <c r="V338" s="453">
        <f t="shared" si="60"/>
        <v>0</v>
      </c>
      <c r="W338" s="453">
        <f t="shared" si="60"/>
        <v>0</v>
      </c>
    </row>
    <row r="339" spans="1:24" ht="12.75" customHeight="1" x14ac:dyDescent="0.25">
      <c r="A339" s="447" t="s">
        <v>634</v>
      </c>
      <c r="B339" s="445">
        <v>2</v>
      </c>
      <c r="C339" s="508">
        <f t="shared" ref="C339:H339" si="61">C174+C185+C196+C207+C218+C229+C240+C251+C262++C273+C284+C295+C306+C317+C328</f>
        <v>0</v>
      </c>
      <c r="D339" s="475">
        <f t="shared" si="61"/>
        <v>5501964562.032732</v>
      </c>
      <c r="E339" s="430">
        <f t="shared" si="61"/>
        <v>5559528170.2310734</v>
      </c>
      <c r="F339" s="474">
        <f t="shared" si="61"/>
        <v>395184939.69</v>
      </c>
      <c r="G339" s="430">
        <f t="shared" si="61"/>
        <v>1868319073.1899996</v>
      </c>
      <c r="H339" s="474">
        <f t="shared" si="61"/>
        <v>1853176056.7436914</v>
      </c>
      <c r="I339" s="430">
        <f t="shared" si="57"/>
        <v>15143016.446308136</v>
      </c>
      <c r="J339" s="430">
        <f t="shared" si="58"/>
        <v>8.1713857629461765E-3</v>
      </c>
      <c r="K339" s="513">
        <f>K174+K185+K196+K207+K218+K229+K240+K251+K262++K273+K284+K295+K306+K317+K328</f>
        <v>5559528170.2310734</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57"/>
        <v>0</v>
      </c>
      <c r="J340" s="50" t="str">
        <f t="shared" si="58"/>
        <v/>
      </c>
      <c r="K340" s="194"/>
      <c r="L340" s="480">
        <f t="shared" ref="L340:W340" si="62">L170-L338</f>
        <v>0</v>
      </c>
      <c r="M340" s="481">
        <f t="shared" si="62"/>
        <v>0</v>
      </c>
      <c r="N340" s="481">
        <f t="shared" si="62"/>
        <v>0</v>
      </c>
      <c r="O340" s="481">
        <f t="shared" si="62"/>
        <v>0</v>
      </c>
      <c r="P340" s="481">
        <f t="shared" si="62"/>
        <v>0</v>
      </c>
      <c r="Q340" s="481">
        <f t="shared" si="62"/>
        <v>0</v>
      </c>
      <c r="R340" s="481">
        <f t="shared" si="62"/>
        <v>0</v>
      </c>
      <c r="S340" s="481">
        <f t="shared" si="62"/>
        <v>0</v>
      </c>
      <c r="T340" s="481">
        <f t="shared" si="62"/>
        <v>0</v>
      </c>
      <c r="U340" s="481">
        <f t="shared" si="62"/>
        <v>0</v>
      </c>
      <c r="V340" s="481">
        <f t="shared" si="62"/>
        <v>0</v>
      </c>
      <c r="W340" s="481">
        <f t="shared" si="62"/>
        <v>0</v>
      </c>
    </row>
    <row r="341" spans="1:24" s="486" customFormat="1" ht="11.25" customHeight="1" thickTop="1" x14ac:dyDescent="0.25">
      <c r="A341" s="886" t="str">
        <f>result</f>
        <v>Surplus/ (Deficit) for the year</v>
      </c>
      <c r="B341" s="477">
        <v>2</v>
      </c>
      <c r="C341" s="509">
        <f t="shared" ref="C341:H341" si="63">C171-C339</f>
        <v>0</v>
      </c>
      <c r="D341" s="512">
        <f t="shared" si="63"/>
        <v>941737276.83933258</v>
      </c>
      <c r="E341" s="55">
        <f t="shared" si="63"/>
        <v>973171668.64099121</v>
      </c>
      <c r="F341" s="479">
        <f t="shared" si="63"/>
        <v>110557700.12999994</v>
      </c>
      <c r="G341" s="55">
        <f t="shared" si="63"/>
        <v>241050799.99000072</v>
      </c>
      <c r="H341" s="479">
        <f t="shared" si="63"/>
        <v>324390556.2136631</v>
      </c>
      <c r="I341" s="55">
        <f t="shared" si="57"/>
        <v>-83339756.223662376</v>
      </c>
      <c r="J341" s="55">
        <f t="shared" si="58"/>
        <v>-0.25691178311852519</v>
      </c>
      <c r="K341" s="235">
        <f>K171-K339</f>
        <v>973171668.64099121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23" activePane="bottomRight" state="frozen"/>
      <selection pane="topRight"/>
      <selection pane="bottomLeft"/>
      <selection pane="bottomRight" activeCell="I53" sqref="I53"/>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"&amp;S71B&amp; " - "&amp;date</f>
        <v>KZN225 Msunduzi - Table C4 Monthly Budget Statement - Financial Performance (revenue and expenditure) - M04 October</v>
      </c>
      <c r="B1" s="1054"/>
      <c r="C1" s="1054"/>
      <c r="D1" s="1054"/>
      <c r="E1" s="1054"/>
      <c r="F1" s="1054"/>
      <c r="G1" s="1054"/>
      <c r="H1" s="1054"/>
      <c r="I1" s="1054"/>
      <c r="J1" s="1054"/>
      <c r="K1" s="1054"/>
    </row>
    <row r="2" spans="1:11" x14ac:dyDescent="0.25">
      <c r="A2" s="1043" t="str">
        <f>desc</f>
        <v>Description</v>
      </c>
      <c r="B2" s="1052" t="str">
        <f>head27</f>
        <v>Ref</v>
      </c>
      <c r="C2" s="158" t="str">
        <f>Head1</f>
        <v>2019/20</v>
      </c>
      <c r="D2" s="1038" t="str">
        <f>Head2</f>
        <v>Budget Year 2020/21</v>
      </c>
      <c r="E2" s="1039"/>
      <c r="F2" s="1039"/>
      <c r="G2" s="1039"/>
      <c r="H2" s="1039"/>
      <c r="I2" s="1039"/>
      <c r="J2" s="1039"/>
      <c r="K2" s="1040"/>
    </row>
    <row r="3" spans="1:11" ht="25.5" x14ac:dyDescent="0.25">
      <c r="A3" s="1044"/>
      <c r="B3" s="1053"/>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102857049.88999997</v>
      </c>
      <c r="G6" s="733">
        <v>410877976.39000005</v>
      </c>
      <c r="H6" s="733">
        <f>E6/12*4</f>
        <v>423264864.67393327</v>
      </c>
      <c r="I6" s="44">
        <f t="shared" ref="I6:I22" si="0">G6-H6</f>
        <v>-12386888.283933222</v>
      </c>
      <c r="J6" s="330">
        <f t="shared" ref="J6:J22" si="1">IF(I6=0,"",I6/H6)</f>
        <v>-2.92650992741285E-2</v>
      </c>
      <c r="K6" s="735">
        <f>E6</f>
        <v>1269794594.0217998</v>
      </c>
    </row>
    <row r="7" spans="1:11" ht="11.25" customHeight="1" x14ac:dyDescent="0.25">
      <c r="A7" s="39" t="s">
        <v>834</v>
      </c>
      <c r="B7" s="419"/>
      <c r="C7" s="748"/>
      <c r="D7" s="745">
        <v>2584775677.1378117</v>
      </c>
      <c r="E7" s="733">
        <v>2584775677.1378117</v>
      </c>
      <c r="F7" s="733">
        <v>195623534.37999997</v>
      </c>
      <c r="G7" s="733">
        <v>827166415.86999989</v>
      </c>
      <c r="H7" s="733">
        <f>E7/12*4</f>
        <v>861591892.37927055</v>
      </c>
      <c r="I7" s="44">
        <f t="shared" si="0"/>
        <v>-34425476.509270668</v>
      </c>
      <c r="J7" s="330">
        <f t="shared" si="1"/>
        <v>-3.995566440882508E-2</v>
      </c>
      <c r="K7" s="735">
        <f>E7</f>
        <v>2584775677.1378117</v>
      </c>
    </row>
    <row r="8" spans="1:11" ht="11.25" customHeight="1" x14ac:dyDescent="0.25">
      <c r="A8" s="86" t="s">
        <v>835</v>
      </c>
      <c r="B8" s="421"/>
      <c r="C8" s="748"/>
      <c r="D8" s="745">
        <v>722633094.82360029</v>
      </c>
      <c r="E8" s="733">
        <v>722633094.82360029</v>
      </c>
      <c r="F8" s="733">
        <v>67666937.689999998</v>
      </c>
      <c r="G8" s="733">
        <v>260278245.35000002</v>
      </c>
      <c r="H8" s="733">
        <f>E8/12*4</f>
        <v>240877698.27453342</v>
      </c>
      <c r="I8" s="44">
        <f t="shared" si="0"/>
        <v>19400547.075466603</v>
      </c>
      <c r="J8" s="330">
        <f t="shared" si="1"/>
        <v>8.0541067996072385E-2</v>
      </c>
      <c r="K8" s="735">
        <f>E8</f>
        <v>722633094.82360029</v>
      </c>
    </row>
    <row r="9" spans="1:11" ht="11.25" customHeight="1" x14ac:dyDescent="0.25">
      <c r="A9" s="86" t="s">
        <v>836</v>
      </c>
      <c r="B9" s="421"/>
      <c r="C9" s="748"/>
      <c r="D9" s="745">
        <v>152021749.3608</v>
      </c>
      <c r="E9" s="733">
        <v>152021749.3608</v>
      </c>
      <c r="F9" s="733">
        <v>14052702.18</v>
      </c>
      <c r="G9" s="733">
        <v>50758311.840000004</v>
      </c>
      <c r="H9" s="733">
        <f>E9/12*4</f>
        <v>50673916.453599997</v>
      </c>
      <c r="I9" s="44">
        <f t="shared" si="0"/>
        <v>84395.386400006711</v>
      </c>
      <c r="J9" s="330">
        <f t="shared" si="1"/>
        <v>1.6654601086001329E-3</v>
      </c>
      <c r="K9" s="735">
        <f>E9</f>
        <v>152021749.3608</v>
      </c>
    </row>
    <row r="10" spans="1:11" ht="11.25" customHeight="1" x14ac:dyDescent="0.25">
      <c r="A10" s="517" t="s">
        <v>72</v>
      </c>
      <c r="B10" s="421"/>
      <c r="C10" s="748"/>
      <c r="D10" s="745">
        <v>116333080.9707</v>
      </c>
      <c r="E10" s="733">
        <v>116333080.9707</v>
      </c>
      <c r="F10" s="733">
        <v>8861111.7199999988</v>
      </c>
      <c r="G10" s="733">
        <v>35609090.090000004</v>
      </c>
      <c r="H10" s="733">
        <f>E10/12*4</f>
        <v>38777693.656899996</v>
      </c>
      <c r="I10" s="44">
        <f t="shared" si="0"/>
        <v>-3168603.5668999925</v>
      </c>
      <c r="J10" s="330">
        <f t="shared" si="1"/>
        <v>-8.1712017092490999E-2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2018871.2800000007</v>
      </c>
      <c r="G12" s="733">
        <v>-286179.94000000041</v>
      </c>
      <c r="H12" s="733">
        <f>E12/12*4</f>
        <v>9692932.542333331</v>
      </c>
      <c r="I12" s="44">
        <f t="shared" si="0"/>
        <v>-9979112.4823333323</v>
      </c>
      <c r="J12" s="330">
        <f t="shared" si="1"/>
        <v>-1.0295245983349339</v>
      </c>
      <c r="K12" s="735">
        <f>E12</f>
        <v>29078797.626999993</v>
      </c>
    </row>
    <row r="13" spans="1:11" ht="11.25" customHeight="1" x14ac:dyDescent="0.25">
      <c r="A13" s="86" t="s">
        <v>838</v>
      </c>
      <c r="B13" s="421"/>
      <c r="C13" s="748"/>
      <c r="D13" s="745">
        <v>15260422.42725</v>
      </c>
      <c r="E13" s="733">
        <v>15260422.42725</v>
      </c>
      <c r="F13" s="733">
        <v>786652.22999999986</v>
      </c>
      <c r="G13" s="733">
        <v>2668685.9000000004</v>
      </c>
      <c r="H13" s="733">
        <f>E13/12*4</f>
        <v>5086807.4757500002</v>
      </c>
      <c r="I13" s="44">
        <f t="shared" si="0"/>
        <v>-2418121.5757499998</v>
      </c>
      <c r="J13" s="330">
        <f t="shared" si="1"/>
        <v>-0.47537116104310029</v>
      </c>
      <c r="K13" s="735">
        <f>E13</f>
        <v>15260422.42725</v>
      </c>
    </row>
    <row r="14" spans="1:11" ht="11.25" customHeight="1" x14ac:dyDescent="0.25">
      <c r="A14" s="86" t="s">
        <v>839</v>
      </c>
      <c r="B14" s="421"/>
      <c r="C14" s="748"/>
      <c r="D14" s="745">
        <v>202457793.88559997</v>
      </c>
      <c r="E14" s="733">
        <v>202457793.88559997</v>
      </c>
      <c r="F14" s="733">
        <v>11675799.190000003</v>
      </c>
      <c r="G14" s="733">
        <v>57118966.130000003</v>
      </c>
      <c r="H14" s="733">
        <f>E14/12*4</f>
        <v>67485931.29519999</v>
      </c>
      <c r="I14" s="44">
        <f t="shared" si="0"/>
        <v>-10366965.165199988</v>
      </c>
      <c r="J14" s="330">
        <f t="shared" si="1"/>
        <v>-0.15361668671137313</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-68803.61</v>
      </c>
      <c r="G16" s="733">
        <v>-291994.37</v>
      </c>
      <c r="H16" s="733">
        <f>E16/12*4</f>
        <v>599517.14789999998</v>
      </c>
      <c r="I16" s="44">
        <f t="shared" si="0"/>
        <v>-891511.51789999998</v>
      </c>
      <c r="J16" s="330">
        <f t="shared" si="1"/>
        <v>-1.4870492379122155</v>
      </c>
      <c r="K16" s="735">
        <f>E16</f>
        <v>1798551.4436999999</v>
      </c>
    </row>
    <row r="17" spans="1:11" ht="11.25" customHeight="1" x14ac:dyDescent="0.25">
      <c r="A17" s="86" t="s">
        <v>840</v>
      </c>
      <c r="B17" s="421"/>
      <c r="C17" s="748"/>
      <c r="D17" s="745">
        <v>1119569.0055</v>
      </c>
      <c r="E17" s="733">
        <v>1119569.0055</v>
      </c>
      <c r="F17" s="733">
        <v>20485.099999999999</v>
      </c>
      <c r="G17" s="733">
        <v>193313.11000000002</v>
      </c>
      <c r="H17" s="733">
        <f>E17/12*4</f>
        <v>373189.66849999997</v>
      </c>
      <c r="I17" s="44">
        <f t="shared" si="0"/>
        <v>-179876.55849999996</v>
      </c>
      <c r="J17" s="330">
        <f t="shared" si="1"/>
        <v>-0.48199769094090011</v>
      </c>
      <c r="K17" s="735">
        <f>E17</f>
        <v>1119569.0055</v>
      </c>
    </row>
    <row r="18" spans="1:11" ht="11.25" customHeight="1" x14ac:dyDescent="0.25">
      <c r="A18" s="86" t="s">
        <v>580</v>
      </c>
      <c r="B18" s="421"/>
      <c r="C18" s="748"/>
      <c r="D18" s="745">
        <v>601902.02599999995</v>
      </c>
      <c r="E18" s="733">
        <v>601902.02599999995</v>
      </c>
      <c r="F18" s="733"/>
      <c r="G18" s="733"/>
      <c r="H18" s="733">
        <f>E18/12*4</f>
        <v>200634.00866666666</v>
      </c>
      <c r="I18" s="44">
        <f t="shared" si="0"/>
        <v>-200634.00866666666</v>
      </c>
      <c r="J18" s="330">
        <f t="shared" si="1"/>
        <v>-1</v>
      </c>
      <c r="K18" s="735">
        <f>E18</f>
        <v>601902.02599999995</v>
      </c>
    </row>
    <row r="19" spans="1:11" ht="11.25" customHeight="1" x14ac:dyDescent="0.25">
      <c r="A19" s="518" t="s">
        <v>1118</v>
      </c>
      <c r="B19" s="421"/>
      <c r="C19" s="748"/>
      <c r="D19" s="745">
        <v>675483240</v>
      </c>
      <c r="E19" s="733">
        <v>764481240</v>
      </c>
      <c r="F19" s="733">
        <v>7377564.3099999996</v>
      </c>
      <c r="G19" s="733">
        <v>288267367.53000003</v>
      </c>
      <c r="H19" s="733">
        <f>E19/12*4</f>
        <v>254827080</v>
      </c>
      <c r="I19" s="44">
        <f t="shared" si="0"/>
        <v>33440287.530000031</v>
      </c>
      <c r="J19" s="330">
        <f t="shared" si="1"/>
        <v>0.13122737006600724</v>
      </c>
      <c r="K19" s="735">
        <f>E19</f>
        <v>764481240</v>
      </c>
    </row>
    <row r="20" spans="1:11" ht="11.25" customHeight="1" x14ac:dyDescent="0.25">
      <c r="A20" s="86" t="s">
        <v>453</v>
      </c>
      <c r="B20" s="421"/>
      <c r="C20" s="748"/>
      <c r="D20" s="745">
        <v>146451785.14229998</v>
      </c>
      <c r="E20" s="733">
        <v>146451785.14229998</v>
      </c>
      <c r="F20" s="733">
        <v>51259027.399999984</v>
      </c>
      <c r="G20" s="733">
        <v>57700955.399999984</v>
      </c>
      <c r="H20" s="733">
        <f>E20/12*4</f>
        <v>48817261.714099996</v>
      </c>
      <c r="I20" s="44">
        <f t="shared" si="0"/>
        <v>8883693.6858999878</v>
      </c>
      <c r="J20" s="330">
        <f t="shared" si="1"/>
        <v>0.18197853328864799</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2">SUM(C6:C10)+SUM(C12:C21)</f>
        <v>0</v>
      </c>
      <c r="D22" s="523">
        <f t="shared" si="2"/>
        <v>5917810257.8720617</v>
      </c>
      <c r="E22" s="524">
        <f t="shared" si="2"/>
        <v>6006808257.8720617</v>
      </c>
      <c r="F22" s="524">
        <f t="shared" si="2"/>
        <v>462130931.75999987</v>
      </c>
      <c r="G22" s="524">
        <f t="shared" si="2"/>
        <v>1990061153.3</v>
      </c>
      <c r="H22" s="524">
        <f t="shared" si="2"/>
        <v>2002269419.2906871</v>
      </c>
      <c r="I22" s="524">
        <f t="shared" si="0"/>
        <v>-12208265.990687132</v>
      </c>
      <c r="J22" s="525">
        <f t="shared" si="1"/>
        <v>-6.0972144273231544E-3</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1478324304.2495084</v>
      </c>
      <c r="F25" s="733">
        <v>168003045.66000021</v>
      </c>
      <c r="G25" s="733">
        <v>490803932.57999992</v>
      </c>
      <c r="H25" s="733">
        <f t="shared" ref="H25:H34" si="3">E25/12*4</f>
        <v>492774768.08316946</v>
      </c>
      <c r="I25" s="44">
        <f t="shared" ref="I25:I36" si="4">G25-H25</f>
        <v>-1970835.5031695366</v>
      </c>
      <c r="J25" s="330">
        <f t="shared" ref="J25:J41" si="5">IF(I25=0,"",I25/H25)</f>
        <v>-3.9994651325915764E-3</v>
      </c>
      <c r="K25" s="735">
        <f>E25</f>
        <v>1478324304.2495084</v>
      </c>
    </row>
    <row r="26" spans="1:11" ht="12.75" customHeight="1" x14ac:dyDescent="0.25">
      <c r="A26" s="39" t="s">
        <v>477</v>
      </c>
      <c r="B26" s="419"/>
      <c r="C26" s="748"/>
      <c r="D26" s="745">
        <v>53650401.115479976</v>
      </c>
      <c r="E26" s="733">
        <v>53650401.439999998</v>
      </c>
      <c r="F26" s="733">
        <v>3988115.5100000007</v>
      </c>
      <c r="G26" s="733">
        <v>17612493.200000007</v>
      </c>
      <c r="H26" s="733">
        <f t="shared" si="3"/>
        <v>17883467.146666665</v>
      </c>
      <c r="I26" s="44">
        <f t="shared" si="4"/>
        <v>-270973.94666665792</v>
      </c>
      <c r="J26" s="330">
        <f t="shared" si="5"/>
        <v>-1.5152204236702797E-2</v>
      </c>
      <c r="K26" s="735">
        <f t="shared" ref="K26:K34" si="6">E26</f>
        <v>53650401.439999998</v>
      </c>
    </row>
    <row r="27" spans="1:11" ht="12.75" customHeight="1" x14ac:dyDescent="0.25">
      <c r="A27" s="86" t="s">
        <v>611</v>
      </c>
      <c r="B27" s="421"/>
      <c r="C27" s="748"/>
      <c r="D27" s="745">
        <v>123904143.27200001</v>
      </c>
      <c r="E27" s="733">
        <v>123904143.27200001</v>
      </c>
      <c r="F27" s="733">
        <v>972258.18</v>
      </c>
      <c r="G27" s="733">
        <v>2967709.2399999998</v>
      </c>
      <c r="H27" s="733">
        <f t="shared" si="3"/>
        <v>41301381.090666674</v>
      </c>
      <c r="I27" s="44">
        <f t="shared" si="4"/>
        <v>-38333671.850666672</v>
      </c>
      <c r="J27" s="330">
        <f t="shared" si="5"/>
        <v>-0.92814503627650724</v>
      </c>
      <c r="K27" s="735">
        <f t="shared" si="6"/>
        <v>123904143.27200001</v>
      </c>
    </row>
    <row r="28" spans="1:11" ht="12.75" customHeight="1" x14ac:dyDescent="0.25">
      <c r="A28" s="86" t="s">
        <v>664</v>
      </c>
      <c r="B28" s="421"/>
      <c r="C28" s="748"/>
      <c r="D28" s="745">
        <v>488991448.27473986</v>
      </c>
      <c r="E28" s="733">
        <v>481491449.27473986</v>
      </c>
      <c r="F28" s="733">
        <v>35766938.970000036</v>
      </c>
      <c r="G28" s="733">
        <v>141804590.7400001</v>
      </c>
      <c r="H28" s="733">
        <f t="shared" si="3"/>
        <v>160497149.75824663</v>
      </c>
      <c r="I28" s="44">
        <f t="shared" si="4"/>
        <v>-18692559.018246531</v>
      </c>
      <c r="J28" s="330">
        <f t="shared" si="5"/>
        <v>-0.11646661044387846</v>
      </c>
      <c r="K28" s="735">
        <f t="shared" si="6"/>
        <v>481491449.27473986</v>
      </c>
    </row>
    <row r="29" spans="1:11" ht="12.75" customHeight="1" x14ac:dyDescent="0.25">
      <c r="A29" s="86" t="s">
        <v>452</v>
      </c>
      <c r="B29" s="421"/>
      <c r="C29" s="748"/>
      <c r="D29" s="745">
        <v>31793212.220000003</v>
      </c>
      <c r="E29" s="733">
        <v>36505334.219999969</v>
      </c>
      <c r="F29" s="733">
        <v>3064176.8</v>
      </c>
      <c r="G29" s="733">
        <v>13473629.15</v>
      </c>
      <c r="H29" s="733">
        <f t="shared" si="3"/>
        <v>12168444.739999989</v>
      </c>
      <c r="I29" s="44">
        <f t="shared" si="4"/>
        <v>1305184.4100000113</v>
      </c>
      <c r="J29" s="330">
        <f t="shared" si="5"/>
        <v>0.1072597556949593</v>
      </c>
      <c r="K29" s="735">
        <f t="shared" si="6"/>
        <v>36505334.219999969</v>
      </c>
    </row>
    <row r="30" spans="1:11" ht="12.75" customHeight="1" x14ac:dyDescent="0.25">
      <c r="A30" s="86" t="s">
        <v>844</v>
      </c>
      <c r="B30" s="421"/>
      <c r="C30" s="748"/>
      <c r="D30" s="745">
        <v>2608224084.5041752</v>
      </c>
      <c r="E30" s="733">
        <v>2608224084.5041752</v>
      </c>
      <c r="F30" s="733">
        <v>112972471.25999999</v>
      </c>
      <c r="G30" s="733">
        <v>982653426.85000014</v>
      </c>
      <c r="H30" s="733">
        <f t="shared" si="3"/>
        <v>869408028.1680584</v>
      </c>
      <c r="I30" s="44">
        <f t="shared" si="4"/>
        <v>113245398.68194175</v>
      </c>
      <c r="J30" s="330">
        <f t="shared" si="5"/>
        <v>0.1302557545052381</v>
      </c>
      <c r="K30" s="735">
        <f t="shared" si="6"/>
        <v>2608224084.5041752</v>
      </c>
    </row>
    <row r="31" spans="1:11" ht="12.75" customHeight="1" x14ac:dyDescent="0.25">
      <c r="A31" s="86" t="s">
        <v>920</v>
      </c>
      <c r="B31" s="421"/>
      <c r="C31" s="748"/>
      <c r="D31" s="745">
        <v>46574816.042614385</v>
      </c>
      <c r="E31" s="733">
        <v>63670207.006963424</v>
      </c>
      <c r="F31" s="733">
        <v>4836287.1899999995</v>
      </c>
      <c r="G31" s="733">
        <v>5169028.6500000032</v>
      </c>
      <c r="H31" s="733">
        <f t="shared" si="3"/>
        <v>21223402.335654475</v>
      </c>
      <c r="I31" s="44">
        <f t="shared" si="4"/>
        <v>-16054373.685654473</v>
      </c>
      <c r="J31" s="330">
        <f t="shared" si="5"/>
        <v>-0.75644674834645909</v>
      </c>
      <c r="K31" s="735">
        <f t="shared" si="6"/>
        <v>63670207.006963424</v>
      </c>
    </row>
    <row r="32" spans="1:11" ht="12.75" customHeight="1" x14ac:dyDescent="0.25">
      <c r="A32" s="86" t="s">
        <v>845</v>
      </c>
      <c r="B32" s="421"/>
      <c r="C32" s="748"/>
      <c r="D32" s="745">
        <v>463787100.72254992</v>
      </c>
      <c r="E32" s="733">
        <v>490524718.2633999</v>
      </c>
      <c r="F32" s="733">
        <v>47042252.930000007</v>
      </c>
      <c r="G32" s="733">
        <v>141295053.22999999</v>
      </c>
      <c r="H32" s="733">
        <f t="shared" si="3"/>
        <v>163508239.42113331</v>
      </c>
      <c r="I32" s="44">
        <f t="shared" si="4"/>
        <v>-22213186.19113332</v>
      </c>
      <c r="J32" s="330">
        <f t="shared" si="5"/>
        <v>-0.13585361979172705</v>
      </c>
      <c r="K32" s="735">
        <f t="shared" si="6"/>
        <v>490524718.2633999</v>
      </c>
    </row>
    <row r="33" spans="1:12" ht="12.75" customHeight="1" x14ac:dyDescent="0.25">
      <c r="A33" s="517" t="s">
        <v>1118</v>
      </c>
      <c r="B33" s="421"/>
      <c r="C33" s="748"/>
      <c r="D33" s="745">
        <v>25080461.44304001</v>
      </c>
      <c r="E33" s="733">
        <v>58680462</v>
      </c>
      <c r="F33" s="733">
        <v>2787053.2900000005</v>
      </c>
      <c r="G33" s="733">
        <v>15228378.359999996</v>
      </c>
      <c r="H33" s="733">
        <f t="shared" si="3"/>
        <v>19560154</v>
      </c>
      <c r="I33" s="44">
        <f t="shared" si="4"/>
        <v>-4331775.6400000043</v>
      </c>
      <c r="J33" s="330">
        <f t="shared" si="5"/>
        <v>-0.22145917869562809</v>
      </c>
      <c r="K33" s="735">
        <f t="shared" si="6"/>
        <v>58680462</v>
      </c>
    </row>
    <row r="34" spans="1:12" ht="12.75" customHeight="1" x14ac:dyDescent="0.25">
      <c r="A34" s="86" t="s">
        <v>434</v>
      </c>
      <c r="B34" s="421"/>
      <c r="C34" s="748"/>
      <c r="D34" s="745">
        <v>192585810.36394995</v>
      </c>
      <c r="E34" s="733">
        <v>164553065.99999997</v>
      </c>
      <c r="F34" s="733">
        <v>15752339.899999984</v>
      </c>
      <c r="G34" s="733">
        <v>57310831.189999968</v>
      </c>
      <c r="H34" s="733">
        <f t="shared" si="3"/>
        <v>54851021.999999993</v>
      </c>
      <c r="I34" s="44">
        <f t="shared" si="4"/>
        <v>2459809.1899999753</v>
      </c>
      <c r="J34" s="330">
        <f t="shared" si="5"/>
        <v>4.4845275444457086E-2</v>
      </c>
      <c r="K34" s="735">
        <f t="shared" si="6"/>
        <v>164553065.99999997</v>
      </c>
    </row>
    <row r="35" spans="1:12" ht="12.75" customHeight="1" x14ac:dyDescent="0.25">
      <c r="A35" s="990" t="s">
        <v>1370</v>
      </c>
      <c r="B35" s="419"/>
      <c r="C35" s="748"/>
      <c r="D35" s="745"/>
      <c r="E35" s="733"/>
      <c r="F35" s="733"/>
      <c r="G35" s="733"/>
      <c r="H35" s="733"/>
      <c r="I35" s="44">
        <f t="shared" si="4"/>
        <v>0</v>
      </c>
      <c r="J35" s="330" t="str">
        <f t="shared" si="5"/>
        <v/>
      </c>
      <c r="K35" s="735"/>
    </row>
    <row r="36" spans="1:12" ht="12.75" customHeight="1" x14ac:dyDescent="0.25">
      <c r="A36" s="92" t="s">
        <v>488</v>
      </c>
      <c r="B36" s="422"/>
      <c r="C36" s="243">
        <f t="shared" ref="C36:K36" si="7">SUM(C25:C35)</f>
        <v>0</v>
      </c>
      <c r="D36" s="74">
        <f>SUM(D25:D35)</f>
        <v>5501964562.0327282</v>
      </c>
      <c r="E36" s="73">
        <f>SUM(E25:E35)</f>
        <v>5559528170.2307873</v>
      </c>
      <c r="F36" s="73">
        <f t="shared" si="7"/>
        <v>395184939.69000024</v>
      </c>
      <c r="G36" s="73">
        <f t="shared" si="7"/>
        <v>1868319073.1900003</v>
      </c>
      <c r="H36" s="73">
        <f t="shared" si="7"/>
        <v>1853176056.7435956</v>
      </c>
      <c r="I36" s="73">
        <f t="shared" si="4"/>
        <v>15143016.446404696</v>
      </c>
      <c r="J36" s="331">
        <f t="shared" si="5"/>
        <v>8.1713857629987039E-3</v>
      </c>
      <c r="K36" s="145">
        <f t="shared" si="7"/>
        <v>5559528170.2307873</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8">C22-C36</f>
        <v>0</v>
      </c>
      <c r="D38" s="51">
        <f t="shared" si="8"/>
        <v>415845695.83933353</v>
      </c>
      <c r="E38" s="50">
        <f t="shared" si="8"/>
        <v>447280087.64127445</v>
      </c>
      <c r="F38" s="50">
        <f t="shared" si="8"/>
        <v>66945992.069999635</v>
      </c>
      <c r="G38" s="50">
        <f t="shared" si="8"/>
        <v>121742080.10999966</v>
      </c>
      <c r="H38" s="50">
        <f t="shared" si="8"/>
        <v>149093362.54709148</v>
      </c>
      <c r="I38" s="102">
        <f>I22-I36</f>
        <v>-27351282.437091827</v>
      </c>
      <c r="J38" s="102">
        <f t="shared" si="5"/>
        <v>-0.18345070477871114</v>
      </c>
      <c r="K38" s="194">
        <f>K22-K36</f>
        <v>447280087.64127445</v>
      </c>
    </row>
    <row r="39" spans="1:12" ht="19.899999999999999" customHeight="1" x14ac:dyDescent="0.25">
      <c r="A39" s="937" t="s">
        <v>1119</v>
      </c>
      <c r="B39" s="419"/>
      <c r="C39" s="748"/>
      <c r="D39" s="745">
        <v>525891580.99999982</v>
      </c>
      <c r="E39" s="733">
        <v>525891580.99999982</v>
      </c>
      <c r="F39" s="733">
        <v>43611708.060000002</v>
      </c>
      <c r="G39" s="733">
        <v>119308719.88000003</v>
      </c>
      <c r="H39" s="733">
        <f>E39/12*4</f>
        <v>175297193.6666666</v>
      </c>
      <c r="I39" s="47">
        <f>G39-H39</f>
        <v>-55988473.786666572</v>
      </c>
      <c r="J39" s="102">
        <f t="shared" si="5"/>
        <v>-0.31939172907200386</v>
      </c>
      <c r="K39" s="735">
        <f>E39</f>
        <v>525891580.99999982</v>
      </c>
    </row>
    <row r="40" spans="1:12" ht="39.6" customHeight="1" x14ac:dyDescent="0.25">
      <c r="A40" s="937" t="s">
        <v>1120</v>
      </c>
      <c r="B40" s="419"/>
      <c r="C40" s="748"/>
      <c r="D40" s="745"/>
      <c r="E40" s="733"/>
      <c r="F40" s="733"/>
      <c r="G40" s="733"/>
      <c r="H40" s="733"/>
      <c r="I40" s="47">
        <f>G40-H40</f>
        <v>0</v>
      </c>
      <c r="J40" s="102" t="str">
        <f t="shared" si="5"/>
        <v/>
      </c>
      <c r="K40" s="735"/>
    </row>
    <row r="41" spans="1:12" ht="12.75" customHeight="1" x14ac:dyDescent="0.25">
      <c r="A41" s="518" t="s">
        <v>1121</v>
      </c>
      <c r="B41" s="419"/>
      <c r="C41" s="749"/>
      <c r="D41" s="750"/>
      <c r="E41" s="751"/>
      <c r="F41" s="751"/>
      <c r="G41" s="751"/>
      <c r="H41" s="751"/>
      <c r="I41" s="47">
        <f>G41-H41</f>
        <v>0</v>
      </c>
      <c r="J41" s="102" t="str">
        <f t="shared" si="5"/>
        <v/>
      </c>
      <c r="K41" s="752"/>
    </row>
    <row r="42" spans="1:12" ht="25.5" x14ac:dyDescent="0.25">
      <c r="A42" s="250" t="s">
        <v>752</v>
      </c>
      <c r="B42" s="521"/>
      <c r="C42" s="252">
        <f t="shared" ref="C42:H42" si="9">C38+SUM(C39:C41)</f>
        <v>0</v>
      </c>
      <c r="D42" s="253">
        <f t="shared" si="9"/>
        <v>941737276.8393333</v>
      </c>
      <c r="E42" s="254">
        <f t="shared" si="9"/>
        <v>973171668.64127421</v>
      </c>
      <c r="F42" s="254">
        <f t="shared" si="9"/>
        <v>110557700.12999964</v>
      </c>
      <c r="G42" s="254">
        <f t="shared" si="9"/>
        <v>241050799.98999968</v>
      </c>
      <c r="H42" s="254">
        <f t="shared" si="9"/>
        <v>324390556.21375811</v>
      </c>
      <c r="I42" s="329"/>
      <c r="J42" s="329"/>
      <c r="K42" s="255">
        <f>K38+SUM(K39:K41)</f>
        <v>973171668.64127421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0">C42-C43</f>
        <v>0</v>
      </c>
      <c r="D44" s="51">
        <f t="shared" si="10"/>
        <v>941737276.8393333</v>
      </c>
      <c r="E44" s="50">
        <f t="shared" si="10"/>
        <v>973171668.64127421</v>
      </c>
      <c r="F44" s="50">
        <f t="shared" si="10"/>
        <v>110557700.12999964</v>
      </c>
      <c r="G44" s="50">
        <f t="shared" si="10"/>
        <v>241050799.98999968</v>
      </c>
      <c r="H44" s="50">
        <f t="shared" si="10"/>
        <v>324390556.21375811</v>
      </c>
      <c r="I44" s="327"/>
      <c r="J44" s="327"/>
      <c r="K44" s="194">
        <f>K42-K43</f>
        <v>973171668.64127421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1">SUM(C44:C45)</f>
        <v>0</v>
      </c>
      <c r="D46" s="530">
        <f t="shared" si="11"/>
        <v>941737276.8393333</v>
      </c>
      <c r="E46" s="528">
        <f t="shared" si="11"/>
        <v>973171668.64127421</v>
      </c>
      <c r="F46" s="528">
        <f t="shared" si="11"/>
        <v>110557700.12999964</v>
      </c>
      <c r="G46" s="528">
        <f t="shared" si="11"/>
        <v>241050799.98999968</v>
      </c>
      <c r="H46" s="528">
        <f t="shared" si="11"/>
        <v>324390556.21375811</v>
      </c>
      <c r="I46" s="273"/>
      <c r="J46" s="273"/>
      <c r="K46" s="529">
        <f>SUM(K44:K45)</f>
        <v>973171668.64127421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2">C46+C47</f>
        <v>0</v>
      </c>
      <c r="D48" s="77">
        <f t="shared" si="12"/>
        <v>941737276.8393333</v>
      </c>
      <c r="E48" s="76">
        <f t="shared" si="12"/>
        <v>973171668.64127421</v>
      </c>
      <c r="F48" s="76">
        <f t="shared" si="12"/>
        <v>110557700.12999964</v>
      </c>
      <c r="G48" s="76">
        <f t="shared" si="12"/>
        <v>241050799.98999968</v>
      </c>
      <c r="H48" s="76">
        <f t="shared" si="12"/>
        <v>324390556.21375811</v>
      </c>
      <c r="I48" s="334"/>
      <c r="J48" s="334"/>
      <c r="K48" s="234">
        <f>K46+K47</f>
        <v>973171668.64127421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0</v>
      </c>
      <c r="D53" s="62">
        <f t="shared" si="13"/>
        <v>6443701838.8720617</v>
      </c>
      <c r="E53" s="62">
        <f t="shared" si="13"/>
        <v>6532699838.8720617</v>
      </c>
      <c r="F53" s="62">
        <f t="shared" si="13"/>
        <v>505742639.81999987</v>
      </c>
      <c r="G53" s="62">
        <f t="shared" si="13"/>
        <v>2109369873.1800001</v>
      </c>
      <c r="H53" s="62">
        <f t="shared" si="13"/>
        <v>2177566612.9573536</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3" activePane="bottomRight" state="frozen"/>
      <selection pane="topRight"/>
      <selection pane="bottomLeft"/>
      <selection pane="bottomRight" activeCell="A74" sqref="A74"/>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5" t="str">
        <f>muni&amp; " - "&amp;S71D&amp; " - "&amp;date</f>
        <v>KZN225 Msunduzi - Table C5 Monthly Budget Statement - Capital Expenditure (municipal vote, functional classification and funding) - M04 October</v>
      </c>
      <c r="B1" s="1045"/>
      <c r="C1" s="1045"/>
      <c r="D1" s="1045"/>
      <c r="E1" s="1045"/>
      <c r="F1" s="1045"/>
      <c r="G1" s="1045"/>
      <c r="H1" s="1045"/>
      <c r="I1" s="1045"/>
      <c r="J1" s="1045"/>
      <c r="K1" s="1045"/>
    </row>
    <row r="2" spans="1:12" x14ac:dyDescent="0.25">
      <c r="A2" s="1043" t="str">
        <f>Vdesc</f>
        <v>Vote Description</v>
      </c>
      <c r="B2" s="1052" t="str">
        <f>head27</f>
        <v>Ref</v>
      </c>
      <c r="C2" s="139" t="str">
        <f>Head1</f>
        <v>2019/20</v>
      </c>
      <c r="D2" s="245" t="str">
        <f>Head2</f>
        <v>Budget Year 2020/21</v>
      </c>
      <c r="E2" s="229"/>
      <c r="F2" s="229"/>
      <c r="G2" s="229"/>
      <c r="H2" s="229"/>
      <c r="I2" s="229"/>
      <c r="J2" s="229"/>
      <c r="K2" s="230"/>
    </row>
    <row r="3" spans="1:12" ht="25.5" x14ac:dyDescent="0.25">
      <c r="A3" s="1044"/>
      <c r="B3" s="1053"/>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7094.85</v>
      </c>
      <c r="G6" s="47">
        <f>'C5C'!G7</f>
        <v>7094.85</v>
      </c>
      <c r="H6" s="47">
        <f>'C5C'!H7</f>
        <v>1266666.6666666667</v>
      </c>
      <c r="I6" s="44">
        <f>G6-H6</f>
        <v>-1259571.8166666667</v>
      </c>
      <c r="J6" s="330">
        <f>IF(I6=0,"",I6/H6)</f>
        <v>-0.99439880263157887</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205438.76</v>
      </c>
      <c r="G7" s="408">
        <f>'C5C'!G12</f>
        <v>205438.76</v>
      </c>
      <c r="H7" s="408">
        <f>'C5C'!H12</f>
        <v>4166666.6666666665</v>
      </c>
      <c r="I7" s="44">
        <f>G7-H7</f>
        <v>-3961227.9066666663</v>
      </c>
      <c r="J7" s="330">
        <f>IF(I7=0,"",I7/H7)</f>
        <v>-0.95069469759999992</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0</v>
      </c>
      <c r="G8" s="408">
        <f>'C5C'!G18</f>
        <v>2295742.15</v>
      </c>
      <c r="H8" s="408">
        <f>'C5C'!H18</f>
        <v>7937475</v>
      </c>
      <c r="I8" s="44">
        <f t="shared" ref="I8:I17" si="0">G8-H8</f>
        <v>-5641732.8499999996</v>
      </c>
      <c r="J8" s="330">
        <f t="shared" ref="J8:J17" si="1">IF(I8=0,"",I8/H8)</f>
        <v>-0.71077173156450879</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20790912.82</v>
      </c>
      <c r="G10" s="408">
        <f>'C5C'!G29</f>
        <v>40385513.030000001</v>
      </c>
      <c r="H10" s="408">
        <f>'C5C'!H29</f>
        <v>56151666.666666672</v>
      </c>
      <c r="I10" s="44">
        <f t="shared" si="0"/>
        <v>-15766153.63666667</v>
      </c>
      <c r="J10" s="330">
        <f t="shared" si="1"/>
        <v>-0.28077801733400615</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182935.28</v>
      </c>
      <c r="G11" s="408">
        <f>'C5C'!G35</f>
        <v>17458952.579999998</v>
      </c>
      <c r="H11" s="408">
        <f>'C5C'!H35</f>
        <v>100200052</v>
      </c>
      <c r="I11" s="44">
        <f t="shared" si="0"/>
        <v>-82741099.420000002</v>
      </c>
      <c r="J11" s="330">
        <f t="shared" si="1"/>
        <v>-0.82575904671187195</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21186381.710000001</v>
      </c>
      <c r="G21" s="430">
        <f t="shared" si="2"/>
        <v>60352741.369999997</v>
      </c>
      <c r="H21" s="430">
        <f t="shared" si="2"/>
        <v>169722527</v>
      </c>
      <c r="I21" s="430">
        <f t="shared" si="2"/>
        <v>-109369785.63</v>
      </c>
      <c r="J21" s="431">
        <f>IF(I21=0,"",I21/H21)</f>
        <v>-0.64440347173242352</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1135600</v>
      </c>
      <c r="H24" s="44">
        <f>'C5C'!H149</f>
        <v>0</v>
      </c>
      <c r="I24" s="44">
        <f>'C5C'!I149</f>
        <v>1135600</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0</v>
      </c>
      <c r="G25" s="44">
        <f>'C5C'!G160</f>
        <v>-97000</v>
      </c>
      <c r="H25" s="44">
        <f>'C5C'!H160</f>
        <v>5266666.666666667</v>
      </c>
      <c r="I25" s="44">
        <f>'C5C'!I160</f>
        <v>-5363666.666666667</v>
      </c>
      <c r="J25" s="330">
        <f t="shared" ref="J25:J39" si="3">IF(I25=0,"",I25/H25)</f>
        <v>-1.0184177215189874</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0</v>
      </c>
      <c r="G26" s="44">
        <f>'C5C'!G171</f>
        <v>4336010.5299999993</v>
      </c>
      <c r="H26" s="44">
        <f>'C5C'!H171</f>
        <v>11233333.333333334</v>
      </c>
      <c r="I26" s="44">
        <f>'C5C'!I171</f>
        <v>-6897322.8033333346</v>
      </c>
      <c r="J26" s="330">
        <f t="shared" si="3"/>
        <v>-0.61400499732937697</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7200</v>
      </c>
      <c r="G27" s="44">
        <f>'C5C'!G182</f>
        <v>7200</v>
      </c>
      <c r="H27" s="44">
        <f>'C5C'!H182</f>
        <v>0</v>
      </c>
      <c r="I27" s="44">
        <f>'C5C'!I182</f>
        <v>7200</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13558079.73</v>
      </c>
      <c r="G28" s="44">
        <f>'C5C'!G193</f>
        <v>50920724.400000006</v>
      </c>
      <c r="H28" s="44">
        <f>'C5C'!H193</f>
        <v>17766666.666666668</v>
      </c>
      <c r="I28" s="44">
        <f>'C5C'!I193</f>
        <v>33154057.733333338</v>
      </c>
      <c r="J28" s="330">
        <f t="shared" si="3"/>
        <v>1.8660820487804879</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0</v>
      </c>
      <c r="G29" s="44">
        <f>'C5C'!G204</f>
        <v>-1082623.3999999999</v>
      </c>
      <c r="H29" s="44">
        <f>'C5C'!H204</f>
        <v>3341333.3333333335</v>
      </c>
      <c r="I29" s="44">
        <f>'C5C'!I204</f>
        <v>-4423956.7333333334</v>
      </c>
      <c r="J29" s="330">
        <f t="shared" si="3"/>
        <v>-1.3240093974461293</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13565279.73</v>
      </c>
      <c r="G39" s="161">
        <f t="shared" si="4"/>
        <v>55219911.530000009</v>
      </c>
      <c r="H39" s="161">
        <f t="shared" si="4"/>
        <v>37608000.000000007</v>
      </c>
      <c r="I39" s="73">
        <f t="shared" si="4"/>
        <v>17611911.530000001</v>
      </c>
      <c r="J39" s="331">
        <f t="shared" si="3"/>
        <v>0.46830226361412458</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34751661.439999998</v>
      </c>
      <c r="G40" s="73">
        <f t="shared" si="5"/>
        <v>115572652.90000001</v>
      </c>
      <c r="H40" s="73">
        <f t="shared" si="5"/>
        <v>207330527</v>
      </c>
      <c r="I40" s="73">
        <f t="shared" si="5"/>
        <v>-91757874.099999994</v>
      </c>
      <c r="J40" s="331">
        <f>IF(I40=0,"",I40/H40)</f>
        <v>-0.44256808405257175</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212533.61000000002</v>
      </c>
      <c r="G43" s="637">
        <f t="shared" si="6"/>
        <v>1251133.6100000001</v>
      </c>
      <c r="H43" s="637">
        <f t="shared" si="6"/>
        <v>11100000</v>
      </c>
      <c r="I43" s="44">
        <f t="shared" ref="I43:I62" si="7">G43-H43</f>
        <v>-9848866.3900000006</v>
      </c>
      <c r="J43" s="330">
        <f>IF(I43=0,"",I43/H43)</f>
        <v>-0.88728526036036037</v>
      </c>
      <c r="K43" s="641">
        <f>SUM(K44:K46)</f>
        <v>33300000</v>
      </c>
      <c r="L43" s="100"/>
    </row>
    <row r="44" spans="1:12" ht="12.75" customHeight="1" x14ac:dyDescent="0.25">
      <c r="A44" s="416" t="s">
        <v>108</v>
      </c>
      <c r="B44" s="419"/>
      <c r="C44" s="735"/>
      <c r="D44" s="753">
        <v>5000000</v>
      </c>
      <c r="E44" s="733">
        <v>5000000</v>
      </c>
      <c r="F44" s="733">
        <v>7094.85</v>
      </c>
      <c r="G44" s="733">
        <v>1142694.8500000001</v>
      </c>
      <c r="H44" s="733">
        <f>E44/12*4</f>
        <v>1666666.6666666667</v>
      </c>
      <c r="I44" s="44">
        <f t="shared" si="7"/>
        <v>-523971.81666666665</v>
      </c>
      <c r="J44" s="330">
        <f t="shared" ref="J44:J63" si="8">IF(I44=0,"",I44/H44)</f>
        <v>-0.31438308999999998</v>
      </c>
      <c r="K44" s="735">
        <f>E44</f>
        <v>5000000</v>
      </c>
      <c r="L44" s="100"/>
    </row>
    <row r="45" spans="1:12" ht="12.75" customHeight="1" x14ac:dyDescent="0.25">
      <c r="A45" s="416" t="s">
        <v>1123</v>
      </c>
      <c r="B45" s="419"/>
      <c r="C45" s="754"/>
      <c r="D45" s="755">
        <v>27500000</v>
      </c>
      <c r="E45" s="756">
        <v>28300000</v>
      </c>
      <c r="F45" s="756">
        <v>205438.76</v>
      </c>
      <c r="G45" s="756">
        <v>108438.76</v>
      </c>
      <c r="H45" s="756">
        <f>E45/12*4</f>
        <v>9433333.333333334</v>
      </c>
      <c r="I45" s="44">
        <f t="shared" si="7"/>
        <v>-9324894.5733333342</v>
      </c>
      <c r="J45" s="330">
        <f t="shared" si="8"/>
        <v>-0.9885047250883392</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0</v>
      </c>
      <c r="G47" s="637">
        <f t="shared" si="9"/>
        <v>5853664.0799999991</v>
      </c>
      <c r="H47" s="637">
        <f t="shared" si="9"/>
        <v>111624697.33333333</v>
      </c>
      <c r="I47" s="44">
        <f t="shared" si="7"/>
        <v>-105771033.25333333</v>
      </c>
      <c r="J47" s="330">
        <f t="shared" si="8"/>
        <v>-0.9475594181230359</v>
      </c>
      <c r="K47" s="641">
        <f>SUM(K48:K52)</f>
        <v>334874092</v>
      </c>
      <c r="L47" s="100"/>
    </row>
    <row r="48" spans="1:12" ht="12.75" customHeight="1" x14ac:dyDescent="0.25">
      <c r="A48" s="416" t="s">
        <v>110</v>
      </c>
      <c r="B48" s="419"/>
      <c r="C48" s="735"/>
      <c r="D48" s="753">
        <v>45972000</v>
      </c>
      <c r="E48" s="733">
        <v>55972000</v>
      </c>
      <c r="F48" s="733"/>
      <c r="G48" s="733">
        <v>5141133.4699999988</v>
      </c>
      <c r="H48" s="733">
        <f>E48/12*4</f>
        <v>18657333.333333332</v>
      </c>
      <c r="I48" s="44">
        <f t="shared" si="7"/>
        <v>-13516199.863333333</v>
      </c>
      <c r="J48" s="330">
        <f t="shared" si="8"/>
        <v>-0.72444435771457161</v>
      </c>
      <c r="K48" s="735">
        <f>E48</f>
        <v>55972000</v>
      </c>
      <c r="L48" s="100"/>
    </row>
    <row r="49" spans="1:12" ht="12.75" customHeight="1" x14ac:dyDescent="0.25">
      <c r="A49" s="416" t="s">
        <v>111</v>
      </c>
      <c r="B49" s="419"/>
      <c r="C49" s="735"/>
      <c r="D49" s="753"/>
      <c r="E49" s="733"/>
      <c r="F49" s="733"/>
      <c r="G49" s="733">
        <v>712530.61</v>
      </c>
      <c r="H49" s="733"/>
      <c r="I49" s="44">
        <f t="shared" si="7"/>
        <v>712530.61</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278902092</v>
      </c>
      <c r="F51" s="733"/>
      <c r="G51" s="733"/>
      <c r="H51" s="733">
        <f>E51/12*4</f>
        <v>92967364</v>
      </c>
      <c r="I51" s="44">
        <f t="shared" si="7"/>
        <v>-92967364</v>
      </c>
      <c r="J51" s="330">
        <f t="shared" si="8"/>
        <v>-1</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18765190.140000004</v>
      </c>
      <c r="G53" s="637">
        <f t="shared" si="10"/>
        <v>62187896.409999996</v>
      </c>
      <c r="H53" s="637">
        <f t="shared" si="10"/>
        <v>38190688</v>
      </c>
      <c r="I53" s="44">
        <f t="shared" si="7"/>
        <v>23997208.409999996</v>
      </c>
      <c r="J53" s="330">
        <f t="shared" si="8"/>
        <v>0.62835234625781022</v>
      </c>
      <c r="K53" s="641">
        <f>SUM(K54:K56)</f>
        <v>114572064</v>
      </c>
      <c r="L53" s="100"/>
    </row>
    <row r="54" spans="1:12" ht="12.75" customHeight="1" x14ac:dyDescent="0.25">
      <c r="A54" s="416" t="s">
        <v>114</v>
      </c>
      <c r="B54" s="419"/>
      <c r="C54" s="735"/>
      <c r="D54" s="753">
        <v>13936064</v>
      </c>
      <c r="E54" s="733">
        <v>13936064</v>
      </c>
      <c r="F54" s="733">
        <v>182935.28</v>
      </c>
      <c r="G54" s="733">
        <v>17458952.580000002</v>
      </c>
      <c r="H54" s="733">
        <f t="shared" ref="H54:H55" si="11">E54/12*4</f>
        <v>4645354.666666667</v>
      </c>
      <c r="I54" s="44">
        <f t="shared" si="7"/>
        <v>12813597.913333334</v>
      </c>
      <c r="J54" s="330">
        <f t="shared" si="8"/>
        <v>2.7583680542798885</v>
      </c>
      <c r="K54" s="735">
        <f t="shared" ref="K54:K55" si="12">E54</f>
        <v>13936064</v>
      </c>
      <c r="L54" s="100"/>
    </row>
    <row r="55" spans="1:12" ht="12.75" customHeight="1" x14ac:dyDescent="0.25">
      <c r="A55" s="416" t="s">
        <v>115</v>
      </c>
      <c r="B55" s="419"/>
      <c r="C55" s="735"/>
      <c r="D55" s="753">
        <v>90636000</v>
      </c>
      <c r="E55" s="733">
        <v>100636000</v>
      </c>
      <c r="F55" s="733">
        <v>18582254.860000003</v>
      </c>
      <c r="G55" s="733">
        <v>44728943.829999998</v>
      </c>
      <c r="H55" s="733">
        <f t="shared" si="11"/>
        <v>33545333.333333332</v>
      </c>
      <c r="I55" s="44">
        <f t="shared" si="7"/>
        <v>11183610.496666666</v>
      </c>
      <c r="J55" s="330">
        <f t="shared" si="8"/>
        <v>0.33338796742716326</v>
      </c>
      <c r="K55" s="735">
        <f t="shared" si="12"/>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116445425</v>
      </c>
      <c r="E57" s="637">
        <f t="shared" si="13"/>
        <v>136745425</v>
      </c>
      <c r="F57" s="637">
        <f t="shared" si="13"/>
        <v>15766737.690000001</v>
      </c>
      <c r="G57" s="637">
        <f t="shared" si="13"/>
        <v>46992533.309999995</v>
      </c>
      <c r="H57" s="637">
        <f t="shared" si="13"/>
        <v>45581808.333333336</v>
      </c>
      <c r="I57" s="44">
        <f t="shared" si="7"/>
        <v>1410724.9766666591</v>
      </c>
      <c r="J57" s="330">
        <f t="shared" si="8"/>
        <v>3.0949298157506747E-2</v>
      </c>
      <c r="K57" s="641">
        <f>SUM(K58:K61)</f>
        <v>136745425</v>
      </c>
      <c r="L57" s="100"/>
    </row>
    <row r="58" spans="1:12" ht="12.75" customHeight="1" x14ac:dyDescent="0.25">
      <c r="A58" s="416" t="s">
        <v>1191</v>
      </c>
      <c r="B58" s="419"/>
      <c r="C58" s="735"/>
      <c r="D58" s="753">
        <v>12500000</v>
      </c>
      <c r="E58" s="733">
        <v>22800000</v>
      </c>
      <c r="F58" s="733"/>
      <c r="G58" s="733">
        <v>8000000</v>
      </c>
      <c r="H58" s="733">
        <f t="shared" ref="H58:H62" si="14">E58/12*4</f>
        <v>7600000</v>
      </c>
      <c r="I58" s="44">
        <f t="shared" si="7"/>
        <v>400000</v>
      </c>
      <c r="J58" s="330">
        <f t="shared" si="8"/>
        <v>5.2631578947368418E-2</v>
      </c>
      <c r="K58" s="735">
        <f t="shared" ref="K58:K62" si="15">E58</f>
        <v>22800000</v>
      </c>
      <c r="L58" s="100"/>
    </row>
    <row r="59" spans="1:12" ht="12.75" customHeight="1" x14ac:dyDescent="0.25">
      <c r="A59" s="416" t="s">
        <v>1195</v>
      </c>
      <c r="B59" s="419"/>
      <c r="C59" s="735"/>
      <c r="D59" s="753">
        <v>71931425</v>
      </c>
      <c r="E59" s="733">
        <v>71931425</v>
      </c>
      <c r="F59" s="733">
        <v>9192771.9499999993</v>
      </c>
      <c r="G59" s="733">
        <v>19296986.039999999</v>
      </c>
      <c r="H59" s="733">
        <f t="shared" si="14"/>
        <v>23977141.666666668</v>
      </c>
      <c r="I59" s="44">
        <f t="shared" si="7"/>
        <v>-4680155.6266666688</v>
      </c>
      <c r="J59" s="330">
        <f t="shared" si="8"/>
        <v>-0.19519239164245678</v>
      </c>
      <c r="K59" s="735">
        <f t="shared" si="15"/>
        <v>71931425</v>
      </c>
      <c r="L59" s="100"/>
    </row>
    <row r="60" spans="1:12" ht="12.75" customHeight="1" x14ac:dyDescent="0.25">
      <c r="A60" s="416" t="s">
        <v>118</v>
      </c>
      <c r="B60" s="419"/>
      <c r="C60" s="754"/>
      <c r="D60" s="755">
        <v>27514000</v>
      </c>
      <c r="E60" s="756">
        <v>27514000</v>
      </c>
      <c r="F60" s="756">
        <v>4365307.78</v>
      </c>
      <c r="G60" s="756">
        <v>17486889.309999999</v>
      </c>
      <c r="H60" s="756">
        <f t="shared" si="14"/>
        <v>9171333.333333334</v>
      </c>
      <c r="I60" s="44">
        <f t="shared" si="7"/>
        <v>8315555.9766666647</v>
      </c>
      <c r="J60" s="330">
        <f t="shared" si="8"/>
        <v>0.90668997346805236</v>
      </c>
      <c r="K60" s="754">
        <f t="shared" si="15"/>
        <v>27514000</v>
      </c>
      <c r="L60" s="100"/>
    </row>
    <row r="61" spans="1:12" ht="12.75" customHeight="1" x14ac:dyDescent="0.25">
      <c r="A61" s="416" t="s">
        <v>119</v>
      </c>
      <c r="B61" s="419"/>
      <c r="C61" s="735"/>
      <c r="D61" s="753">
        <v>4500000</v>
      </c>
      <c r="E61" s="733">
        <v>14500000</v>
      </c>
      <c r="F61" s="733">
        <v>2208657.96</v>
      </c>
      <c r="G61" s="733">
        <v>2208657.96</v>
      </c>
      <c r="H61" s="733">
        <f t="shared" si="14"/>
        <v>4833333.333333333</v>
      </c>
      <c r="I61" s="44">
        <f t="shared" si="7"/>
        <v>-2624675.3733333331</v>
      </c>
      <c r="J61" s="330">
        <f t="shared" si="8"/>
        <v>-0.54303628413793104</v>
      </c>
      <c r="K61" s="735">
        <f t="shared" si="15"/>
        <v>14500000</v>
      </c>
      <c r="L61" s="100"/>
    </row>
    <row r="62" spans="1:12" ht="12.75" customHeight="1" x14ac:dyDescent="0.25">
      <c r="A62" s="414" t="s">
        <v>718</v>
      </c>
      <c r="B62" s="419"/>
      <c r="C62" s="735"/>
      <c r="D62" s="753">
        <v>2500000</v>
      </c>
      <c r="E62" s="733">
        <v>2500000</v>
      </c>
      <c r="F62" s="733">
        <v>7200</v>
      </c>
      <c r="G62" s="733">
        <v>-712604.14999999991</v>
      </c>
      <c r="H62" s="733">
        <f t="shared" si="14"/>
        <v>833333.33333333337</v>
      </c>
      <c r="I62" s="44">
        <f t="shared" si="7"/>
        <v>-1545937.4833333334</v>
      </c>
      <c r="J62" s="330">
        <f t="shared" si="8"/>
        <v>-1.85512498</v>
      </c>
      <c r="K62" s="735">
        <f t="shared" si="15"/>
        <v>2500000</v>
      </c>
      <c r="L62" s="100"/>
    </row>
    <row r="63" spans="1:12" ht="12.75" customHeight="1" x14ac:dyDescent="0.25">
      <c r="A63" s="537" t="s">
        <v>1213</v>
      </c>
      <c r="B63" s="539">
        <v>3</v>
      </c>
      <c r="C63" s="540">
        <f>C43+C47+C53+C57+C62</f>
        <v>0</v>
      </c>
      <c r="D63" s="541">
        <f t="shared" ref="D63:I63" si="16">D43+D47+D53+D57+D62</f>
        <v>580891581</v>
      </c>
      <c r="E63" s="478">
        <f t="shared" si="16"/>
        <v>621991581</v>
      </c>
      <c r="F63" s="478">
        <f t="shared" si="16"/>
        <v>34751661.440000005</v>
      </c>
      <c r="G63" s="478">
        <f t="shared" si="16"/>
        <v>115572623.25999999</v>
      </c>
      <c r="H63" s="478">
        <f t="shared" si="16"/>
        <v>207330527</v>
      </c>
      <c r="I63" s="478">
        <f t="shared" si="16"/>
        <v>-91757903.74000001</v>
      </c>
      <c r="J63" s="542">
        <f t="shared" si="8"/>
        <v>-0.44256822701270621</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38078292.549999997</v>
      </c>
      <c r="G66" s="733">
        <v>90300750.5</v>
      </c>
      <c r="H66" s="733">
        <f t="shared" ref="H66:H67" si="17">E66/12*4</f>
        <v>85089141.666666612</v>
      </c>
      <c r="I66" s="44">
        <f t="shared" ref="I66:I74" si="18">G66-H66</f>
        <v>5211608.833333388</v>
      </c>
      <c r="J66" s="330">
        <f t="shared" ref="J66:J74" si="19">IF(I66=0,"",I66/H66)</f>
        <v>6.1248811907748016E-2</v>
      </c>
      <c r="K66" s="735">
        <f t="shared" ref="K66:K67" si="20">E66</f>
        <v>255267424.99999985</v>
      </c>
      <c r="L66" s="100"/>
    </row>
    <row r="67" spans="1:12" ht="12.75" customHeight="1" x14ac:dyDescent="0.25">
      <c r="A67" s="107" t="s">
        <v>603</v>
      </c>
      <c r="B67" s="169"/>
      <c r="C67" s="748"/>
      <c r="D67" s="753">
        <v>270624156</v>
      </c>
      <c r="E67" s="733">
        <v>270624156</v>
      </c>
      <c r="F67" s="733">
        <v>182935.28</v>
      </c>
      <c r="G67" s="733">
        <v>19742868.789999999</v>
      </c>
      <c r="H67" s="733">
        <f t="shared" si="17"/>
        <v>90208052</v>
      </c>
      <c r="I67" s="44">
        <f t="shared" si="18"/>
        <v>-70465183.210000008</v>
      </c>
      <c r="J67" s="330">
        <f t="shared" si="19"/>
        <v>-0.7811407257746793</v>
      </c>
      <c r="K67" s="735">
        <f t="shared" si="20"/>
        <v>270624156</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525891580.99999988</v>
      </c>
      <c r="F70" s="50">
        <f t="shared" si="21"/>
        <v>38261227.829999998</v>
      </c>
      <c r="G70" s="50">
        <f t="shared" si="21"/>
        <v>110043619.28999999</v>
      </c>
      <c r="H70" s="50">
        <f t="shared" si="21"/>
        <v>175297193.66666663</v>
      </c>
      <c r="I70" s="50">
        <f t="shared" si="18"/>
        <v>-65253574.376666635</v>
      </c>
      <c r="J70" s="146">
        <f t="shared" si="19"/>
        <v>-0.37224540228948816</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96100000</v>
      </c>
      <c r="F73" s="751">
        <v>-3509566.39</v>
      </c>
      <c r="G73" s="751">
        <v>5529033.6100000003</v>
      </c>
      <c r="H73" s="751">
        <f>E73/12*4</f>
        <v>32033333.333333332</v>
      </c>
      <c r="I73" s="99">
        <f t="shared" si="18"/>
        <v>-26504299.723333333</v>
      </c>
      <c r="J73" s="335">
        <f t="shared" si="19"/>
        <v>-0.82739749396462015</v>
      </c>
      <c r="K73" s="752">
        <f>E73</f>
        <v>96100000</v>
      </c>
      <c r="L73" s="100"/>
    </row>
    <row r="74" spans="1:12" ht="12.75" customHeight="1" x14ac:dyDescent="0.25">
      <c r="A74" s="538" t="s">
        <v>892</v>
      </c>
      <c r="B74" s="119"/>
      <c r="C74" s="244">
        <f t="shared" ref="C74:H74" si="22">+C70+C72+C73</f>
        <v>0</v>
      </c>
      <c r="D74" s="265">
        <f t="shared" si="22"/>
        <v>580891580.99999988</v>
      </c>
      <c r="E74" s="76">
        <f t="shared" si="22"/>
        <v>621991580.99999988</v>
      </c>
      <c r="F74" s="76">
        <f t="shared" si="22"/>
        <v>34751661.439999998</v>
      </c>
      <c r="G74" s="76">
        <f t="shared" si="22"/>
        <v>115572652.89999999</v>
      </c>
      <c r="H74" s="76">
        <f t="shared" si="22"/>
        <v>207330526.99999997</v>
      </c>
      <c r="I74" s="76">
        <f t="shared" si="18"/>
        <v>-91757874.099999979</v>
      </c>
      <c r="J74" s="333">
        <f t="shared" si="19"/>
        <v>-0.44256808405257175</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5" t="s">
        <v>143</v>
      </c>
      <c r="B77" s="1055"/>
      <c r="C77" s="1055"/>
      <c r="D77" s="1055"/>
      <c r="E77" s="1055"/>
      <c r="F77" s="1055"/>
      <c r="G77" s="1055"/>
      <c r="H77" s="1055"/>
      <c r="I77" s="1055"/>
      <c r="J77" s="1055"/>
      <c r="K77" s="1055"/>
    </row>
    <row r="78" spans="1:12" ht="12" customHeight="1" x14ac:dyDescent="0.25">
      <c r="A78" s="1055" t="s">
        <v>1215</v>
      </c>
      <c r="B78" s="1055"/>
      <c r="C78" s="1055"/>
      <c r="D78" s="1055"/>
      <c r="E78" s="1055"/>
      <c r="F78" s="1055"/>
      <c r="G78" s="1055"/>
      <c r="H78" s="1055"/>
      <c r="I78" s="1055"/>
      <c r="J78" s="1055"/>
      <c r="K78" s="1055"/>
    </row>
    <row r="79" spans="1:12" ht="12" customHeight="1" x14ac:dyDescent="0.25">
      <c r="A79" s="1056" t="s">
        <v>524</v>
      </c>
      <c r="B79" s="1055"/>
      <c r="C79" s="1055"/>
      <c r="D79" s="1055"/>
      <c r="E79" s="1055"/>
      <c r="F79" s="1055"/>
      <c r="G79" s="1055"/>
      <c r="H79" s="1055"/>
      <c r="I79" s="1055"/>
      <c r="J79" s="1055"/>
      <c r="K79" s="1055"/>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0</v>
      </c>
      <c r="F86" s="693">
        <f t="shared" si="23"/>
        <v>0</v>
      </c>
      <c r="G86" s="693">
        <f t="shared" si="23"/>
        <v>0</v>
      </c>
      <c r="H86" s="693">
        <f t="shared" si="23"/>
        <v>0</v>
      </c>
      <c r="I86" s="693"/>
      <c r="J86" s="693"/>
      <c r="K86" s="693">
        <f t="shared" si="23"/>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63" activePane="bottomRight" state="frozen"/>
      <selection pane="topRight"/>
      <selection pane="bottomLeft"/>
      <selection pane="bottomRight" activeCell="K208" sqref="K208"/>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5" t="str">
        <f>muni&amp; " - "&amp;S71D&amp; " - "&amp;"A"&amp; " - "&amp;date</f>
        <v>KZN225 Msunduzi - Table C5 Monthly Budget Statement - Capital Expenditure (municipal vote, functional classification and funding) - A - M04 October</v>
      </c>
      <c r="B1" s="1045"/>
      <c r="C1" s="1045"/>
      <c r="D1" s="1045"/>
      <c r="E1" s="1045"/>
      <c r="F1" s="1045"/>
      <c r="G1" s="1045"/>
      <c r="H1" s="1045"/>
      <c r="I1" s="1045"/>
      <c r="J1" s="1045"/>
      <c r="K1" s="1045"/>
    </row>
    <row r="2" spans="1:23" ht="28.5" customHeight="1" x14ac:dyDescent="0.25">
      <c r="A2" s="435" t="str">
        <f>Vdesc</f>
        <v>Vote Description</v>
      </c>
      <c r="B2" s="436" t="str">
        <f>head27</f>
        <v>Ref</v>
      </c>
      <c r="C2" s="142" t="str">
        <f>Head1</f>
        <v>2019/20</v>
      </c>
      <c r="D2" s="1038" t="str">
        <f>Head2</f>
        <v>Budget Year 2020/21</v>
      </c>
      <c r="E2" s="1039"/>
      <c r="F2" s="1039"/>
      <c r="G2" s="1039"/>
      <c r="H2" s="1039"/>
      <c r="I2" s="1039"/>
      <c r="J2" s="1039"/>
      <c r="K2" s="1040"/>
      <c r="L2" s="1049" t="e">
        <f>Head4</f>
        <v>#REF!</v>
      </c>
      <c r="M2" s="1050"/>
      <c r="N2" s="1050"/>
      <c r="O2" s="1050"/>
      <c r="P2" s="1050"/>
      <c r="Q2" s="1050"/>
      <c r="R2" s="1050"/>
      <c r="S2" s="1050"/>
      <c r="T2" s="1050"/>
      <c r="U2" s="1050"/>
      <c r="V2" s="1050"/>
      <c r="W2" s="1051"/>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7094.85</v>
      </c>
      <c r="G7" s="441">
        <f t="shared" si="0"/>
        <v>7094.85</v>
      </c>
      <c r="H7" s="443">
        <f t="shared" si="0"/>
        <v>1266666.6666666667</v>
      </c>
      <c r="I7" s="50">
        <f t="shared" ref="I7:I43" si="1">G7-H7</f>
        <v>-1259571.8166666667</v>
      </c>
      <c r="J7" s="146">
        <f t="shared" ref="J7:J43" si="2">IF(I7=0,"",I7/H7)</f>
        <v>-0.99439880263157887</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v>7094.85</v>
      </c>
      <c r="G9" s="741">
        <v>7094.85</v>
      </c>
      <c r="H9" s="742">
        <f>E9/12*4</f>
        <v>1266666.6666666667</v>
      </c>
      <c r="I9" s="44">
        <f t="shared" si="1"/>
        <v>-1259571.8166666667</v>
      </c>
      <c r="J9" s="330">
        <f t="shared" si="2"/>
        <v>-0.99439880263157887</v>
      </c>
      <c r="K9" s="743">
        <f>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12500000</v>
      </c>
      <c r="F12" s="443">
        <f t="shared" si="3"/>
        <v>205438.76</v>
      </c>
      <c r="G12" s="441">
        <f t="shared" si="3"/>
        <v>205438.76</v>
      </c>
      <c r="H12" s="443">
        <f t="shared" si="3"/>
        <v>4166666.6666666665</v>
      </c>
      <c r="I12" s="44">
        <f t="shared" si="1"/>
        <v>-3961227.9066666663</v>
      </c>
      <c r="J12" s="330">
        <f t="shared" si="2"/>
        <v>-0.95069469759999992</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v>205438.76</v>
      </c>
      <c r="G14" s="741">
        <v>205438.76</v>
      </c>
      <c r="H14" s="742">
        <f>E14/12*4</f>
        <v>4166666.6666666665</v>
      </c>
      <c r="I14" s="44">
        <f t="shared" si="1"/>
        <v>-3961227.9066666663</v>
      </c>
      <c r="J14" s="330">
        <f t="shared" si="2"/>
        <v>-0.95069469759999992</v>
      </c>
      <c r="K14" s="743">
        <f>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23812425</v>
      </c>
      <c r="F18" s="443">
        <f t="shared" si="4"/>
        <v>0</v>
      </c>
      <c r="G18" s="441">
        <f t="shared" si="4"/>
        <v>2295742.15</v>
      </c>
      <c r="H18" s="443">
        <f t="shared" si="4"/>
        <v>7937475</v>
      </c>
      <c r="I18" s="44">
        <f t="shared" si="1"/>
        <v>-5641732.8499999996</v>
      </c>
      <c r="J18" s="330">
        <f t="shared" si="2"/>
        <v>-0.71077173156450879</v>
      </c>
      <c r="K18" s="442">
        <f>SUM(K19:K22)</f>
        <v>23812425</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7000000</v>
      </c>
      <c r="F21" s="742"/>
      <c r="G21" s="741">
        <v>2295742.15</v>
      </c>
      <c r="H21" s="742">
        <f t="shared" ref="H21:H22" si="5">E21/12*4</f>
        <v>2333333.3333333335</v>
      </c>
      <c r="I21" s="44">
        <f t="shared" si="1"/>
        <v>-37591.183333333582</v>
      </c>
      <c r="J21" s="330">
        <f t="shared" si="2"/>
        <v>-1.611050714285725E-2</v>
      </c>
      <c r="K21" s="743">
        <f t="shared" ref="K21:K22" si="6">E21</f>
        <v>7000000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16812425</v>
      </c>
      <c r="F22" s="742"/>
      <c r="G22" s="741"/>
      <c r="H22" s="742">
        <f t="shared" si="5"/>
        <v>5604141.666666667</v>
      </c>
      <c r="I22" s="44">
        <f t="shared" si="1"/>
        <v>-5604141.666666667</v>
      </c>
      <c r="J22" s="330">
        <f t="shared" si="2"/>
        <v>-1</v>
      </c>
      <c r="K22" s="743">
        <f t="shared" si="6"/>
        <v>16812425</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7">SUM(C24:C28)</f>
        <v>0</v>
      </c>
      <c r="D23" s="444">
        <f t="shared" si="7"/>
        <v>0</v>
      </c>
      <c r="E23" s="441">
        <f t="shared" si="7"/>
        <v>0</v>
      </c>
      <c r="F23" s="443">
        <f t="shared" si="7"/>
        <v>0</v>
      </c>
      <c r="G23" s="441">
        <f t="shared" si="7"/>
        <v>0</v>
      </c>
      <c r="H23" s="443">
        <f t="shared" si="7"/>
        <v>0</v>
      </c>
      <c r="I23" s="44">
        <f t="shared" si="1"/>
        <v>0</v>
      </c>
      <c r="J23" s="330" t="str">
        <f t="shared" si="2"/>
        <v/>
      </c>
      <c r="K23" s="442">
        <f>SUM(K24:K28)</f>
        <v>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8">SUM(C30:C34)</f>
        <v>0</v>
      </c>
      <c r="D29" s="444">
        <f t="shared" si="8"/>
        <v>168455000</v>
      </c>
      <c r="E29" s="441">
        <f t="shared" si="8"/>
        <v>168455000</v>
      </c>
      <c r="F29" s="443">
        <f t="shared" si="8"/>
        <v>20790912.82</v>
      </c>
      <c r="G29" s="441">
        <f t="shared" si="8"/>
        <v>40385513.030000001</v>
      </c>
      <c r="H29" s="443">
        <f t="shared" si="8"/>
        <v>56151666.666666672</v>
      </c>
      <c r="I29" s="44">
        <f t="shared" si="1"/>
        <v>-15766153.63666667</v>
      </c>
      <c r="J29" s="330">
        <f t="shared" si="2"/>
        <v>-0.28077801733400615</v>
      </c>
      <c r="K29" s="442">
        <f>SUM(K30:K34)</f>
        <v>168455000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v>55700000</v>
      </c>
      <c r="F32" s="742">
        <v>18121365.650000002</v>
      </c>
      <c r="G32" s="741">
        <v>31623330.25</v>
      </c>
      <c r="H32" s="742">
        <f t="shared" ref="H32:H33" si="9">E32/12*4</f>
        <v>18566666.666666668</v>
      </c>
      <c r="I32" s="44">
        <f t="shared" si="1"/>
        <v>13056663.583333332</v>
      </c>
      <c r="J32" s="330">
        <f t="shared" si="2"/>
        <v>0.70323143177737868</v>
      </c>
      <c r="K32" s="743">
        <f t="shared" ref="K32:K33" si="10">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v>2669547.17</v>
      </c>
      <c r="G33" s="741">
        <v>8762182.7799999993</v>
      </c>
      <c r="H33" s="742">
        <f t="shared" si="9"/>
        <v>37585000</v>
      </c>
      <c r="I33" s="44">
        <f t="shared" si="1"/>
        <v>-28822817.219999999</v>
      </c>
      <c r="J33" s="330">
        <f t="shared" si="2"/>
        <v>-0.76687022003458827</v>
      </c>
      <c r="K33" s="743">
        <f t="shared" si="10"/>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1">SUM(C36:C45)</f>
        <v>0</v>
      </c>
      <c r="D35" s="444">
        <f t="shared" si="11"/>
        <v>300600156</v>
      </c>
      <c r="E35" s="441">
        <f t="shared" si="11"/>
        <v>300600156</v>
      </c>
      <c r="F35" s="443">
        <f t="shared" si="11"/>
        <v>182935.28</v>
      </c>
      <c r="G35" s="441">
        <f t="shared" si="11"/>
        <v>17458952.579999998</v>
      </c>
      <c r="H35" s="443">
        <f t="shared" si="11"/>
        <v>100200052</v>
      </c>
      <c r="I35" s="44">
        <f t="shared" si="1"/>
        <v>-82741099.420000002</v>
      </c>
      <c r="J35" s="330">
        <f t="shared" si="2"/>
        <v>-0.82575904671187195</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c r="G36" s="741"/>
      <c r="H36" s="742">
        <f t="shared" ref="H36:H38" si="12">E36/12*4</f>
        <v>3404000</v>
      </c>
      <c r="I36" s="44">
        <f t="shared" si="1"/>
        <v>-3404000</v>
      </c>
      <c r="J36" s="330">
        <f t="shared" si="2"/>
        <v>-1</v>
      </c>
      <c r="K36" s="743">
        <f t="shared" ref="K36:K38" si="13">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c r="G37" s="741"/>
      <c r="H37" s="742">
        <f t="shared" si="12"/>
        <v>11666666.666666666</v>
      </c>
      <c r="I37" s="44">
        <f t="shared" si="1"/>
        <v>-11666666.666666666</v>
      </c>
      <c r="J37" s="330">
        <f t="shared" si="2"/>
        <v>-1</v>
      </c>
      <c r="K37" s="743">
        <f t="shared" si="13"/>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182935.28</v>
      </c>
      <c r="G38" s="741">
        <v>12040824.229999999</v>
      </c>
      <c r="H38" s="742">
        <f t="shared" si="12"/>
        <v>85129385.333333328</v>
      </c>
      <c r="I38" s="44">
        <f t="shared" si="1"/>
        <v>-73088561.103333324</v>
      </c>
      <c r="J38" s="330">
        <f t="shared" si="2"/>
        <v>-0.85855854376426133</v>
      </c>
      <c r="K38" s="743">
        <f t="shared" si="13"/>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v>5418128.3499999996</v>
      </c>
      <c r="H39" s="742"/>
      <c r="I39" s="44">
        <f t="shared" si="1"/>
        <v>5418128.3499999996</v>
      </c>
      <c r="J39" s="330" t="e">
        <f t="shared" si="2"/>
        <v>#DIV/0!</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4">G44-H44</f>
        <v>0</v>
      </c>
      <c r="J44" s="330" t="str">
        <f t="shared" ref="J44:J107" si="15">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4"/>
        <v>0</v>
      </c>
      <c r="J45" s="330" t="str">
        <f t="shared" si="15"/>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6">SUM(C47:C56)</f>
        <v>0</v>
      </c>
      <c r="D46" s="444">
        <f t="shared" si="16"/>
        <v>0</v>
      </c>
      <c r="E46" s="441">
        <f t="shared" si="16"/>
        <v>0</v>
      </c>
      <c r="F46" s="443">
        <f t="shared" si="16"/>
        <v>0</v>
      </c>
      <c r="G46" s="441">
        <f t="shared" si="16"/>
        <v>0</v>
      </c>
      <c r="H46" s="443">
        <f t="shared" si="16"/>
        <v>0</v>
      </c>
      <c r="I46" s="44">
        <f t="shared" si="14"/>
        <v>0</v>
      </c>
      <c r="J46" s="330" t="str">
        <f t="shared" si="15"/>
        <v/>
      </c>
      <c r="K46" s="442">
        <f t="shared" si="16"/>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4"/>
        <v>0</v>
      </c>
      <c r="J47" s="330" t="str">
        <f t="shared" si="15"/>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4"/>
        <v>0</v>
      </c>
      <c r="J48" s="330" t="str">
        <f t="shared" si="15"/>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4"/>
        <v>0</v>
      </c>
      <c r="J49" s="330" t="str">
        <f t="shared" si="15"/>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4"/>
        <v>0</v>
      </c>
      <c r="J50" s="330" t="str">
        <f t="shared" si="15"/>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4"/>
        <v>0</v>
      </c>
      <c r="J51" s="330" t="str">
        <f t="shared" si="15"/>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4"/>
        <v>0</v>
      </c>
      <c r="J52" s="330" t="str">
        <f t="shared" si="15"/>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4"/>
        <v>0</v>
      </c>
      <c r="J53" s="330" t="str">
        <f t="shared" si="15"/>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4"/>
        <v>0</v>
      </c>
      <c r="J54" s="330" t="str">
        <f t="shared" si="15"/>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4"/>
        <v>0</v>
      </c>
      <c r="J55" s="330" t="str">
        <f t="shared" si="15"/>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4"/>
        <v>0</v>
      </c>
      <c r="J56" s="330" t="str">
        <f t="shared" si="15"/>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7">SUM(D58:D67)</f>
        <v>0</v>
      </c>
      <c r="E57" s="441">
        <f t="shared" si="17"/>
        <v>0</v>
      </c>
      <c r="F57" s="443">
        <f t="shared" si="17"/>
        <v>0</v>
      </c>
      <c r="G57" s="441">
        <f t="shared" si="17"/>
        <v>0</v>
      </c>
      <c r="H57" s="443">
        <f t="shared" si="17"/>
        <v>0</v>
      </c>
      <c r="I57" s="44">
        <f t="shared" si="14"/>
        <v>0</v>
      </c>
      <c r="J57" s="330" t="str">
        <f t="shared" si="15"/>
        <v/>
      </c>
      <c r="K57" s="442">
        <f t="shared" si="17"/>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4"/>
        <v>0</v>
      </c>
      <c r="J58" s="330" t="str">
        <f t="shared" si="15"/>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4"/>
        <v>0</v>
      </c>
      <c r="J59" s="330" t="str">
        <f t="shared" si="15"/>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4"/>
        <v>0</v>
      </c>
      <c r="J60" s="330" t="str">
        <f t="shared" si="15"/>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4"/>
        <v>0</v>
      </c>
      <c r="J61" s="330" t="str">
        <f t="shared" si="15"/>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4"/>
        <v>0</v>
      </c>
      <c r="J62" s="330" t="str">
        <f t="shared" si="15"/>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4"/>
        <v>0</v>
      </c>
      <c r="J63" s="330" t="str">
        <f t="shared" si="15"/>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4"/>
        <v>0</v>
      </c>
      <c r="J64" s="330" t="str">
        <f t="shared" si="15"/>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4"/>
        <v>0</v>
      </c>
      <c r="J65" s="330" t="str">
        <f t="shared" si="15"/>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4"/>
        <v>0</v>
      </c>
      <c r="J66" s="330" t="str">
        <f t="shared" si="15"/>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4"/>
        <v>0</v>
      </c>
      <c r="J67" s="330" t="str">
        <f t="shared" si="15"/>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8">SUM(D69:D78)</f>
        <v>0</v>
      </c>
      <c r="E68" s="441">
        <f t="shared" si="18"/>
        <v>0</v>
      </c>
      <c r="F68" s="443">
        <f t="shared" si="18"/>
        <v>0</v>
      </c>
      <c r="G68" s="441">
        <f t="shared" si="18"/>
        <v>0</v>
      </c>
      <c r="H68" s="443">
        <f t="shared" si="18"/>
        <v>0</v>
      </c>
      <c r="I68" s="44">
        <f t="shared" si="14"/>
        <v>0</v>
      </c>
      <c r="J68" s="330" t="str">
        <f t="shared" si="15"/>
        <v/>
      </c>
      <c r="K68" s="442">
        <f t="shared" si="18"/>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4"/>
        <v>0</v>
      </c>
      <c r="J69" s="330" t="str">
        <f t="shared" si="15"/>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4"/>
        <v>0</v>
      </c>
      <c r="J70" s="330" t="str">
        <f t="shared" si="15"/>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4"/>
        <v>0</v>
      </c>
      <c r="J71" s="330" t="str">
        <f t="shared" si="15"/>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4"/>
        <v>0</v>
      </c>
      <c r="J72" s="330" t="str">
        <f t="shared" si="15"/>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4"/>
        <v>0</v>
      </c>
      <c r="J73" s="330" t="str">
        <f t="shared" si="15"/>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4"/>
        <v>0</v>
      </c>
      <c r="J74" s="330" t="str">
        <f t="shared" si="15"/>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4"/>
        <v>0</v>
      </c>
      <c r="J75" s="330" t="str">
        <f t="shared" si="15"/>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4"/>
        <v>0</v>
      </c>
      <c r="J76" s="330" t="str">
        <f t="shared" si="15"/>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4"/>
        <v>0</v>
      </c>
      <c r="J77" s="330" t="str">
        <f t="shared" si="15"/>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4"/>
        <v>0</v>
      </c>
      <c r="J78" s="330" t="str">
        <f t="shared" si="15"/>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9">SUM(D80:D89)</f>
        <v>0</v>
      </c>
      <c r="E79" s="441">
        <f t="shared" si="19"/>
        <v>0</v>
      </c>
      <c r="F79" s="443">
        <f t="shared" si="19"/>
        <v>0</v>
      </c>
      <c r="G79" s="441">
        <f t="shared" si="19"/>
        <v>0</v>
      </c>
      <c r="H79" s="443">
        <f t="shared" si="19"/>
        <v>0</v>
      </c>
      <c r="I79" s="44">
        <f t="shared" si="14"/>
        <v>0</v>
      </c>
      <c r="J79" s="330" t="str">
        <f t="shared" si="15"/>
        <v/>
      </c>
      <c r="K79" s="442">
        <f t="shared" si="19"/>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4"/>
        <v>0</v>
      </c>
      <c r="J80" s="330" t="str">
        <f t="shared" si="15"/>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4"/>
        <v>0</v>
      </c>
      <c r="J81" s="330" t="str">
        <f t="shared" si="15"/>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4"/>
        <v>0</v>
      </c>
      <c r="J82" s="330" t="str">
        <f t="shared" si="15"/>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4"/>
        <v>0</v>
      </c>
      <c r="J83" s="330" t="str">
        <f t="shared" si="15"/>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4"/>
        <v>0</v>
      </c>
      <c r="J84" s="330" t="str">
        <f t="shared" si="15"/>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4"/>
        <v>0</v>
      </c>
      <c r="J85" s="330" t="str">
        <f t="shared" si="15"/>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4"/>
        <v>0</v>
      </c>
      <c r="J86" s="330" t="str">
        <f t="shared" si="15"/>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4"/>
        <v>0</v>
      </c>
      <c r="J87" s="330" t="str">
        <f t="shared" si="15"/>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4"/>
        <v>0</v>
      </c>
      <c r="J88" s="330" t="str">
        <f t="shared" si="15"/>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4"/>
        <v>0</v>
      </c>
      <c r="J89" s="330" t="str">
        <f t="shared" si="15"/>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0">SUM(D91:D100)</f>
        <v>0</v>
      </c>
      <c r="E90" s="441">
        <f t="shared" si="20"/>
        <v>0</v>
      </c>
      <c r="F90" s="443">
        <f t="shared" si="20"/>
        <v>0</v>
      </c>
      <c r="G90" s="441">
        <f t="shared" si="20"/>
        <v>0</v>
      </c>
      <c r="H90" s="443">
        <f t="shared" si="20"/>
        <v>0</v>
      </c>
      <c r="I90" s="44">
        <f t="shared" si="14"/>
        <v>0</v>
      </c>
      <c r="J90" s="330" t="str">
        <f t="shared" si="15"/>
        <v/>
      </c>
      <c r="K90" s="442">
        <f t="shared" si="20"/>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4"/>
        <v>0</v>
      </c>
      <c r="J91" s="330" t="str">
        <f t="shared" si="15"/>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4"/>
        <v>0</v>
      </c>
      <c r="J92" s="330" t="str">
        <f t="shared" si="15"/>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4"/>
        <v>0</v>
      </c>
      <c r="J93" s="330" t="str">
        <f t="shared" si="15"/>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4"/>
        <v>0</v>
      </c>
      <c r="J94" s="330" t="str">
        <f t="shared" si="15"/>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4"/>
        <v>0</v>
      </c>
      <c r="J95" s="330" t="str">
        <f t="shared" si="15"/>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4"/>
        <v>0</v>
      </c>
      <c r="J96" s="330" t="str">
        <f t="shared" si="15"/>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4"/>
        <v>0</v>
      </c>
      <c r="J97" s="330" t="str">
        <f t="shared" si="15"/>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4"/>
        <v>0</v>
      </c>
      <c r="J98" s="330" t="str">
        <f t="shared" si="15"/>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4"/>
        <v>0</v>
      </c>
      <c r="J99" s="330" t="str">
        <f t="shared" si="15"/>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4"/>
        <v>0</v>
      </c>
      <c r="J100" s="330" t="str">
        <f t="shared" si="15"/>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1">SUM(D102:D111)</f>
        <v>0</v>
      </c>
      <c r="E101" s="441">
        <f t="shared" si="21"/>
        <v>0</v>
      </c>
      <c r="F101" s="443">
        <f t="shared" si="21"/>
        <v>0</v>
      </c>
      <c r="G101" s="441">
        <f t="shared" si="21"/>
        <v>0</v>
      </c>
      <c r="H101" s="443">
        <f t="shared" si="21"/>
        <v>0</v>
      </c>
      <c r="I101" s="44">
        <f t="shared" si="14"/>
        <v>0</v>
      </c>
      <c r="J101" s="330" t="str">
        <f t="shared" si="15"/>
        <v/>
      </c>
      <c r="K101" s="442">
        <f t="shared" si="21"/>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4"/>
        <v>0</v>
      </c>
      <c r="J102" s="330" t="str">
        <f t="shared" si="15"/>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4"/>
        <v>0</v>
      </c>
      <c r="J103" s="330" t="str">
        <f t="shared" si="15"/>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4"/>
        <v>0</v>
      </c>
      <c r="J104" s="330" t="str">
        <f t="shared" si="15"/>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4"/>
        <v>0</v>
      </c>
      <c r="J105" s="330" t="str">
        <f t="shared" si="15"/>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4"/>
        <v>0</v>
      </c>
      <c r="J106" s="330" t="str">
        <f t="shared" si="15"/>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4"/>
        <v>0</v>
      </c>
      <c r="J107" s="330" t="str">
        <f t="shared" si="15"/>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2">G108-H108</f>
        <v>0</v>
      </c>
      <c r="J108" s="330" t="str">
        <f t="shared" ref="J108:J172" si="23">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2"/>
        <v>0</v>
      </c>
      <c r="J109" s="330" t="str">
        <f t="shared" si="23"/>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2"/>
        <v>0</v>
      </c>
      <c r="J110" s="330" t="str">
        <f t="shared" si="23"/>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2"/>
        <v>0</v>
      </c>
      <c r="J111" s="330" t="str">
        <f t="shared" si="23"/>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4">SUM(D113:D122)</f>
        <v>0</v>
      </c>
      <c r="E112" s="441">
        <f t="shared" si="24"/>
        <v>0</v>
      </c>
      <c r="F112" s="443">
        <f t="shared" si="24"/>
        <v>0</v>
      </c>
      <c r="G112" s="441">
        <f t="shared" si="24"/>
        <v>0</v>
      </c>
      <c r="H112" s="443">
        <f t="shared" si="24"/>
        <v>0</v>
      </c>
      <c r="I112" s="44">
        <f t="shared" si="22"/>
        <v>0</v>
      </c>
      <c r="J112" s="330" t="str">
        <f t="shared" si="23"/>
        <v/>
      </c>
      <c r="K112" s="442">
        <f t="shared" si="24"/>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2"/>
        <v>0</v>
      </c>
      <c r="J113" s="330" t="str">
        <f t="shared" si="23"/>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2"/>
        <v>0</v>
      </c>
      <c r="J114" s="330" t="str">
        <f t="shared" si="23"/>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2"/>
        <v>0</v>
      </c>
      <c r="J115" s="330" t="str">
        <f t="shared" si="23"/>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2"/>
        <v>0</v>
      </c>
      <c r="J116" s="330" t="str">
        <f t="shared" si="23"/>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2"/>
        <v>0</v>
      </c>
      <c r="J117" s="330" t="str">
        <f t="shared" si="23"/>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2"/>
        <v>0</v>
      </c>
      <c r="J118" s="330" t="str">
        <f t="shared" si="23"/>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2"/>
        <v>0</v>
      </c>
      <c r="J119" s="330" t="str">
        <f t="shared" si="23"/>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2"/>
        <v>0</v>
      </c>
      <c r="J120" s="330" t="str">
        <f t="shared" si="23"/>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2"/>
        <v>0</v>
      </c>
      <c r="J121" s="330" t="str">
        <f t="shared" si="23"/>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2"/>
        <v>0</v>
      </c>
      <c r="J122" s="330" t="str">
        <f t="shared" si="23"/>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5">SUM(D124:D133)</f>
        <v>0</v>
      </c>
      <c r="E123" s="441">
        <f t="shared" si="25"/>
        <v>0</v>
      </c>
      <c r="F123" s="443">
        <f t="shared" si="25"/>
        <v>0</v>
      </c>
      <c r="G123" s="441">
        <f t="shared" si="25"/>
        <v>0</v>
      </c>
      <c r="H123" s="443">
        <f t="shared" si="25"/>
        <v>0</v>
      </c>
      <c r="I123" s="44">
        <f t="shared" si="22"/>
        <v>0</v>
      </c>
      <c r="J123" s="330" t="str">
        <f t="shared" si="23"/>
        <v/>
      </c>
      <c r="K123" s="442">
        <f t="shared" si="25"/>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2"/>
        <v>0</v>
      </c>
      <c r="J124" s="330" t="str">
        <f t="shared" si="23"/>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2"/>
        <v>0</v>
      </c>
      <c r="J125" s="330" t="str">
        <f t="shared" si="23"/>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2"/>
        <v>0</v>
      </c>
      <c r="J126" s="330" t="str">
        <f t="shared" si="23"/>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2"/>
        <v>0</v>
      </c>
      <c r="J127" s="330" t="str">
        <f t="shared" si="23"/>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2"/>
        <v>0</v>
      </c>
      <c r="J128" s="330" t="str">
        <f t="shared" si="23"/>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2"/>
        <v>0</v>
      </c>
      <c r="J129" s="330" t="str">
        <f t="shared" si="23"/>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2"/>
        <v>0</v>
      </c>
      <c r="J130" s="330" t="str">
        <f t="shared" si="23"/>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2"/>
        <v>0</v>
      </c>
      <c r="J131" s="330" t="str">
        <f t="shared" si="23"/>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2"/>
        <v>0</v>
      </c>
      <c r="J132" s="330" t="str">
        <f t="shared" si="23"/>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2"/>
        <v>0</v>
      </c>
      <c r="J133" s="330" t="str">
        <f t="shared" si="23"/>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6">SUM(D135:D144)</f>
        <v>0</v>
      </c>
      <c r="E134" s="441">
        <f t="shared" si="26"/>
        <v>0</v>
      </c>
      <c r="F134" s="443">
        <f t="shared" si="26"/>
        <v>0</v>
      </c>
      <c r="G134" s="441">
        <f t="shared" si="26"/>
        <v>0</v>
      </c>
      <c r="H134" s="443">
        <f t="shared" si="26"/>
        <v>0</v>
      </c>
      <c r="I134" s="44">
        <f t="shared" si="22"/>
        <v>0</v>
      </c>
      <c r="J134" s="330" t="str">
        <f t="shared" si="23"/>
        <v/>
      </c>
      <c r="K134" s="442">
        <f t="shared" si="26"/>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2"/>
        <v>0</v>
      </c>
      <c r="J135" s="330" t="str">
        <f t="shared" si="23"/>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2"/>
        <v>0</v>
      </c>
      <c r="J136" s="330" t="str">
        <f t="shared" si="23"/>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2"/>
        <v>0</v>
      </c>
      <c r="J137" s="330" t="str">
        <f t="shared" si="23"/>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2"/>
        <v>0</v>
      </c>
      <c r="J138" s="330" t="str">
        <f t="shared" si="23"/>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2"/>
        <v>0</v>
      </c>
      <c r="J139" s="330" t="str">
        <f t="shared" si="23"/>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2"/>
        <v>0</v>
      </c>
      <c r="J140" s="330" t="str">
        <f t="shared" si="23"/>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2"/>
        <v>0</v>
      </c>
      <c r="J141" s="330" t="str">
        <f t="shared" si="23"/>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2"/>
        <v>0</v>
      </c>
      <c r="J142" s="330" t="str">
        <f t="shared" si="23"/>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2"/>
        <v>0</v>
      </c>
      <c r="J143" s="330" t="str">
        <f t="shared" si="23"/>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2"/>
        <v>0</v>
      </c>
      <c r="J144" s="330" t="str">
        <f t="shared" si="23"/>
        <v/>
      </c>
      <c r="K144" s="743"/>
      <c r="L144" s="452">
        <f t="shared" ref="L144:W144" si="27">SUM(L52:L55)</f>
        <v>0</v>
      </c>
      <c r="M144" s="453">
        <f t="shared" si="27"/>
        <v>0</v>
      </c>
      <c r="N144" s="453">
        <f t="shared" si="27"/>
        <v>0</v>
      </c>
      <c r="O144" s="453">
        <f t="shared" si="27"/>
        <v>0</v>
      </c>
      <c r="P144" s="453">
        <f t="shared" si="27"/>
        <v>0</v>
      </c>
      <c r="Q144" s="453">
        <f t="shared" si="27"/>
        <v>0</v>
      </c>
      <c r="R144" s="453">
        <f t="shared" si="27"/>
        <v>0</v>
      </c>
      <c r="S144" s="453">
        <f t="shared" si="27"/>
        <v>0</v>
      </c>
      <c r="T144" s="453">
        <f t="shared" si="27"/>
        <v>0</v>
      </c>
      <c r="U144" s="453">
        <f t="shared" si="27"/>
        <v>0</v>
      </c>
      <c r="V144" s="453">
        <f t="shared" si="27"/>
        <v>0</v>
      </c>
      <c r="W144" s="453">
        <f t="shared" si="27"/>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21186381.710000001</v>
      </c>
      <c r="G145" s="448">
        <f>G7+G12+G18+G23+G29+G35+G46+G57+G68+G79+G90+G101+G112+G123+G134</f>
        <v>60352741.369999997</v>
      </c>
      <c r="H145" s="450">
        <f>H7+H12+H18+H23+H29+H35+H46+H57+H68+H79+H90+H101+H112+H123+H134</f>
        <v>169722527</v>
      </c>
      <c r="I145" s="514">
        <f t="shared" si="22"/>
        <v>-109369785.63</v>
      </c>
      <c r="J145" s="515">
        <f t="shared" si="23"/>
        <v>-0.64440347173242352</v>
      </c>
      <c r="K145" s="449">
        <f>K7+K12+K18+K23+K29+K35+K46+K57+K68+K79+K90+K101+K112+K123+K134</f>
        <v>509167581</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22"/>
        <v>0</v>
      </c>
      <c r="J146" s="133" t="str">
        <f t="shared" si="23"/>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22"/>
        <v>0</v>
      </c>
      <c r="J148" s="330" t="str">
        <f t="shared" si="23"/>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8">SUM(C150:C159)</f>
        <v>0</v>
      </c>
      <c r="D149" s="471">
        <f t="shared" si="28"/>
        <v>0</v>
      </c>
      <c r="E149" s="468">
        <f t="shared" si="28"/>
        <v>0</v>
      </c>
      <c r="F149" s="470">
        <f t="shared" si="28"/>
        <v>0</v>
      </c>
      <c r="G149" s="468">
        <f t="shared" si="28"/>
        <v>1135600</v>
      </c>
      <c r="H149" s="470">
        <f t="shared" si="28"/>
        <v>0</v>
      </c>
      <c r="I149" s="44">
        <f t="shared" si="22"/>
        <v>1135600</v>
      </c>
      <c r="J149" s="330" t="e">
        <f t="shared" si="23"/>
        <v>#DIV/0!</v>
      </c>
      <c r="K149" s="469">
        <f t="shared" si="28"/>
        <v>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22"/>
        <v>0</v>
      </c>
      <c r="J150" s="330" t="str">
        <f t="shared" si="23"/>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c r="F151" s="746"/>
      <c r="G151" s="733">
        <v>1135600</v>
      </c>
      <c r="H151" s="746"/>
      <c r="I151" s="44">
        <f t="shared" si="22"/>
        <v>1135600</v>
      </c>
      <c r="J151" s="330" t="e">
        <f t="shared" si="23"/>
        <v>#DIV/0!</v>
      </c>
      <c r="K151" s="747"/>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c r="F152" s="746"/>
      <c r="G152" s="733"/>
      <c r="H152" s="746"/>
      <c r="I152" s="44">
        <f t="shared" si="22"/>
        <v>0</v>
      </c>
      <c r="J152" s="330" t="str">
        <f t="shared" si="23"/>
        <v/>
      </c>
      <c r="K152" s="747"/>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22"/>
        <v>0</v>
      </c>
      <c r="J153" s="330" t="str">
        <f t="shared" si="23"/>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22"/>
        <v>0</v>
      </c>
      <c r="J154" s="330" t="str">
        <f t="shared" si="23"/>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22"/>
        <v>0</v>
      </c>
      <c r="J155" s="330" t="str">
        <f t="shared" si="23"/>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22"/>
        <v>0</v>
      </c>
      <c r="J156" s="330" t="str">
        <f t="shared" si="23"/>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22"/>
        <v>0</v>
      </c>
      <c r="J157" s="330" t="str">
        <f t="shared" si="23"/>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22"/>
        <v>0</v>
      </c>
      <c r="J158" s="330" t="str">
        <f t="shared" si="23"/>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22"/>
        <v>0</v>
      </c>
      <c r="J159" s="330" t="str">
        <f t="shared" si="23"/>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9">SUM(E161:E170)</f>
        <v>15800000</v>
      </c>
      <c r="F160" s="443">
        <f t="shared" si="29"/>
        <v>0</v>
      </c>
      <c r="G160" s="441">
        <f t="shared" si="29"/>
        <v>-97000</v>
      </c>
      <c r="H160" s="443">
        <f t="shared" si="29"/>
        <v>5266666.666666667</v>
      </c>
      <c r="I160" s="44">
        <f t="shared" si="22"/>
        <v>-5363666.666666667</v>
      </c>
      <c r="J160" s="330">
        <f t="shared" si="23"/>
        <v>-1.0184177215189874</v>
      </c>
      <c r="K160" s="442">
        <f t="shared" si="29"/>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 t="shared" ref="H161:H162" si="30">E161/12*4</f>
        <v>5000000</v>
      </c>
      <c r="I161" s="44">
        <f t="shared" si="22"/>
        <v>-5000000</v>
      </c>
      <c r="J161" s="330">
        <f t="shared" si="23"/>
        <v>-1</v>
      </c>
      <c r="K161" s="747">
        <f t="shared" ref="K161:K162" si="31">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c r="G162" s="733">
        <v>-97000</v>
      </c>
      <c r="H162" s="746">
        <f t="shared" si="30"/>
        <v>100000</v>
      </c>
      <c r="I162" s="44">
        <f t="shared" si="22"/>
        <v>-197000</v>
      </c>
      <c r="J162" s="330">
        <f t="shared" si="23"/>
        <v>-1.97</v>
      </c>
      <c r="K162" s="747">
        <f t="shared" si="31"/>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22"/>
        <v>0</v>
      </c>
      <c r="J163" s="330" t="str">
        <f t="shared" si="23"/>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22"/>
        <v>0</v>
      </c>
      <c r="J164" s="330" t="str">
        <f t="shared" si="23"/>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c r="H165" s="746">
        <f t="shared" ref="H165" si="32">E165/12*4</f>
        <v>166666.66666666666</v>
      </c>
      <c r="I165" s="44">
        <f t="shared" si="22"/>
        <v>-166666.66666666666</v>
      </c>
      <c r="J165" s="330">
        <f t="shared" si="23"/>
        <v>-1</v>
      </c>
      <c r="K165" s="747">
        <f t="shared" ref="K165" si="33">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2"/>
        <v>0</v>
      </c>
      <c r="J166" s="330" t="str">
        <f t="shared" si="23"/>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2"/>
        <v>0</v>
      </c>
      <c r="J167" s="330" t="str">
        <f t="shared" si="23"/>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2"/>
        <v>0</v>
      </c>
      <c r="J168" s="330" t="str">
        <f t="shared" si="23"/>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2"/>
        <v>0</v>
      </c>
      <c r="J169" s="330" t="str">
        <f t="shared" si="23"/>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2"/>
        <v>0</v>
      </c>
      <c r="J170" s="330" t="str">
        <f t="shared" si="23"/>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4">SUM(C172:C181)</f>
        <v>0</v>
      </c>
      <c r="D171" s="444">
        <f t="shared" si="34"/>
        <v>13700000</v>
      </c>
      <c r="E171" s="441">
        <f t="shared" si="34"/>
        <v>33700000</v>
      </c>
      <c r="F171" s="443">
        <f t="shared" si="34"/>
        <v>0</v>
      </c>
      <c r="G171" s="441">
        <f t="shared" si="34"/>
        <v>4336010.5299999993</v>
      </c>
      <c r="H171" s="443">
        <f t="shared" si="34"/>
        <v>11233333.333333334</v>
      </c>
      <c r="I171" s="44">
        <f t="shared" si="22"/>
        <v>-6897322.8033333346</v>
      </c>
      <c r="J171" s="330">
        <f t="shared" si="23"/>
        <v>-0.61400499732937697</v>
      </c>
      <c r="K171" s="442">
        <f t="shared" si="34"/>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v>3505476</v>
      </c>
      <c r="H172" s="746">
        <f t="shared" ref="H172:H175" si="35">E172/12*4</f>
        <v>3333333.3333333335</v>
      </c>
      <c r="I172" s="44">
        <f t="shared" si="22"/>
        <v>172142.66666666651</v>
      </c>
      <c r="J172" s="330">
        <f t="shared" si="23"/>
        <v>5.1642799999999954E-2</v>
      </c>
      <c r="K172" s="747">
        <f t="shared" ref="K172" si="36">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37">G173-H173</f>
        <v>0</v>
      </c>
      <c r="J173" s="330" t="str">
        <f t="shared" ref="J173:J236" si="38">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v>-701473.12000000011</v>
      </c>
      <c r="H174" s="472">
        <f t="shared" si="35"/>
        <v>3733333.3333333335</v>
      </c>
      <c r="I174" s="44">
        <f t="shared" si="37"/>
        <v>-4434806.4533333331</v>
      </c>
      <c r="J174" s="330">
        <f t="shared" si="38"/>
        <v>-1.1878945857142855</v>
      </c>
      <c r="K174" s="395">
        <f t="shared" ref="K174:K175" si="39">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c r="G175" s="384">
        <v>1532007.65</v>
      </c>
      <c r="H175" s="472">
        <f t="shared" si="35"/>
        <v>4166666.6666666665</v>
      </c>
      <c r="I175" s="44">
        <f t="shared" si="37"/>
        <v>-2634659.0166666666</v>
      </c>
      <c r="J175" s="330">
        <f t="shared" si="38"/>
        <v>-0.63231816399999996</v>
      </c>
      <c r="K175" s="395">
        <f t="shared" si="39"/>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7"/>
        <v>0</v>
      </c>
      <c r="J176" s="330" t="str">
        <f t="shared" si="38"/>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7"/>
        <v>0</v>
      </c>
      <c r="J177" s="330" t="str">
        <f t="shared" si="38"/>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7"/>
        <v>0</v>
      </c>
      <c r="J178" s="330" t="str">
        <f t="shared" si="38"/>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7"/>
        <v>0</v>
      </c>
      <c r="J179" s="330" t="str">
        <f t="shared" si="38"/>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7"/>
        <v>0</v>
      </c>
      <c r="J180" s="330" t="str">
        <f t="shared" si="38"/>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7"/>
        <v>0</v>
      </c>
      <c r="J181" s="330" t="str">
        <f t="shared" si="38"/>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40">SUM(C183:C192)</f>
        <v>0</v>
      </c>
      <c r="D182" s="444">
        <f t="shared" si="40"/>
        <v>0</v>
      </c>
      <c r="E182" s="441">
        <f t="shared" si="40"/>
        <v>0</v>
      </c>
      <c r="F182" s="443">
        <f t="shared" si="40"/>
        <v>7200</v>
      </c>
      <c r="G182" s="441">
        <f t="shared" si="40"/>
        <v>7200</v>
      </c>
      <c r="H182" s="443">
        <f t="shared" si="40"/>
        <v>0</v>
      </c>
      <c r="I182" s="44">
        <f t="shared" si="37"/>
        <v>7200</v>
      </c>
      <c r="J182" s="330" t="e">
        <f t="shared" si="38"/>
        <v>#DIV/0!</v>
      </c>
      <c r="K182" s="442">
        <f t="shared" si="40"/>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7200</v>
      </c>
      <c r="G183" s="384">
        <v>7200</v>
      </c>
      <c r="H183" s="472"/>
      <c r="I183" s="44">
        <f t="shared" si="37"/>
        <v>7200</v>
      </c>
      <c r="J183" s="330" t="e">
        <f t="shared" si="38"/>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37"/>
        <v>0</v>
      </c>
      <c r="J184" s="330" t="str">
        <f t="shared" si="38"/>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7"/>
        <v>0</v>
      </c>
      <c r="J185" s="330" t="str">
        <f t="shared" si="38"/>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7"/>
        <v>0</v>
      </c>
      <c r="J186" s="330" t="str">
        <f t="shared" si="38"/>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7"/>
        <v>0</v>
      </c>
      <c r="J187" s="330" t="str">
        <f t="shared" si="38"/>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7"/>
        <v>0</v>
      </c>
      <c r="J188" s="330" t="str">
        <f t="shared" si="38"/>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7"/>
        <v>0</v>
      </c>
      <c r="J189" s="330" t="str">
        <f t="shared" si="38"/>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7"/>
        <v>0</v>
      </c>
      <c r="J190" s="330" t="str">
        <f t="shared" si="38"/>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7"/>
        <v>0</v>
      </c>
      <c r="J191" s="330" t="str">
        <f t="shared" si="38"/>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7"/>
        <v>0</v>
      </c>
      <c r="J192" s="330" t="str">
        <f t="shared" si="38"/>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41">SUM(C194:C203)</f>
        <v>0</v>
      </c>
      <c r="D193" s="444">
        <f t="shared" si="41"/>
        <v>33000000</v>
      </c>
      <c r="E193" s="441">
        <f t="shared" si="41"/>
        <v>53300000</v>
      </c>
      <c r="F193" s="443">
        <f t="shared" si="41"/>
        <v>13558079.73</v>
      </c>
      <c r="G193" s="441">
        <f t="shared" si="41"/>
        <v>50920724.400000006</v>
      </c>
      <c r="H193" s="443">
        <f t="shared" si="41"/>
        <v>17766666.666666668</v>
      </c>
      <c r="I193" s="44">
        <f t="shared" si="37"/>
        <v>33154057.733333338</v>
      </c>
      <c r="J193" s="330">
        <f t="shared" si="38"/>
        <v>1.8660820487804879</v>
      </c>
      <c r="K193" s="442">
        <f t="shared" si="41"/>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c r="G194" s="384">
        <v>8000000</v>
      </c>
      <c r="H194" s="472">
        <f t="shared" ref="H194" si="42">E194/12*4</f>
        <v>6600000</v>
      </c>
      <c r="I194" s="44">
        <f t="shared" si="37"/>
        <v>1400000</v>
      </c>
      <c r="J194" s="330">
        <f t="shared" si="38"/>
        <v>0.21212121212121213</v>
      </c>
      <c r="K194" s="395">
        <f t="shared" ref="K194" si="43">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v>5776035</v>
      </c>
      <c r="G195" s="384">
        <v>8072989.0099999998</v>
      </c>
      <c r="H195" s="472"/>
      <c r="I195" s="44">
        <f t="shared" si="37"/>
        <v>8072989.0099999998</v>
      </c>
      <c r="J195" s="330" t="e">
        <f t="shared" si="38"/>
        <v>#DIV/0!</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c r="G196" s="384">
        <v>211619.47</v>
      </c>
      <c r="H196" s="472">
        <f t="shared" ref="H196:H197" si="44">E196/12*4</f>
        <v>3333333.3333333335</v>
      </c>
      <c r="I196" s="44">
        <f t="shared" si="37"/>
        <v>-3121713.8633333333</v>
      </c>
      <c r="J196" s="330">
        <f t="shared" si="38"/>
        <v>-0.9365141589999999</v>
      </c>
      <c r="K196" s="395">
        <f t="shared" ref="K196:K197" si="45">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v>7782044.7300000004</v>
      </c>
      <c r="G197" s="384">
        <v>34636115.920000002</v>
      </c>
      <c r="H197" s="472">
        <f t="shared" si="44"/>
        <v>7833333.333333333</v>
      </c>
      <c r="I197" s="44">
        <f t="shared" si="37"/>
        <v>26802782.58666667</v>
      </c>
      <c r="J197" s="330">
        <f t="shared" si="38"/>
        <v>3.4216318195744688</v>
      </c>
      <c r="K197" s="395">
        <f t="shared" si="45"/>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7"/>
        <v>0</v>
      </c>
      <c r="J198" s="330" t="str">
        <f t="shared" si="38"/>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7"/>
        <v>0</v>
      </c>
      <c r="J199" s="330" t="str">
        <f t="shared" si="38"/>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7"/>
        <v>0</v>
      </c>
      <c r="J200" s="330" t="str">
        <f t="shared" si="38"/>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7"/>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7"/>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7"/>
        <v>0</v>
      </c>
      <c r="J203" s="330" t="str">
        <f t="shared" si="38"/>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6">SUM(C205:C214)</f>
        <v>0</v>
      </c>
      <c r="D204" s="444">
        <f t="shared" si="46"/>
        <v>10024000</v>
      </c>
      <c r="E204" s="441">
        <f t="shared" si="46"/>
        <v>10024000</v>
      </c>
      <c r="F204" s="443">
        <f t="shared" si="46"/>
        <v>0</v>
      </c>
      <c r="G204" s="441">
        <f t="shared" si="46"/>
        <v>-1082623.3999999999</v>
      </c>
      <c r="H204" s="443">
        <f t="shared" si="46"/>
        <v>3341333.3333333335</v>
      </c>
      <c r="I204" s="44">
        <f t="shared" si="37"/>
        <v>-4423956.7333333334</v>
      </c>
      <c r="J204" s="330">
        <f t="shared" si="38"/>
        <v>-1.3240093974461293</v>
      </c>
      <c r="K204" s="442">
        <f t="shared" si="46"/>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c r="G205" s="384">
        <v>-1082623.3999999999</v>
      </c>
      <c r="H205" s="472">
        <f t="shared" ref="H205:H207" si="47">E205/12*4</f>
        <v>258000</v>
      </c>
      <c r="I205" s="44">
        <f t="shared" si="37"/>
        <v>-1340623.3999999999</v>
      </c>
      <c r="J205" s="330">
        <f t="shared" si="38"/>
        <v>-5.19621472868217</v>
      </c>
      <c r="K205" s="395">
        <f t="shared" ref="K205:K207" si="48">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c r="H206" s="472">
        <f t="shared" si="47"/>
        <v>833333.33333333337</v>
      </c>
      <c r="I206" s="44">
        <f t="shared" si="37"/>
        <v>-833333.33333333337</v>
      </c>
      <c r="J206" s="330">
        <f t="shared" si="38"/>
        <v>-1</v>
      </c>
      <c r="K206" s="395">
        <f t="shared" si="48"/>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 t="shared" si="47"/>
        <v>2250000</v>
      </c>
      <c r="I207" s="44">
        <f t="shared" si="37"/>
        <v>-2250000</v>
      </c>
      <c r="J207" s="330">
        <f t="shared" si="38"/>
        <v>-1</v>
      </c>
      <c r="K207" s="395">
        <f t="shared" si="48"/>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37"/>
        <v>0</v>
      </c>
      <c r="J208" s="330" t="str">
        <f t="shared" si="38"/>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7"/>
        <v>0</v>
      </c>
      <c r="J209" s="330" t="str">
        <f t="shared" si="38"/>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7"/>
        <v>0</v>
      </c>
      <c r="J210" s="330" t="str">
        <f t="shared" si="38"/>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7"/>
        <v>0</v>
      </c>
      <c r="J211" s="330" t="str">
        <f t="shared" si="38"/>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7"/>
        <v>0</v>
      </c>
      <c r="J212" s="330" t="str">
        <f t="shared" si="38"/>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7"/>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7"/>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9">SUM(C216:C225)</f>
        <v>0</v>
      </c>
      <c r="D215" s="444">
        <f t="shared" si="49"/>
        <v>0</v>
      </c>
      <c r="E215" s="441">
        <f t="shared" si="49"/>
        <v>0</v>
      </c>
      <c r="F215" s="443">
        <f t="shared" si="49"/>
        <v>0</v>
      </c>
      <c r="G215" s="441">
        <f t="shared" si="49"/>
        <v>0</v>
      </c>
      <c r="H215" s="443">
        <f t="shared" si="49"/>
        <v>0</v>
      </c>
      <c r="I215" s="44">
        <f t="shared" si="37"/>
        <v>0</v>
      </c>
      <c r="J215" s="330" t="str">
        <f t="shared" si="38"/>
        <v/>
      </c>
      <c r="K215" s="442">
        <f t="shared" si="49"/>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7"/>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7"/>
        <v>0</v>
      </c>
      <c r="J217" s="330" t="str">
        <f t="shared" si="38"/>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7"/>
        <v>0</v>
      </c>
      <c r="J218" s="330" t="str">
        <f t="shared" si="38"/>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7"/>
        <v>0</v>
      </c>
      <c r="J219" s="330" t="str">
        <f t="shared" si="38"/>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7"/>
        <v>0</v>
      </c>
      <c r="J220" s="330" t="str">
        <f t="shared" si="38"/>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7"/>
        <v>0</v>
      </c>
      <c r="J221" s="330" t="str">
        <f t="shared" si="38"/>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7"/>
        <v>0</v>
      </c>
      <c r="J222" s="330" t="str">
        <f t="shared" si="38"/>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7"/>
        <v>0</v>
      </c>
      <c r="J223" s="330" t="str">
        <f t="shared" si="38"/>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7"/>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7"/>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50">SUM(C227:C236)</f>
        <v>0</v>
      </c>
      <c r="D226" s="444">
        <f t="shared" si="50"/>
        <v>0</v>
      </c>
      <c r="E226" s="441">
        <f t="shared" si="50"/>
        <v>0</v>
      </c>
      <c r="F226" s="443">
        <f t="shared" si="50"/>
        <v>0</v>
      </c>
      <c r="G226" s="441">
        <f t="shared" si="50"/>
        <v>0</v>
      </c>
      <c r="H226" s="443">
        <f t="shared" si="50"/>
        <v>0</v>
      </c>
      <c r="I226" s="44">
        <f t="shared" si="37"/>
        <v>0</v>
      </c>
      <c r="J226" s="330" t="str">
        <f t="shared" si="38"/>
        <v/>
      </c>
      <c r="K226" s="442">
        <f t="shared" si="50"/>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7"/>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7"/>
        <v>0</v>
      </c>
      <c r="J228" s="330" t="str">
        <f t="shared" si="38"/>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7"/>
        <v>0</v>
      </c>
      <c r="J229" s="330" t="str">
        <f t="shared" si="38"/>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7"/>
        <v>0</v>
      </c>
      <c r="J230" s="330" t="str">
        <f t="shared" si="38"/>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7"/>
        <v>0</v>
      </c>
      <c r="J231" s="330" t="str">
        <f t="shared" si="38"/>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7"/>
        <v>0</v>
      </c>
      <c r="J232" s="330" t="str">
        <f t="shared" si="38"/>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7"/>
        <v>0</v>
      </c>
      <c r="J233" s="330" t="str">
        <f t="shared" si="38"/>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7"/>
        <v>0</v>
      </c>
      <c r="J234" s="330" t="str">
        <f t="shared" si="38"/>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7"/>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7"/>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51">SUM(C238:C247)</f>
        <v>0</v>
      </c>
      <c r="D237" s="444">
        <f t="shared" si="51"/>
        <v>0</v>
      </c>
      <c r="E237" s="441">
        <f t="shared" si="51"/>
        <v>0</v>
      </c>
      <c r="F237" s="443">
        <f t="shared" si="51"/>
        <v>0</v>
      </c>
      <c r="G237" s="441">
        <f t="shared" si="51"/>
        <v>0</v>
      </c>
      <c r="H237" s="443">
        <f t="shared" si="51"/>
        <v>0</v>
      </c>
      <c r="I237" s="44">
        <f t="shared" ref="I237:I300" si="52">G237-H237</f>
        <v>0</v>
      </c>
      <c r="J237" s="330" t="str">
        <f t="shared" ref="J237:J300" si="53">IF(I237=0,"",I237/H237)</f>
        <v/>
      </c>
      <c r="K237" s="442">
        <f t="shared" si="51"/>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52"/>
        <v>0</v>
      </c>
      <c r="J238" s="330" t="str">
        <f t="shared" si="53"/>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52"/>
        <v>0</v>
      </c>
      <c r="J239" s="330" t="str">
        <f t="shared" si="53"/>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52"/>
        <v>0</v>
      </c>
      <c r="J240" s="330" t="str">
        <f t="shared" si="53"/>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52"/>
        <v>0</v>
      </c>
      <c r="J241" s="330" t="str">
        <f t="shared" si="53"/>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52"/>
        <v>0</v>
      </c>
      <c r="J242" s="330" t="str">
        <f t="shared" si="53"/>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52"/>
        <v>0</v>
      </c>
      <c r="J243" s="330" t="str">
        <f t="shared" si="53"/>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52"/>
        <v>0</v>
      </c>
      <c r="J244" s="330" t="str">
        <f t="shared" si="53"/>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52"/>
        <v>0</v>
      </c>
      <c r="J245" s="330" t="str">
        <f t="shared" si="53"/>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52"/>
        <v>0</v>
      </c>
      <c r="J246" s="330" t="str">
        <f t="shared" si="53"/>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52"/>
        <v>0</v>
      </c>
      <c r="J247" s="330" t="str">
        <f t="shared" si="53"/>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54">SUM(C249:C258)</f>
        <v>0</v>
      </c>
      <c r="D248" s="444">
        <f t="shared" si="54"/>
        <v>0</v>
      </c>
      <c r="E248" s="441">
        <f t="shared" si="54"/>
        <v>0</v>
      </c>
      <c r="F248" s="443">
        <f t="shared" si="54"/>
        <v>0</v>
      </c>
      <c r="G248" s="441">
        <f t="shared" si="54"/>
        <v>0</v>
      </c>
      <c r="H248" s="443">
        <f t="shared" si="54"/>
        <v>0</v>
      </c>
      <c r="I248" s="44">
        <f t="shared" si="52"/>
        <v>0</v>
      </c>
      <c r="J248" s="330" t="str">
        <f t="shared" si="53"/>
        <v/>
      </c>
      <c r="K248" s="442">
        <f t="shared" si="54"/>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52"/>
        <v>0</v>
      </c>
      <c r="J249" s="330" t="str">
        <f t="shared" si="53"/>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52"/>
        <v>0</v>
      </c>
      <c r="J250" s="330" t="str">
        <f t="shared" si="53"/>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52"/>
        <v>0</v>
      </c>
      <c r="J251" s="330" t="str">
        <f t="shared" si="53"/>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52"/>
        <v>0</v>
      </c>
      <c r="J252" s="330" t="str">
        <f t="shared" si="53"/>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52"/>
        <v>0</v>
      </c>
      <c r="J253" s="330" t="str">
        <f t="shared" si="53"/>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52"/>
        <v>0</v>
      </c>
      <c r="J254" s="330" t="str">
        <f t="shared" si="53"/>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52"/>
        <v>0</v>
      </c>
      <c r="J255" s="330" t="str">
        <f t="shared" si="53"/>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52"/>
        <v>0</v>
      </c>
      <c r="J256" s="330" t="str">
        <f t="shared" si="53"/>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52"/>
        <v>0</v>
      </c>
      <c r="J257" s="330" t="str">
        <f t="shared" si="53"/>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52"/>
        <v>0</v>
      </c>
      <c r="J258" s="330" t="str">
        <f t="shared" si="53"/>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5">SUM(C260:C269)</f>
        <v>0</v>
      </c>
      <c r="D259" s="444">
        <f t="shared" si="55"/>
        <v>0</v>
      </c>
      <c r="E259" s="441">
        <f t="shared" si="55"/>
        <v>0</v>
      </c>
      <c r="F259" s="443">
        <f t="shared" si="55"/>
        <v>0</v>
      </c>
      <c r="G259" s="441">
        <f t="shared" si="55"/>
        <v>0</v>
      </c>
      <c r="H259" s="443">
        <f t="shared" si="55"/>
        <v>0</v>
      </c>
      <c r="I259" s="44">
        <f t="shared" si="52"/>
        <v>0</v>
      </c>
      <c r="J259" s="330" t="str">
        <f t="shared" si="53"/>
        <v/>
      </c>
      <c r="K259" s="442">
        <f t="shared" si="55"/>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52"/>
        <v>0</v>
      </c>
      <c r="J260" s="330" t="str">
        <f t="shared" si="53"/>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52"/>
        <v>0</v>
      </c>
      <c r="J261" s="330" t="str">
        <f t="shared" si="53"/>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52"/>
        <v>0</v>
      </c>
      <c r="J262" s="330" t="str">
        <f t="shared" si="53"/>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52"/>
        <v>0</v>
      </c>
      <c r="J263" s="330" t="str">
        <f t="shared" si="53"/>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52"/>
        <v>0</v>
      </c>
      <c r="J264" s="330" t="str">
        <f t="shared" si="53"/>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52"/>
        <v>0</v>
      </c>
      <c r="J265" s="330" t="str">
        <f t="shared" si="53"/>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52"/>
        <v>0</v>
      </c>
      <c r="J266" s="330" t="str">
        <f t="shared" si="53"/>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52"/>
        <v>0</v>
      </c>
      <c r="J267" s="330" t="str">
        <f t="shared" si="53"/>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52"/>
        <v>0</v>
      </c>
      <c r="J268" s="330" t="str">
        <f t="shared" si="53"/>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52"/>
        <v>0</v>
      </c>
      <c r="J269" s="330" t="str">
        <f t="shared" si="53"/>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6">SUM(C271:C280)</f>
        <v>0</v>
      </c>
      <c r="D270" s="444">
        <f t="shared" si="56"/>
        <v>0</v>
      </c>
      <c r="E270" s="441">
        <f t="shared" si="56"/>
        <v>0</v>
      </c>
      <c r="F270" s="443">
        <f t="shared" si="56"/>
        <v>0</v>
      </c>
      <c r="G270" s="441">
        <f t="shared" si="56"/>
        <v>0</v>
      </c>
      <c r="H270" s="443">
        <f t="shared" si="56"/>
        <v>0</v>
      </c>
      <c r="I270" s="44">
        <f t="shared" si="52"/>
        <v>0</v>
      </c>
      <c r="J270" s="330" t="str">
        <f t="shared" si="53"/>
        <v/>
      </c>
      <c r="K270" s="442">
        <f t="shared" si="56"/>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52"/>
        <v>0</v>
      </c>
      <c r="J271" s="330" t="str">
        <f t="shared" si="53"/>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52"/>
        <v>0</v>
      </c>
      <c r="J272" s="330" t="str">
        <f t="shared" si="53"/>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52"/>
        <v>0</v>
      </c>
      <c r="J273" s="330" t="str">
        <f t="shared" si="53"/>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52"/>
        <v>0</v>
      </c>
      <c r="J274" s="330" t="str">
        <f t="shared" si="53"/>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52"/>
        <v>0</v>
      </c>
      <c r="J275" s="330" t="str">
        <f t="shared" si="53"/>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52"/>
        <v>0</v>
      </c>
      <c r="J276" s="330" t="str">
        <f t="shared" si="53"/>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52"/>
        <v>0</v>
      </c>
      <c r="J277" s="330" t="str">
        <f t="shared" si="53"/>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52"/>
        <v>0</v>
      </c>
      <c r="J278" s="330" t="str">
        <f t="shared" si="53"/>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52"/>
        <v>0</v>
      </c>
      <c r="J279" s="330" t="str">
        <f t="shared" si="53"/>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52"/>
        <v>0</v>
      </c>
      <c r="J280" s="330" t="str">
        <f t="shared" si="53"/>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7">SUM(C282:C291)</f>
        <v>0</v>
      </c>
      <c r="D281" s="444">
        <f t="shared" si="57"/>
        <v>0</v>
      </c>
      <c r="E281" s="441">
        <f t="shared" si="57"/>
        <v>0</v>
      </c>
      <c r="F281" s="443">
        <f t="shared" si="57"/>
        <v>0</v>
      </c>
      <c r="G281" s="441">
        <f t="shared" si="57"/>
        <v>0</v>
      </c>
      <c r="H281" s="443">
        <f t="shared" si="57"/>
        <v>0</v>
      </c>
      <c r="I281" s="44">
        <f t="shared" si="52"/>
        <v>0</v>
      </c>
      <c r="J281" s="330" t="str">
        <f t="shared" si="53"/>
        <v/>
      </c>
      <c r="K281" s="442">
        <f t="shared" si="57"/>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52"/>
        <v>0</v>
      </c>
      <c r="J282" s="330" t="str">
        <f t="shared" si="53"/>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52"/>
        <v>0</v>
      </c>
      <c r="J283" s="330" t="str">
        <f t="shared" si="53"/>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52"/>
        <v>0</v>
      </c>
      <c r="J284" s="330" t="str">
        <f t="shared" si="53"/>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52"/>
        <v>0</v>
      </c>
      <c r="J285" s="330" t="str">
        <f t="shared" si="53"/>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52"/>
        <v>0</v>
      </c>
      <c r="J286" s="330" t="str">
        <f t="shared" si="53"/>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52"/>
        <v>0</v>
      </c>
      <c r="J287" s="330" t="str">
        <f t="shared" si="53"/>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52"/>
        <v>0</v>
      </c>
      <c r="J288" s="330" t="str">
        <f t="shared" si="53"/>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52"/>
        <v>0</v>
      </c>
      <c r="J289" s="330" t="str">
        <f t="shared" si="53"/>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52"/>
        <v>0</v>
      </c>
      <c r="J290" s="330" t="str">
        <f t="shared" si="53"/>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52"/>
        <v>0</v>
      </c>
      <c r="J291" s="330" t="str">
        <f t="shared" si="53"/>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8">SUM(C293:C302)</f>
        <v>0</v>
      </c>
      <c r="D292" s="444">
        <f t="shared" si="58"/>
        <v>0</v>
      </c>
      <c r="E292" s="441">
        <f t="shared" si="58"/>
        <v>0</v>
      </c>
      <c r="F292" s="443">
        <f t="shared" si="58"/>
        <v>0</v>
      </c>
      <c r="G292" s="441">
        <f t="shared" si="58"/>
        <v>0</v>
      </c>
      <c r="H292" s="443">
        <f t="shared" si="58"/>
        <v>0</v>
      </c>
      <c r="I292" s="44">
        <f t="shared" si="52"/>
        <v>0</v>
      </c>
      <c r="J292" s="330" t="str">
        <f t="shared" si="53"/>
        <v/>
      </c>
      <c r="K292" s="442">
        <f t="shared" si="58"/>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52"/>
        <v>0</v>
      </c>
      <c r="J293" s="330" t="str">
        <f t="shared" si="53"/>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52"/>
        <v>0</v>
      </c>
      <c r="J294" s="330" t="str">
        <f t="shared" si="53"/>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52"/>
        <v>0</v>
      </c>
      <c r="J295" s="330" t="str">
        <f t="shared" si="53"/>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52"/>
        <v>0</v>
      </c>
      <c r="J296" s="330" t="str">
        <f t="shared" si="53"/>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52"/>
        <v>0</v>
      </c>
      <c r="J297" s="330" t="str">
        <f t="shared" si="53"/>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52"/>
        <v>0</v>
      </c>
      <c r="J298" s="330" t="str">
        <f t="shared" si="53"/>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52"/>
        <v>0</v>
      </c>
      <c r="J299" s="330" t="str">
        <f t="shared" si="53"/>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52"/>
        <v>0</v>
      </c>
      <c r="J300" s="330" t="str">
        <f t="shared" si="53"/>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9">G301-H301</f>
        <v>0</v>
      </c>
      <c r="J301" s="330" t="str">
        <f t="shared" ref="J301:J316" si="60">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9"/>
        <v>0</v>
      </c>
      <c r="J302" s="330" t="str">
        <f t="shared" si="60"/>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61">SUM(C304:C313)</f>
        <v>0</v>
      </c>
      <c r="D303" s="444">
        <f t="shared" si="61"/>
        <v>0</v>
      </c>
      <c r="E303" s="441">
        <f t="shared" si="61"/>
        <v>0</v>
      </c>
      <c r="F303" s="443">
        <f t="shared" si="61"/>
        <v>0</v>
      </c>
      <c r="G303" s="441">
        <f t="shared" si="61"/>
        <v>0</v>
      </c>
      <c r="H303" s="443">
        <f t="shared" si="61"/>
        <v>0</v>
      </c>
      <c r="I303" s="44">
        <f t="shared" si="59"/>
        <v>0</v>
      </c>
      <c r="J303" s="330" t="str">
        <f t="shared" si="60"/>
        <v/>
      </c>
      <c r="K303" s="442">
        <f t="shared" si="61"/>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9"/>
        <v>0</v>
      </c>
      <c r="J304" s="330" t="str">
        <f t="shared" si="60"/>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9"/>
        <v>0</v>
      </c>
      <c r="J305" s="330" t="str">
        <f t="shared" si="60"/>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9"/>
        <v>0</v>
      </c>
      <c r="J306" s="330" t="str">
        <f t="shared" si="60"/>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9"/>
        <v>0</v>
      </c>
      <c r="J307" s="330" t="str">
        <f t="shared" si="60"/>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9"/>
        <v>0</v>
      </c>
      <c r="J308" s="330" t="str">
        <f t="shared" si="60"/>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9"/>
        <v>0</v>
      </c>
      <c r="J309" s="330" t="str">
        <f t="shared" si="60"/>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9"/>
        <v>0</v>
      </c>
      <c r="J310" s="330" t="str">
        <f t="shared" si="60"/>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9"/>
        <v>0</v>
      </c>
      <c r="J311" s="330" t="str">
        <f t="shared" si="60"/>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9"/>
        <v>0</v>
      </c>
      <c r="J312" s="330" t="str">
        <f t="shared" si="60"/>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9"/>
        <v>0</v>
      </c>
      <c r="J313" s="330" t="str">
        <f t="shared" si="60"/>
        <v/>
      </c>
      <c r="K313" s="395"/>
      <c r="L313" s="452">
        <f t="shared" ref="L313:W313" si="62">SUM(L148:L224)</f>
        <v>0</v>
      </c>
      <c r="M313" s="453">
        <f t="shared" si="62"/>
        <v>0</v>
      </c>
      <c r="N313" s="453">
        <f t="shared" si="62"/>
        <v>0</v>
      </c>
      <c r="O313" s="453">
        <f t="shared" si="62"/>
        <v>0</v>
      </c>
      <c r="P313" s="453">
        <f t="shared" si="62"/>
        <v>0</v>
      </c>
      <c r="Q313" s="453">
        <f t="shared" si="62"/>
        <v>0</v>
      </c>
      <c r="R313" s="453">
        <f t="shared" si="62"/>
        <v>0</v>
      </c>
      <c r="S313" s="453">
        <f t="shared" si="62"/>
        <v>0</v>
      </c>
      <c r="T313" s="453">
        <f t="shared" si="62"/>
        <v>0</v>
      </c>
      <c r="U313" s="453">
        <f t="shared" si="62"/>
        <v>0</v>
      </c>
      <c r="V313" s="453">
        <f t="shared" si="62"/>
        <v>0</v>
      </c>
      <c r="W313" s="453">
        <f t="shared" si="62"/>
        <v>0</v>
      </c>
    </row>
    <row r="314" spans="1:23" ht="12.75" customHeight="1" x14ac:dyDescent="0.25">
      <c r="A314" s="711" t="s">
        <v>799</v>
      </c>
      <c r="B314" s="712"/>
      <c r="C314" s="508">
        <f>C149+C160+C171+C182+C193+C204+C215+C226+C237+C259+C270+C281+C292+C303+C248</f>
        <v>0</v>
      </c>
      <c r="D314" s="475">
        <f t="shared" ref="D314:K314" si="63">D149+D160+D171+D182+D193+D204+D215+D226+D237+D259+D270+D281+D292+D303+D248</f>
        <v>71724000</v>
      </c>
      <c r="E314" s="430">
        <f t="shared" si="63"/>
        <v>112824000</v>
      </c>
      <c r="F314" s="474">
        <f t="shared" si="63"/>
        <v>13565279.73</v>
      </c>
      <c r="G314" s="430">
        <f t="shared" si="63"/>
        <v>55219911.530000009</v>
      </c>
      <c r="H314" s="474">
        <f t="shared" si="63"/>
        <v>37608000.000000007</v>
      </c>
      <c r="I314" s="430">
        <f t="shared" si="59"/>
        <v>17611911.530000001</v>
      </c>
      <c r="J314" s="430">
        <f t="shared" si="60"/>
        <v>0.46830226361412458</v>
      </c>
      <c r="K314" s="513">
        <f t="shared" si="63"/>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9"/>
        <v>0</v>
      </c>
      <c r="J315" s="50" t="str">
        <f t="shared" si="60"/>
        <v/>
      </c>
      <c r="K315" s="194"/>
      <c r="L315" s="480">
        <f t="shared" ref="L315:W315" si="64">L144-L313</f>
        <v>0</v>
      </c>
      <c r="M315" s="481">
        <f t="shared" si="64"/>
        <v>0</v>
      </c>
      <c r="N315" s="481">
        <f t="shared" si="64"/>
        <v>0</v>
      </c>
      <c r="O315" s="481">
        <f t="shared" si="64"/>
        <v>0</v>
      </c>
      <c r="P315" s="481">
        <f t="shared" si="64"/>
        <v>0</v>
      </c>
      <c r="Q315" s="481">
        <f t="shared" si="64"/>
        <v>0</v>
      </c>
      <c r="R315" s="481">
        <f t="shared" si="64"/>
        <v>0</v>
      </c>
      <c r="S315" s="481">
        <f t="shared" si="64"/>
        <v>0</v>
      </c>
      <c r="T315" s="481">
        <f t="shared" si="64"/>
        <v>0</v>
      </c>
      <c r="U315" s="481">
        <f t="shared" si="64"/>
        <v>0</v>
      </c>
      <c r="V315" s="481">
        <f t="shared" si="64"/>
        <v>0</v>
      </c>
      <c r="W315" s="481">
        <f t="shared" si="64"/>
        <v>0</v>
      </c>
    </row>
    <row r="316" spans="1:23" s="486" customFormat="1" ht="13.5" customHeight="1" thickTop="1" x14ac:dyDescent="0.25">
      <c r="A316" s="53" t="s">
        <v>761</v>
      </c>
      <c r="B316" s="477"/>
      <c r="C316" s="509">
        <f>C145+C314</f>
        <v>0</v>
      </c>
      <c r="D316" s="512">
        <f t="shared" ref="D316:K316" si="65">D145+D314</f>
        <v>580891581</v>
      </c>
      <c r="E316" s="55">
        <f t="shared" si="65"/>
        <v>621991581</v>
      </c>
      <c r="F316" s="479">
        <f t="shared" si="65"/>
        <v>34751661.439999998</v>
      </c>
      <c r="G316" s="55">
        <f t="shared" si="65"/>
        <v>115572652.90000001</v>
      </c>
      <c r="H316" s="479">
        <f t="shared" si="65"/>
        <v>207330527</v>
      </c>
      <c r="I316" s="55">
        <f t="shared" si="59"/>
        <v>-91757874.099999994</v>
      </c>
      <c r="J316" s="55">
        <f t="shared" si="60"/>
        <v>-0.44256808405257175</v>
      </c>
      <c r="K316" s="235">
        <f t="shared" si="65"/>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20" activePane="bottomRight" state="frozen"/>
      <selection pane="topRight"/>
      <selection pane="bottomLeft"/>
      <selection pane="bottomRight" activeCell="J23" sqref="J23"/>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8" t="str">
        <f>muni&amp; " - "&amp;S71E&amp; " - "&amp;date</f>
        <v>KZN225 Msunduzi - Table C6 Monthly Budget Statement - Financial Position - M04 October</v>
      </c>
      <c r="B1" s="1058"/>
      <c r="C1" s="1058"/>
      <c r="D1" s="1058"/>
      <c r="E1" s="1058"/>
      <c r="F1" s="1058"/>
      <c r="G1" s="1058"/>
    </row>
    <row r="2" spans="1:8" x14ac:dyDescent="0.25">
      <c r="A2" s="1043" t="str">
        <f>desc</f>
        <v>Description</v>
      </c>
      <c r="B2" s="1036" t="str">
        <f>head27</f>
        <v>Ref</v>
      </c>
      <c r="C2" s="140" t="str">
        <f>Head1</f>
        <v>2019/20</v>
      </c>
      <c r="D2" s="245" t="str">
        <f>Head2</f>
        <v>Budget Year 2020/21</v>
      </c>
      <c r="E2" s="229"/>
      <c r="F2" s="229"/>
      <c r="G2" s="230"/>
    </row>
    <row r="3" spans="1:8" ht="25.5" x14ac:dyDescent="0.25">
      <c r="A3" s="1044"/>
      <c r="B3" s="1047"/>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33355351.119999997</v>
      </c>
      <c r="G7" s="735">
        <f>E7</f>
        <v>587058869.06572831</v>
      </c>
    </row>
    <row r="8" spans="1:8" ht="12.75" customHeight="1" x14ac:dyDescent="0.25">
      <c r="A8" s="39" t="s">
        <v>590</v>
      </c>
      <c r="B8" s="169"/>
      <c r="C8" s="748"/>
      <c r="D8" s="753">
        <v>16771734.260000002</v>
      </c>
      <c r="E8" s="733">
        <v>16771734.260000199</v>
      </c>
      <c r="F8" s="733">
        <v>172181355.94999993</v>
      </c>
      <c r="G8" s="735">
        <f t="shared" ref="G8:G12" si="0">E8</f>
        <v>16771734.260000199</v>
      </c>
    </row>
    <row r="9" spans="1:8" ht="12.75" customHeight="1" x14ac:dyDescent="0.25">
      <c r="A9" s="39" t="s">
        <v>588</v>
      </c>
      <c r="B9" s="169"/>
      <c r="C9" s="748"/>
      <c r="D9" s="753">
        <v>2485904793.8587079</v>
      </c>
      <c r="E9" s="733">
        <v>2165986452.883708</v>
      </c>
      <c r="F9" s="733">
        <v>2227505638.559999</v>
      </c>
      <c r="G9" s="735">
        <f t="shared" si="0"/>
        <v>2165986452.883708</v>
      </c>
    </row>
    <row r="10" spans="1:8" ht="12.75" customHeight="1" x14ac:dyDescent="0.25">
      <c r="A10" s="39" t="s">
        <v>589</v>
      </c>
      <c r="B10" s="169"/>
      <c r="C10" s="748"/>
      <c r="D10" s="753">
        <v>67823549.673443094</v>
      </c>
      <c r="E10" s="733">
        <v>67823549.673443094</v>
      </c>
      <c r="F10" s="733">
        <v>2599287.1899999981</v>
      </c>
      <c r="G10" s="735">
        <f t="shared" si="0"/>
        <v>67823549.673443094</v>
      </c>
    </row>
    <row r="11" spans="1:8" ht="12.75" customHeight="1" x14ac:dyDescent="0.25">
      <c r="A11" s="39" t="s">
        <v>786</v>
      </c>
      <c r="B11" s="169"/>
      <c r="C11" s="748"/>
      <c r="D11" s="753"/>
      <c r="E11" s="733"/>
      <c r="F11" s="733"/>
      <c r="G11" s="735"/>
    </row>
    <row r="12" spans="1:8" ht="12.75" customHeight="1" x14ac:dyDescent="0.25">
      <c r="A12" s="39" t="s">
        <v>587</v>
      </c>
      <c r="B12" s="169"/>
      <c r="C12" s="748"/>
      <c r="D12" s="753">
        <v>36180571.679769903</v>
      </c>
      <c r="E12" s="733">
        <v>36180571.679769903</v>
      </c>
      <c r="F12" s="733">
        <v>578383904.64999998</v>
      </c>
      <c r="G12" s="735">
        <f t="shared" si="0"/>
        <v>36180571.679769903</v>
      </c>
    </row>
    <row r="13" spans="1:8" ht="12.75" customHeight="1" x14ac:dyDescent="0.25">
      <c r="A13" s="92" t="s">
        <v>632</v>
      </c>
      <c r="B13" s="233"/>
      <c r="C13" s="243">
        <f>SUM(C7:C12)</f>
        <v>0</v>
      </c>
      <c r="D13" s="260">
        <f>SUM(D7:D12)</f>
        <v>2972344764.6444831</v>
      </c>
      <c r="E13" s="73">
        <f>SUM(E7:E12)</f>
        <v>2873821177.5626497</v>
      </c>
      <c r="F13" s="73">
        <f>SUM(F7:F12)</f>
        <v>3014025537.4699993</v>
      </c>
      <c r="G13" s="145">
        <f>SUM(G7:G12)</f>
        <v>2873821177.5626497</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382058.66000000015</v>
      </c>
      <c r="G16" s="735"/>
      <c r="H16" s="39"/>
    </row>
    <row r="17" spans="1:8" ht="12.75" customHeight="1" x14ac:dyDescent="0.25">
      <c r="A17" s="39" t="s">
        <v>544</v>
      </c>
      <c r="B17" s="169"/>
      <c r="C17" s="748"/>
      <c r="D17" s="753">
        <v>2969671.4292000006</v>
      </c>
      <c r="E17" s="733"/>
      <c r="F17" s="733"/>
      <c r="G17" s="735"/>
      <c r="H17" s="39"/>
    </row>
    <row r="18" spans="1:8" ht="12.75" customHeight="1" x14ac:dyDescent="0.25">
      <c r="A18" s="39" t="s">
        <v>585</v>
      </c>
      <c r="B18" s="169"/>
      <c r="C18" s="748"/>
      <c r="D18" s="753">
        <v>782332533.60000002</v>
      </c>
      <c r="E18" s="733">
        <v>2969671.4292000006</v>
      </c>
      <c r="F18" s="733">
        <v>707626999.95000005</v>
      </c>
      <c r="G18" s="735">
        <f t="shared" ref="G18:G19" si="1">E18</f>
        <v>2969671.4292000006</v>
      </c>
      <c r="H18" s="39"/>
    </row>
    <row r="19" spans="1:8" ht="12.75" customHeight="1" x14ac:dyDescent="0.25">
      <c r="A19" s="39" t="s">
        <v>278</v>
      </c>
      <c r="B19" s="169"/>
      <c r="C19" s="748"/>
      <c r="D19" s="753"/>
      <c r="E19" s="733">
        <v>782332533.60000002</v>
      </c>
      <c r="F19" s="733"/>
      <c r="G19" s="735">
        <f t="shared" si="1"/>
        <v>782332533.60000002</v>
      </c>
      <c r="H19" s="39"/>
    </row>
    <row r="20" spans="1:8" ht="12.75" customHeight="1" x14ac:dyDescent="0.25">
      <c r="A20" s="39" t="s">
        <v>584</v>
      </c>
      <c r="B20" s="169"/>
      <c r="C20" s="748"/>
      <c r="D20" s="753">
        <v>7111997635.7252645</v>
      </c>
      <c r="E20" s="733">
        <v>7160597635.4495039</v>
      </c>
      <c r="F20" s="733">
        <v>6822334477.750001</v>
      </c>
      <c r="G20" s="735">
        <f>E20</f>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ref="G22:G24" si="2">E22</f>
        <v>1065650.33</v>
      </c>
      <c r="H22" s="39"/>
    </row>
    <row r="23" spans="1:8" ht="12.75" customHeight="1" x14ac:dyDescent="0.25">
      <c r="A23" s="39" t="s">
        <v>1334</v>
      </c>
      <c r="B23" s="169"/>
      <c r="C23" s="748"/>
      <c r="D23" s="753">
        <v>46132727.226800002</v>
      </c>
      <c r="E23" s="733">
        <v>46132727.226800002</v>
      </c>
      <c r="F23" s="733">
        <v>27170852.760000005</v>
      </c>
      <c r="G23" s="735">
        <f t="shared" si="2"/>
        <v>46132727.226800002</v>
      </c>
      <c r="H23" s="39"/>
    </row>
    <row r="24" spans="1:8" ht="12.75" customHeight="1" x14ac:dyDescent="0.25">
      <c r="A24" s="39" t="s">
        <v>795</v>
      </c>
      <c r="B24" s="169"/>
      <c r="C24" s="748"/>
      <c r="D24" s="753">
        <v>395927434.26520002</v>
      </c>
      <c r="E24" s="733">
        <v>395927434.26520002</v>
      </c>
      <c r="F24" s="733">
        <v>83200000</v>
      </c>
      <c r="G24" s="735">
        <f t="shared" si="2"/>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7641784639.1200008</v>
      </c>
      <c r="G25" s="145">
        <f>SUM(G16:G20)+SUM(G22:G24)</f>
        <v>8389025652.300705</v>
      </c>
      <c r="H25" s="39"/>
    </row>
    <row r="26" spans="1:8" ht="12.75" customHeight="1" x14ac:dyDescent="0.25">
      <c r="A26" s="92" t="s">
        <v>778</v>
      </c>
      <c r="B26" s="233"/>
      <c r="C26" s="243">
        <f>C13+C25</f>
        <v>0</v>
      </c>
      <c r="D26" s="260">
        <f>D13+D25</f>
        <v>11312770417.220949</v>
      </c>
      <c r="E26" s="73">
        <f>E13+E25</f>
        <v>11262846829.863354</v>
      </c>
      <c r="F26" s="73">
        <f>F13+F25</f>
        <v>10655810176.59</v>
      </c>
      <c r="G26" s="145">
        <f>G13+G25</f>
        <v>11262846829.863354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61406754.710000001</v>
      </c>
      <c r="G31" s="735">
        <f t="shared" ref="G31:G34" si="3">E31</f>
        <v>85380595.876948789</v>
      </c>
    </row>
    <row r="32" spans="1:8" ht="12.75" customHeight="1" x14ac:dyDescent="0.25">
      <c r="A32" s="39" t="s">
        <v>583</v>
      </c>
      <c r="B32" s="169"/>
      <c r="C32" s="748"/>
      <c r="D32" s="753">
        <v>114344430.65218705</v>
      </c>
      <c r="E32" s="733">
        <v>114344430.65218705</v>
      </c>
      <c r="F32" s="733">
        <v>119518043.45999999</v>
      </c>
      <c r="G32" s="735">
        <f t="shared" si="3"/>
        <v>114344430.65218705</v>
      </c>
    </row>
    <row r="33" spans="1:7" ht="12.75" customHeight="1" x14ac:dyDescent="0.25">
      <c r="A33" s="39" t="s">
        <v>787</v>
      </c>
      <c r="B33" s="169"/>
      <c r="C33" s="748"/>
      <c r="D33" s="753">
        <v>1101595513.0999999</v>
      </c>
      <c r="E33" s="733">
        <v>1005724626.0998489</v>
      </c>
      <c r="F33" s="733">
        <v>1337279828.0799999</v>
      </c>
      <c r="G33" s="735">
        <f t="shared" si="3"/>
        <v>1005724626.0998489</v>
      </c>
    </row>
    <row r="34" spans="1:7" ht="12.75" customHeight="1" x14ac:dyDescent="0.25">
      <c r="A34" s="39" t="s">
        <v>546</v>
      </c>
      <c r="B34" s="169"/>
      <c r="C34" s="748"/>
      <c r="D34" s="753">
        <v>140397811.785</v>
      </c>
      <c r="E34" s="733">
        <v>140397811.785</v>
      </c>
      <c r="F34" s="733">
        <v>38202000</v>
      </c>
      <c r="G34" s="735">
        <f t="shared" si="3"/>
        <v>140397811.785</v>
      </c>
    </row>
    <row r="35" spans="1:7" ht="12.75" customHeight="1" x14ac:dyDescent="0.25">
      <c r="A35" s="92" t="s">
        <v>459</v>
      </c>
      <c r="B35" s="233"/>
      <c r="C35" s="243">
        <f>SUM(C30:C34)</f>
        <v>0</v>
      </c>
      <c r="D35" s="260">
        <f>SUM(D30:D34)</f>
        <v>1441718351.4141357</v>
      </c>
      <c r="E35" s="73">
        <f>SUM(E30:E34)</f>
        <v>1345847464.4139848</v>
      </c>
      <c r="F35" s="73">
        <f>SUM(F30:F34)</f>
        <v>1556406626.25</v>
      </c>
      <c r="G35" s="145">
        <f>SUM(G30:G34)</f>
        <v>1345847464.4139848</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4">E38</f>
        <v>282085537</v>
      </c>
    </row>
    <row r="39" spans="1:7" ht="12.75" customHeight="1" x14ac:dyDescent="0.25">
      <c r="A39" s="39" t="s">
        <v>546</v>
      </c>
      <c r="B39" s="169"/>
      <c r="C39" s="748"/>
      <c r="D39" s="753">
        <v>809779414.93056619</v>
      </c>
      <c r="E39" s="733">
        <v>809779414.93056619</v>
      </c>
      <c r="F39" s="733">
        <v>534772329.63999999</v>
      </c>
      <c r="G39" s="735">
        <f t="shared" si="4"/>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2376496951.54</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8825134413.5188026</v>
      </c>
      <c r="F43" s="76">
        <f>F26-F41</f>
        <v>8279313225.0500002</v>
      </c>
      <c r="G43" s="234">
        <f>G26-G41</f>
        <v>8825134413.5188026</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8596221155.1900883</v>
      </c>
      <c r="F46" s="733">
        <v>8089272979.0299997</v>
      </c>
      <c r="G46" s="735">
        <f t="shared" ref="G46:G47" si="5">E46</f>
        <v>8596221155.1900883</v>
      </c>
    </row>
    <row r="47" spans="1:7" ht="12.75" customHeight="1" x14ac:dyDescent="0.25">
      <c r="A47" s="39" t="s">
        <v>902</v>
      </c>
      <c r="B47" s="169"/>
      <c r="C47" s="748"/>
      <c r="D47" s="753">
        <v>228913258</v>
      </c>
      <c r="E47" s="733">
        <v>228913258.32871437</v>
      </c>
      <c r="F47" s="733">
        <v>190040246.02000001</v>
      </c>
      <c r="G47" s="735">
        <f t="shared" si="5"/>
        <v>228913258.32871437</v>
      </c>
    </row>
    <row r="48" spans="1:7" ht="12.75" customHeight="1" x14ac:dyDescent="0.25">
      <c r="A48" s="53" t="s">
        <v>626</v>
      </c>
      <c r="B48" s="236">
        <v>2</v>
      </c>
      <c r="C48" s="112">
        <f>SUM(C46:C47)</f>
        <v>0</v>
      </c>
      <c r="D48" s="271">
        <f>SUM(D46:D47)</f>
        <v>8779187113.8762474</v>
      </c>
      <c r="E48" s="55">
        <f>SUM(E46:E47)</f>
        <v>8825134413.5188026</v>
      </c>
      <c r="F48" s="55">
        <f>SUM(F46:F47)</f>
        <v>8279313225.0500002</v>
      </c>
      <c r="G48" s="235">
        <f>SUM(G46:G47)</f>
        <v>8825134413.5188026</v>
      </c>
    </row>
    <row r="49" spans="1:7" ht="12.75" customHeight="1" x14ac:dyDescent="0.25">
      <c r="A49" s="78" t="str">
        <f>head27a</f>
        <v>References</v>
      </c>
      <c r="B49" s="58"/>
      <c r="C49" s="49"/>
      <c r="D49" s="49"/>
      <c r="E49" s="49"/>
      <c r="F49" s="49"/>
      <c r="G49" s="49"/>
    </row>
    <row r="50" spans="1:7" ht="13.5" customHeight="1" x14ac:dyDescent="0.25">
      <c r="A50" s="1057" t="s">
        <v>145</v>
      </c>
      <c r="B50" s="1057"/>
      <c r="C50" s="1057"/>
      <c r="D50" s="1057"/>
      <c r="E50" s="1057"/>
      <c r="F50" s="1057"/>
      <c r="G50" s="1057"/>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K36" sqref="K36"/>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"&amp;S71F&amp; " - "&amp;date</f>
        <v>KZN225 Msunduzi - Table C7 Monthly Budget Statement - Cash Flow  - M04 October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v>72091424.269999996</v>
      </c>
      <c r="G7" s="733">
        <v>137200485.66999972</v>
      </c>
      <c r="H7" s="733">
        <f>E7/12*4</f>
        <v>359775134.97284323</v>
      </c>
      <c r="I7" s="44">
        <f t="shared" ref="I7:I13" si="0">G7-H7</f>
        <v>-222574649.30284351</v>
      </c>
      <c r="J7" s="330">
        <f>IF(I7=0,"",I7/H7)</f>
        <v>-0.61864933861992444</v>
      </c>
      <c r="K7" s="735">
        <f>E7</f>
        <v>1079325404.9185297</v>
      </c>
    </row>
    <row r="8" spans="1:11" ht="12.75" customHeight="1" x14ac:dyDescent="0.25">
      <c r="A8" s="518" t="s">
        <v>962</v>
      </c>
      <c r="B8" s="169"/>
      <c r="C8" s="748"/>
      <c r="D8" s="745">
        <v>3039399061.9489746</v>
      </c>
      <c r="E8" s="733">
        <v>3039399061.9489746</v>
      </c>
      <c r="F8" s="733">
        <v>218966797.37000099</v>
      </c>
      <c r="G8" s="733">
        <v>405761038.22000301</v>
      </c>
      <c r="H8" s="733">
        <f t="shared" ref="H8:H12" si="1">E8/12*4</f>
        <v>1013133020.6496582</v>
      </c>
      <c r="I8" s="44">
        <f t="shared" si="0"/>
        <v>-607371982.42965519</v>
      </c>
      <c r="J8" s="330">
        <f>IF(I8=0,"",I8/H8)</f>
        <v>-0.59949875292800736</v>
      </c>
      <c r="K8" s="735">
        <f t="shared" ref="K8:K12" si="2">E8</f>
        <v>3039399061.9489746</v>
      </c>
    </row>
    <row r="9" spans="1:11" ht="12.75" customHeight="1" x14ac:dyDescent="0.25">
      <c r="A9" s="518" t="s">
        <v>453</v>
      </c>
      <c r="B9" s="169"/>
      <c r="C9" s="748"/>
      <c r="D9" s="745">
        <v>152193014.45782498</v>
      </c>
      <c r="E9" s="733">
        <v>152193014.45782498</v>
      </c>
      <c r="F9" s="733">
        <v>101480552.36999901</v>
      </c>
      <c r="G9" s="733">
        <v>220988216.25999749</v>
      </c>
      <c r="H9" s="733">
        <f t="shared" si="1"/>
        <v>50731004.819274992</v>
      </c>
      <c r="I9" s="44">
        <f t="shared" si="0"/>
        <v>170257211.4407225</v>
      </c>
      <c r="J9" s="330">
        <f>IF(I9=0,"",I9/H9)</f>
        <v>3.3560780443290987</v>
      </c>
      <c r="K9" s="735">
        <f t="shared" si="2"/>
        <v>152193014.45782498</v>
      </c>
    </row>
    <row r="10" spans="1:11" ht="12.75" customHeight="1" x14ac:dyDescent="0.25">
      <c r="A10" s="992" t="s">
        <v>1372</v>
      </c>
      <c r="B10" s="171"/>
      <c r="C10" s="748"/>
      <c r="D10" s="745">
        <v>675483240</v>
      </c>
      <c r="E10" s="733">
        <v>764481240</v>
      </c>
      <c r="F10" s="733"/>
      <c r="G10" s="733">
        <v>301948058.13999999</v>
      </c>
      <c r="H10" s="733">
        <f t="shared" si="1"/>
        <v>254827080</v>
      </c>
      <c r="I10" s="44">
        <f t="shared" si="0"/>
        <v>47120978.139999986</v>
      </c>
      <c r="J10" s="330">
        <f>IF(I10=0,"",I10/H10)</f>
        <v>0.1849135427051159</v>
      </c>
      <c r="K10" s="735">
        <f t="shared" si="2"/>
        <v>764481240</v>
      </c>
    </row>
    <row r="11" spans="1:11" ht="12.75" customHeight="1" x14ac:dyDescent="0.25">
      <c r="A11" s="992" t="s">
        <v>1373</v>
      </c>
      <c r="B11" s="171"/>
      <c r="C11" s="748"/>
      <c r="D11" s="745">
        <v>525891580.99999982</v>
      </c>
      <c r="E11" s="733">
        <v>525891580.99999982</v>
      </c>
      <c r="F11" s="733">
        <v>4215397.12</v>
      </c>
      <c r="G11" s="733">
        <v>34561789.240000002</v>
      </c>
      <c r="H11" s="733">
        <f t="shared" si="1"/>
        <v>175297193.6666666</v>
      </c>
      <c r="I11" s="44">
        <f t="shared" si="0"/>
        <v>-140735404.42666659</v>
      </c>
      <c r="J11" s="330">
        <f t="shared" ref="J11:J18" si="3">IF(I11=0,"",I11/H11)</f>
        <v>-0.80283889024646682</v>
      </c>
      <c r="K11" s="735">
        <f t="shared" si="2"/>
        <v>525891580.99999982</v>
      </c>
    </row>
    <row r="12" spans="1:11" ht="12.75" customHeight="1" x14ac:dyDescent="0.25">
      <c r="A12" s="86" t="s">
        <v>886</v>
      </c>
      <c r="B12" s="171"/>
      <c r="C12" s="748"/>
      <c r="D12" s="745">
        <v>185060483.86592242</v>
      </c>
      <c r="E12" s="733">
        <v>185060483.86592242</v>
      </c>
      <c r="F12" s="733"/>
      <c r="G12" s="733"/>
      <c r="H12" s="733">
        <f t="shared" si="1"/>
        <v>61686827.955307476</v>
      </c>
      <c r="I12" s="44">
        <f t="shared" si="0"/>
        <v>-61686827.955307476</v>
      </c>
      <c r="J12" s="330">
        <f t="shared" si="3"/>
        <v>-1</v>
      </c>
      <c r="K12" s="735">
        <f t="shared" si="2"/>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v>-499096406.77999997</v>
      </c>
      <c r="G15" s="733">
        <v>-1147606497.0799999</v>
      </c>
      <c r="H15" s="733">
        <f t="shared" ref="H15:H17" si="4">E15/12*4</f>
        <v>-1621248648.5485075</v>
      </c>
      <c r="I15" s="44">
        <f>H15-G15</f>
        <v>-473642151.46850753</v>
      </c>
      <c r="J15" s="330">
        <f t="shared" si="3"/>
        <v>0.29214652045665912</v>
      </c>
      <c r="K15" s="735">
        <f t="shared" ref="K15:K17" si="5">E15</f>
        <v>-4863745945.6455221</v>
      </c>
    </row>
    <row r="16" spans="1:11" ht="12.75" customHeight="1" x14ac:dyDescent="0.25">
      <c r="A16" s="86" t="s">
        <v>452</v>
      </c>
      <c r="B16" s="171"/>
      <c r="C16" s="748"/>
      <c r="D16" s="745">
        <v>-31793212.220000003</v>
      </c>
      <c r="E16" s="733">
        <v>-36505334.219999969</v>
      </c>
      <c r="F16" s="733">
        <v>-7584129.6500000004</v>
      </c>
      <c r="G16" s="733">
        <v>-12188526.43</v>
      </c>
      <c r="H16" s="733">
        <f t="shared" si="4"/>
        <v>-12168444.739999989</v>
      </c>
      <c r="I16" s="44">
        <f>H16-G16</f>
        <v>20081.690000010654</v>
      </c>
      <c r="J16" s="330">
        <f t="shared" si="3"/>
        <v>-1.6503086819302656E-3</v>
      </c>
      <c r="K16" s="735">
        <f t="shared" si="5"/>
        <v>-36505334.219999969</v>
      </c>
    </row>
    <row r="17" spans="1:11" ht="12.75" customHeight="1" x14ac:dyDescent="0.25">
      <c r="A17" s="86" t="s">
        <v>69</v>
      </c>
      <c r="B17" s="171"/>
      <c r="C17" s="748"/>
      <c r="D17" s="745">
        <v>-25080461.44304001</v>
      </c>
      <c r="E17" s="733">
        <v>-58680462.000000015</v>
      </c>
      <c r="F17" s="733"/>
      <c r="G17" s="733"/>
      <c r="H17" s="733">
        <f t="shared" si="4"/>
        <v>-19560154.000000004</v>
      </c>
      <c r="I17" s="44">
        <f>H17-G17</f>
        <v>-19560154.000000004</v>
      </c>
      <c r="J17" s="330">
        <f t="shared" si="3"/>
        <v>1</v>
      </c>
      <c r="K17" s="735">
        <f t="shared" si="5"/>
        <v>-58680462.000000015</v>
      </c>
    </row>
    <row r="18" spans="1:11" ht="12.75" customHeight="1" x14ac:dyDescent="0.25">
      <c r="A18" s="92" t="s">
        <v>889</v>
      </c>
      <c r="B18" s="233"/>
      <c r="C18" s="243">
        <f t="shared" ref="C18:H18" si="6">SUM(C7:C13)+SUM(C15:C17)</f>
        <v>0</v>
      </c>
      <c r="D18" s="74">
        <f t="shared" si="6"/>
        <v>752533430.43256187</v>
      </c>
      <c r="E18" s="73">
        <f t="shared" si="6"/>
        <v>787419044.32572842</v>
      </c>
      <c r="F18" s="73">
        <f t="shared" si="6"/>
        <v>-109926365.29999995</v>
      </c>
      <c r="G18" s="73">
        <f t="shared" si="6"/>
        <v>-59335435.979999781</v>
      </c>
      <c r="H18" s="73">
        <f t="shared" si="6"/>
        <v>262473014.77524281</v>
      </c>
      <c r="I18" s="73">
        <f>H18-G18</f>
        <v>321808450.75524259</v>
      </c>
      <c r="J18" s="331">
        <f t="shared" si="3"/>
        <v>1.2260629955837901</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v>-51590954.259999998</v>
      </c>
      <c r="G27" s="733">
        <v>-32309291.490000002</v>
      </c>
      <c r="H27" s="733">
        <f>E27/12*4</f>
        <v>-207330526.99999997</v>
      </c>
      <c r="I27" s="44">
        <f>H27-G27</f>
        <v>-175021235.50999996</v>
      </c>
      <c r="J27" s="330">
        <f t="shared" si="7"/>
        <v>0.84416529510871297</v>
      </c>
      <c r="K27" s="735">
        <f>E27</f>
        <v>-621991580.99999988</v>
      </c>
    </row>
    <row r="28" spans="1:11" ht="12.75" customHeight="1" x14ac:dyDescent="0.25">
      <c r="A28" s="92" t="s">
        <v>890</v>
      </c>
      <c r="B28" s="233"/>
      <c r="C28" s="545">
        <f t="shared" ref="C28:H28" si="8">SUM(C22:C25)+C27</f>
        <v>0</v>
      </c>
      <c r="D28" s="74">
        <f>SUM(D22:D25)+D27</f>
        <v>-580891580.99999988</v>
      </c>
      <c r="E28" s="73">
        <f t="shared" si="8"/>
        <v>-621991580.99999988</v>
      </c>
      <c r="F28" s="73">
        <f t="shared" si="8"/>
        <v>-51590954.259999998</v>
      </c>
      <c r="G28" s="73">
        <f t="shared" si="8"/>
        <v>-32309291.490000002</v>
      </c>
      <c r="H28" s="73">
        <f t="shared" si="8"/>
        <v>-207330526.99999997</v>
      </c>
      <c r="I28" s="73">
        <f>H28-G28</f>
        <v>-175021235.50999996</v>
      </c>
      <c r="J28" s="331">
        <f t="shared" si="7"/>
        <v>0.84416529510871297</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E36/12*4</f>
        <v>-26402000</v>
      </c>
      <c r="I36" s="44">
        <f>H36-G36</f>
        <v>-6145809.629999999</v>
      </c>
      <c r="J36" s="330">
        <f t="shared" si="9"/>
        <v>0.23277818460722668</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-26402000</v>
      </c>
      <c r="I37" s="73">
        <f>H37-G37</f>
        <v>-6145809.629999999</v>
      </c>
      <c r="J37" s="331">
        <f t="shared" si="9"/>
        <v>0.23277818460722668</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86221463.325728536</v>
      </c>
      <c r="F39" s="50">
        <f t="shared" si="11"/>
        <v>-181084105.93999994</v>
      </c>
      <c r="G39" s="50">
        <f t="shared" si="11"/>
        <v>-111900917.83999979</v>
      </c>
      <c r="H39" s="50">
        <f t="shared" si="11"/>
        <v>28740487.775242835</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358147331.16000021</v>
      </c>
      <c r="H41" s="115">
        <f>H39+H40</f>
        <v>546349627.77524281</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7"/>
  <sheetViews>
    <sheetView showGridLines="0" zoomScaleNormal="100" workbookViewId="0">
      <pane xSplit="2" ySplit="4" topLeftCell="C5" activePane="bottomRight" state="frozen"/>
      <selection pane="topRight"/>
      <selection pane="bottomLeft"/>
      <selection pane="bottomRight" activeCell="H19" sqref="H19"/>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4" t="str">
        <f>muni&amp; " - "&amp;S71G&amp; " - "&amp;date</f>
        <v>KZN225 Msunduzi - Supporting Table SC1 Material variance explanations  - M04 October</v>
      </c>
      <c r="B1" s="1054"/>
      <c r="C1" s="1054"/>
      <c r="D1" s="1054"/>
      <c r="E1" s="1054"/>
    </row>
    <row r="2" spans="1:5" x14ac:dyDescent="0.25">
      <c r="A2" s="1036" t="str">
        <f>head27</f>
        <v>Ref</v>
      </c>
      <c r="B2" s="1043" t="str">
        <f>desc</f>
        <v>Description</v>
      </c>
      <c r="C2" s="269"/>
      <c r="D2" s="269"/>
      <c r="E2" s="275"/>
    </row>
    <row r="3" spans="1:5" x14ac:dyDescent="0.25">
      <c r="A3" s="1047"/>
      <c r="B3" s="1044"/>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t="s">
        <v>963</v>
      </c>
      <c r="C6" s="1003">
        <v>-1.0295245983349339</v>
      </c>
      <c r="D6" s="758"/>
      <c r="E6" s="758"/>
    </row>
    <row r="7" spans="1:5" ht="11.25" customHeight="1" x14ac:dyDescent="0.25">
      <c r="A7" s="169"/>
      <c r="B7" s="758" t="s">
        <v>838</v>
      </c>
      <c r="C7" s="1003">
        <v>-0.47537116104310029</v>
      </c>
      <c r="D7" s="758"/>
      <c r="E7" s="758"/>
    </row>
    <row r="8" spans="1:5" ht="11.25" customHeight="1" x14ac:dyDescent="0.25">
      <c r="A8" s="169"/>
      <c r="B8" s="758" t="s">
        <v>839</v>
      </c>
      <c r="C8" s="1003">
        <v>-0.15361668671137313</v>
      </c>
      <c r="D8" s="758"/>
      <c r="E8" s="758"/>
    </row>
    <row r="9" spans="1:5" ht="11.25" customHeight="1" x14ac:dyDescent="0.25">
      <c r="A9" s="169"/>
      <c r="B9" s="758" t="s">
        <v>1117</v>
      </c>
      <c r="C9" s="1003">
        <v>-1.4870492379122155</v>
      </c>
      <c r="D9" s="758"/>
      <c r="E9" s="758"/>
    </row>
    <row r="10" spans="1:5" ht="11.25" customHeight="1" x14ac:dyDescent="0.25">
      <c r="A10" s="169"/>
      <c r="B10" s="758" t="s">
        <v>840</v>
      </c>
      <c r="C10" s="1003">
        <v>-0.48199769094090011</v>
      </c>
      <c r="D10" s="758"/>
      <c r="E10" s="758"/>
    </row>
    <row r="11" spans="1:5" ht="11.25" customHeight="1" x14ac:dyDescent="0.25">
      <c r="A11" s="169"/>
      <c r="B11" s="758" t="s">
        <v>580</v>
      </c>
      <c r="C11" s="1003">
        <v>-1</v>
      </c>
      <c r="D11" s="758"/>
      <c r="E11" s="758"/>
    </row>
    <row r="12" spans="1:5" ht="11.25" customHeight="1" x14ac:dyDescent="0.25">
      <c r="A12" s="169"/>
      <c r="B12" s="758" t="s">
        <v>1118</v>
      </c>
      <c r="C12" s="1003">
        <v>0.13122737006600724</v>
      </c>
      <c r="D12" s="758"/>
      <c r="E12" s="758"/>
    </row>
    <row r="13" spans="1:5" ht="11.25" customHeight="1" x14ac:dyDescent="0.25">
      <c r="A13" s="169"/>
      <c r="B13" s="758" t="s">
        <v>453</v>
      </c>
      <c r="C13" s="1003">
        <v>0.18197853328864799</v>
      </c>
      <c r="D13" s="758"/>
      <c r="E13" s="758"/>
    </row>
    <row r="14" spans="1:5" ht="11.25" customHeight="1" x14ac:dyDescent="0.25">
      <c r="A14" s="169"/>
      <c r="B14" s="758"/>
      <c r="C14" s="748"/>
      <c r="D14" s="758"/>
      <c r="E14" s="758"/>
    </row>
    <row r="15" spans="1:5" ht="11.25" customHeight="1" x14ac:dyDescent="0.25">
      <c r="A15" s="169"/>
      <c r="B15" s="758"/>
      <c r="C15" s="748"/>
      <c r="D15" s="758"/>
      <c r="E15" s="758"/>
    </row>
    <row r="16" spans="1:5" ht="11.25" customHeight="1" x14ac:dyDescent="0.25">
      <c r="A16" s="169">
        <v>2</v>
      </c>
      <c r="B16" s="386" t="str">
        <f>'C4-FinPerf RE'!A24</f>
        <v>Expenditure By Type</v>
      </c>
      <c r="C16" s="387"/>
      <c r="D16" s="387"/>
      <c r="E16" s="387"/>
    </row>
    <row r="17" spans="1:5" ht="11.25" customHeight="1" x14ac:dyDescent="0.25">
      <c r="A17" s="169"/>
      <c r="B17" s="758" t="s">
        <v>611</v>
      </c>
      <c r="C17" s="1003">
        <v>-0.92814503627650724</v>
      </c>
      <c r="D17" s="758"/>
      <c r="E17" s="758"/>
    </row>
    <row r="18" spans="1:5" ht="11.25" customHeight="1" x14ac:dyDescent="0.25">
      <c r="A18" s="169"/>
      <c r="B18" s="758" t="s">
        <v>664</v>
      </c>
      <c r="C18" s="1003">
        <v>-0.11646661044387846</v>
      </c>
      <c r="D18" s="758"/>
      <c r="E18" s="758"/>
    </row>
    <row r="19" spans="1:5" ht="11.25" customHeight="1" x14ac:dyDescent="0.25">
      <c r="A19" s="169"/>
      <c r="B19" s="758" t="s">
        <v>452</v>
      </c>
      <c r="C19" s="1003">
        <v>0.1072597556949593</v>
      </c>
      <c r="D19" s="758"/>
      <c r="E19" s="758"/>
    </row>
    <row r="20" spans="1:5" ht="11.25" customHeight="1" x14ac:dyDescent="0.25">
      <c r="A20" s="169"/>
      <c r="B20" s="758" t="s">
        <v>844</v>
      </c>
      <c r="C20" s="1003">
        <v>0.1302557545052381</v>
      </c>
      <c r="D20" s="758"/>
      <c r="E20" s="758"/>
    </row>
    <row r="21" spans="1:5" ht="11.25" customHeight="1" x14ac:dyDescent="0.25">
      <c r="A21" s="169"/>
      <c r="B21" s="758" t="s">
        <v>920</v>
      </c>
      <c r="C21" s="1003">
        <v>-0.75644674834645909</v>
      </c>
      <c r="D21" s="758"/>
      <c r="E21" s="758"/>
    </row>
    <row r="22" spans="1:5" ht="11.25" customHeight="1" x14ac:dyDescent="0.25">
      <c r="A22" s="169"/>
      <c r="B22" s="758" t="s">
        <v>845</v>
      </c>
      <c r="C22" s="1003">
        <v>-0.13585361979172705</v>
      </c>
      <c r="D22" s="758"/>
      <c r="E22" s="758"/>
    </row>
    <row r="23" spans="1:5" ht="11.25" customHeight="1" x14ac:dyDescent="0.25">
      <c r="A23" s="169"/>
      <c r="B23" s="758" t="s">
        <v>1118</v>
      </c>
      <c r="C23" s="1003">
        <v>-0.22145917869562809</v>
      </c>
      <c r="D23" s="758"/>
      <c r="E23" s="758"/>
    </row>
    <row r="24" spans="1:5" ht="11.25" customHeight="1" x14ac:dyDescent="0.25">
      <c r="A24" s="169"/>
      <c r="B24" s="758"/>
      <c r="C24" s="748"/>
      <c r="D24" s="758"/>
      <c r="E24" s="758"/>
    </row>
    <row r="25" spans="1:5" ht="11.25" customHeight="1" x14ac:dyDescent="0.25">
      <c r="A25" s="169">
        <v>3</v>
      </c>
      <c r="B25" s="386" t="str">
        <f>RIGHT('C5-Capex'!A40,19)</f>
        <v>Capital Expenditure</v>
      </c>
      <c r="C25" s="387"/>
      <c r="D25" s="387"/>
      <c r="E25" s="387"/>
    </row>
    <row r="26" spans="1:5" ht="11.25" customHeight="1" x14ac:dyDescent="0.25">
      <c r="A26" s="169"/>
      <c r="B26" s="758" t="s">
        <v>892</v>
      </c>
      <c r="C26" s="1003">
        <v>-0.44256808405257175</v>
      </c>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4</v>
      </c>
      <c r="B30" s="386" t="s">
        <v>79</v>
      </c>
      <c r="C30" s="387"/>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5</v>
      </c>
      <c r="B35" s="386" t="s">
        <v>80</v>
      </c>
      <c r="C35" s="387"/>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v>6</v>
      </c>
      <c r="B40" s="386" t="s">
        <v>81</v>
      </c>
      <c r="C40" s="388"/>
      <c r="D40" s="387"/>
      <c r="E40" s="387"/>
    </row>
    <row r="41" spans="1:5" ht="11.25" customHeight="1" x14ac:dyDescent="0.25">
      <c r="A41" s="169"/>
      <c r="B41" s="758"/>
      <c r="C41" s="748"/>
      <c r="D41" s="758"/>
      <c r="E41" s="758"/>
    </row>
    <row r="42" spans="1:5" ht="11.25" customHeight="1" x14ac:dyDescent="0.25">
      <c r="A42" s="169"/>
      <c r="B42" s="758"/>
      <c r="C42" s="748"/>
      <c r="D42" s="758"/>
      <c r="E42" s="758"/>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v>7</v>
      </c>
      <c r="B45" s="386" t="s">
        <v>82</v>
      </c>
      <c r="C45" s="388"/>
      <c r="D45" s="387"/>
      <c r="E45" s="387"/>
    </row>
    <row r="46" spans="1:5" ht="11.25" customHeight="1" x14ac:dyDescent="0.25">
      <c r="A46" s="169"/>
      <c r="B46" s="758"/>
      <c r="C46" s="748"/>
      <c r="D46" s="758"/>
      <c r="E46" s="758"/>
    </row>
    <row r="47" spans="1:5" ht="11.25" customHeight="1" x14ac:dyDescent="0.25">
      <c r="A47" s="169"/>
      <c r="B47" s="758"/>
      <c r="C47" s="748"/>
      <c r="D47" s="758"/>
      <c r="E47" s="758"/>
    </row>
    <row r="48" spans="1:5" ht="11.25" customHeight="1" x14ac:dyDescent="0.25">
      <c r="A48" s="169"/>
      <c r="B48" s="758"/>
      <c r="C48" s="748"/>
      <c r="D48" s="758"/>
      <c r="E48" s="758"/>
    </row>
    <row r="49" spans="1:5" ht="11.25" customHeight="1" x14ac:dyDescent="0.25">
      <c r="A49" s="169"/>
      <c r="B49" s="758"/>
      <c r="C49" s="748"/>
      <c r="D49" s="758"/>
      <c r="E49" s="758"/>
    </row>
    <row r="50" spans="1:5" ht="11.25" customHeight="1" x14ac:dyDescent="0.25">
      <c r="A50" s="119"/>
      <c r="B50" s="759"/>
      <c r="C50" s="760"/>
      <c r="D50" s="759"/>
      <c r="E50" s="759"/>
    </row>
    <row r="51" spans="1:5" ht="11.25" customHeight="1" x14ac:dyDescent="0.25">
      <c r="A51" s="78" t="str">
        <f>head27a</f>
        <v>References</v>
      </c>
      <c r="B51" s="67"/>
      <c r="C51" s="67"/>
      <c r="D51" s="67"/>
      <c r="E51" s="67"/>
    </row>
    <row r="52" spans="1:5" ht="11.25" customHeight="1" x14ac:dyDescent="0.25">
      <c r="A52" s="33" t="s">
        <v>854</v>
      </c>
    </row>
    <row r="53" spans="1:5" ht="11.25" customHeight="1" x14ac:dyDescent="0.25">
      <c r="A53" s="33" t="s">
        <v>855</v>
      </c>
    </row>
    <row r="54" spans="1:5" ht="11.25" customHeight="1" x14ac:dyDescent="0.25">
      <c r="A54" s="33" t="s">
        <v>856</v>
      </c>
    </row>
    <row r="55" spans="1:5" ht="11.25" customHeight="1" x14ac:dyDescent="0.25">
      <c r="A55" s="33" t="s">
        <v>857</v>
      </c>
    </row>
    <row r="56" spans="1:5" ht="11.25" customHeight="1" x14ac:dyDescent="0.25">
      <c r="A56" s="33" t="s">
        <v>858</v>
      </c>
    </row>
    <row r="57" spans="1:5" ht="11.25" customHeight="1" x14ac:dyDescent="0.25">
      <c r="A57"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11"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4" t="str">
        <f>muni&amp; " - "&amp;S71H&amp; " - "&amp;Head57</f>
        <v>KZN225 Msunduzi - Supporting Table SC2 Monthly Budget Statement - performance indicators   - M04 October</v>
      </c>
      <c r="B1" s="1054"/>
      <c r="C1" s="1054"/>
      <c r="D1" s="1054"/>
      <c r="E1" s="1054"/>
      <c r="F1" s="1054"/>
      <c r="G1" s="1054"/>
      <c r="H1" s="1054"/>
    </row>
    <row r="2" spans="1:11" ht="12.75" x14ac:dyDescent="0.25">
      <c r="A2" s="1059" t="s">
        <v>554</v>
      </c>
      <c r="B2" s="1043" t="s">
        <v>772</v>
      </c>
      <c r="C2" s="1036" t="str">
        <f>head27</f>
        <v>Ref</v>
      </c>
      <c r="D2" s="138" t="str">
        <f>Head1</f>
        <v>2019/20</v>
      </c>
      <c r="E2" s="245" t="str">
        <f>Head2</f>
        <v>Budget Year 2020/21</v>
      </c>
      <c r="F2" s="229"/>
      <c r="G2" s="229"/>
      <c r="H2" s="230"/>
    </row>
    <row r="3" spans="1:11" ht="25.5" x14ac:dyDescent="0.25">
      <c r="A3" s="1060"/>
      <c r="B3" s="1044"/>
      <c r="C3" s="1047"/>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9.317279589811607E-2</v>
      </c>
      <c r="G7" s="124">
        <f>IF(ISERROR((G42+G44)/G45),0,((G42+G44)/G45))</f>
        <v>7.211631751419683E-3</v>
      </c>
      <c r="H7" s="276">
        <f>IF(ISERROR((H42+H44)/H45),0,((H42+H44)/H45))</f>
        <v>1.6216436521133307E-2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0.15559998234964809</v>
      </c>
      <c r="G10" s="124">
        <f>IF(ISERROR(G48/G49),0,(G48/G49))</f>
        <v>0.2033990661622577</v>
      </c>
      <c r="H10" s="276">
        <f>IF(ISERROR(H48/H49),0,(H48/H49))</f>
        <v>0.15559998234964809</v>
      </c>
    </row>
    <row r="11" spans="1:11" ht="12.75" customHeight="1" x14ac:dyDescent="0.25">
      <c r="A11" s="126" t="s">
        <v>735</v>
      </c>
      <c r="B11" s="123" t="s">
        <v>719</v>
      </c>
      <c r="C11" s="174"/>
      <c r="D11" s="120">
        <f>IF(ISERROR(D51/D50),0,(D51/D50))</f>
        <v>0</v>
      </c>
      <c r="E11" s="282">
        <f>IF(ISERROR(E51/E50),0,(E51/E50))</f>
        <v>1.2322813430054802</v>
      </c>
      <c r="F11" s="124">
        <f>IF(ISERROR(F51/F50),0,(F51/F50))</f>
        <v>1.2322813412359515</v>
      </c>
      <c r="G11" s="124">
        <f>IF(ISERROR(G51/G50),0,(G51/G50))</f>
        <v>1.501355642425199</v>
      </c>
      <c r="H11" s="276">
        <f>IF(ISERROR(H51/H50),0,(H51/H50))</f>
        <v>1.2322813412359515</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2.1353245843606672</v>
      </c>
      <c r="G13" s="124">
        <f>IF(ISERROR(G52/G53),0,(G52/G53))</f>
        <v>1.9365283381836922</v>
      </c>
      <c r="H13" s="276">
        <f>IF(ISERROR(H52/H53),0,(H52/H53))</f>
        <v>2.1353245843606672</v>
      </c>
    </row>
    <row r="14" spans="1:11" ht="12.75" customHeight="1" x14ac:dyDescent="0.25">
      <c r="A14" s="126" t="s">
        <v>738</v>
      </c>
      <c r="B14" s="123" t="s">
        <v>436</v>
      </c>
      <c r="C14" s="174"/>
      <c r="D14" s="120">
        <f>IF(ISERROR(D54/D53),0,(D54/D53))</f>
        <v>0</v>
      </c>
      <c r="E14" s="282">
        <f>IF(ISERROR(E54/E53),0,(E54/E53))</f>
        <v>0.26526391167695329</v>
      </c>
      <c r="F14" s="124">
        <f>IF(ISERROR(F54/F53),0,(F54/F53))</f>
        <v>0.44866199126707967</v>
      </c>
      <c r="G14" s="124">
        <f>IF(ISERROR(G54/G53),0,(G54/G53))</f>
        <v>0.13205848883155893</v>
      </c>
      <c r="H14" s="276">
        <f>IF(ISERROR(H54/H53),0,(H54/H53))</f>
        <v>0.44866199126707967</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0.37187969161987006</v>
      </c>
      <c r="G17" s="124">
        <f>IF(ISERROR(G59/G55),0,(G59/G55))</f>
        <v>1.1208132879290242</v>
      </c>
      <c r="H17" s="276">
        <f>IF(ISERROR(H59/H55),0,(H59/H55))</f>
        <v>0.37187969161987006</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0.24610812278086786</v>
      </c>
      <c r="G26" s="124">
        <f>IF(ISERROR(G40/G55),0,(G40/G55))</f>
        <v>0.24662756306062705</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8.6234945624557441E-2</v>
      </c>
      <c r="G28" s="124">
        <f>IF(ISERROR((G42+G44)/G55),0,((G42+G44)/G55))</f>
        <v>6.7704598563001362E-3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11262846829.863354</v>
      </c>
      <c r="G39" s="97">
        <f>'C6-FinPos'!F26</f>
        <v>10655810176.59</v>
      </c>
      <c r="H39" s="48">
        <f>'C6-FinPos'!G26</f>
        <v>11262846829.863354</v>
      </c>
    </row>
    <row r="40" spans="1:9" ht="12.75" customHeight="1" x14ac:dyDescent="0.25">
      <c r="A40" s="42" t="str">
        <f>'C4-FinPerf RE'!A25</f>
        <v>Employee related costs</v>
      </c>
      <c r="B40" s="67"/>
      <c r="C40" s="67"/>
      <c r="D40" s="84">
        <f>'C4-FinPerf RE'!C25</f>
        <v>0</v>
      </c>
      <c r="E40" s="84">
        <f>'C4-FinPerf RE'!D25</f>
        <v>1467373084.0741799</v>
      </c>
      <c r="F40" s="84">
        <f>'C4-FinPerf RE'!E25</f>
        <v>1478324304.2495084</v>
      </c>
      <c r="G40" s="97">
        <f>'C4-FinPerf RE'!G25</f>
        <v>490803932.57999992</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13473629.15</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5559528170.2307873</v>
      </c>
      <c r="G45" s="97">
        <f>'C4-FinPerf RE'!G36</f>
        <v>1868319073.1900003</v>
      </c>
      <c r="H45" s="48">
        <f>'C4-FinPerf RE'!K36</f>
        <v>5559528170.2307873</v>
      </c>
    </row>
    <row r="46" spans="1:9" ht="12.75" customHeight="1" x14ac:dyDescent="0.25">
      <c r="A46" s="42" t="str">
        <f>'C5-Capex'!A40</f>
        <v>Total Capital Expenditure</v>
      </c>
      <c r="B46" s="67"/>
      <c r="C46" s="67"/>
      <c r="D46" s="84">
        <f>'C5-Capex'!C40</f>
        <v>0</v>
      </c>
      <c r="E46" s="84">
        <f>'C5-Capex'!D40</f>
        <v>580891581</v>
      </c>
      <c r="F46" s="84">
        <f>'C5-Capex'!E40</f>
        <v>621991581</v>
      </c>
      <c r="G46" s="97">
        <f>'C5-Capex'!G40</f>
        <v>115572652.90000001</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1373190758.9767976</v>
      </c>
      <c r="G48" s="84">
        <f>'C6-FinPos'!F30+'C6-FinPos'!F31+'C6-FinPos'!F33+'C6-FinPos'!F38</f>
        <v>1684004578.4400001</v>
      </c>
      <c r="H48" s="48">
        <f>'C6-FinPos'!G30+'C6-FinPos'!G31+'C6-FinPos'!G33+'C6-FinPos'!G38</f>
        <v>1373190758.9767976</v>
      </c>
    </row>
    <row r="49" spans="1:8" ht="12.75" customHeight="1" x14ac:dyDescent="0.25">
      <c r="A49" s="42" t="s">
        <v>532</v>
      </c>
      <c r="B49" s="67"/>
      <c r="C49" s="67"/>
      <c r="D49" s="84">
        <f>'C6-FinPos'!C48</f>
        <v>0</v>
      </c>
      <c r="E49" s="84">
        <f>'C6-FinPos'!D48</f>
        <v>8779187113.8762474</v>
      </c>
      <c r="F49" s="84">
        <f>'C6-FinPos'!E48</f>
        <v>8825134413.5188026</v>
      </c>
      <c r="G49" s="97">
        <f>'C6-FinPos'!F48</f>
        <v>8279313225.0500002</v>
      </c>
      <c r="H49" s="48">
        <f>'C6-FinPos'!G48</f>
        <v>8825134413.5188026</v>
      </c>
    </row>
    <row r="50" spans="1:8" ht="12.75" customHeight="1" x14ac:dyDescent="0.25">
      <c r="A50" s="42" t="str">
        <f>'C6-FinPos'!A47</f>
        <v>Reserves</v>
      </c>
      <c r="B50" s="67"/>
      <c r="C50" s="67"/>
      <c r="D50" s="84">
        <f>'C6-FinPos'!C47</f>
        <v>0</v>
      </c>
      <c r="E50" s="84">
        <f>'C6-FinPos'!D47</f>
        <v>228913258</v>
      </c>
      <c r="F50" s="84">
        <f>'C6-FinPos'!E47</f>
        <v>228913258.32871437</v>
      </c>
      <c r="G50" s="97">
        <f>'C6-FinPos'!F47</f>
        <v>190040246.02000001</v>
      </c>
      <c r="H50" s="48">
        <f>'C6-FinPos'!G47</f>
        <v>228913258.32871437</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2873821177.5626497</v>
      </c>
      <c r="G52" s="97">
        <f>'C6-FinPos'!F13</f>
        <v>3014025537.4699993</v>
      </c>
      <c r="H52" s="48">
        <f>'C6-FinPos'!G13</f>
        <v>2873821177.5626497</v>
      </c>
    </row>
    <row r="53" spans="1:8" ht="12.75" customHeight="1" x14ac:dyDescent="0.25">
      <c r="A53" s="42" t="str">
        <f>'C6-FinPos'!A29</f>
        <v>Current liabilities</v>
      </c>
      <c r="B53" s="67"/>
      <c r="C53" s="67"/>
      <c r="D53" s="84">
        <f>'C6-FinPos'!C35</f>
        <v>0</v>
      </c>
      <c r="E53" s="84">
        <f>'C6-FinPos'!D35</f>
        <v>1441718351.4141357</v>
      </c>
      <c r="F53" s="84">
        <f>'C6-FinPos'!E35</f>
        <v>1345847464.4139848</v>
      </c>
      <c r="G53" s="97">
        <f>'C6-FinPos'!F35</f>
        <v>1556406626.25</v>
      </c>
      <c r="H53" s="48">
        <f>'C6-FinPos'!G35</f>
        <v>1345847464.4139848</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205536707.06999993</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1990061153.3</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288267367.53000003</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119308719.88000003</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2233810002.5571513</v>
      </c>
      <c r="G59" s="97">
        <f>'C6-FinPos'!F9+'C6-FinPos'!F10+'C6-FinPos'!F11+'C6-FinPos'!F16</f>
        <v>2230486984.4099989</v>
      </c>
      <c r="H59" s="48">
        <f>'C6-FinPos'!G9+'C6-FinPos'!G10+'C6-FinPos'!G11+'C6-FinPos'!G16</f>
        <v>2233810002.5571513</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1173812063.1499996</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603830603.32572854</v>
      </c>
      <c r="G61" s="97">
        <f>'C6-FinPos'!F7+'C6-FinPos'!F8+'C6-FinPos'!F17-'C6-FinPos'!F30</f>
        <v>205536707.06999993</v>
      </c>
      <c r="H61" s="48">
        <f>'C6-FinPos'!G7+'C6-FinPos'!G8+'C6-FinPos'!G17-'C6-FinPos'!G30</f>
        <v>603830603.32572854</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382058.66000000015</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Q23" sqref="Q23"/>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4" t="str">
        <f>muni&amp; " - "&amp;S71I&amp; " - "&amp;Head57</f>
        <v>KZN225 Msunduzi - Supporting Table SC3 Monthly Budget Statement - aged debtors - M04 October</v>
      </c>
      <c r="B1" s="1054"/>
      <c r="C1" s="1061"/>
      <c r="D1" s="1061"/>
      <c r="E1" s="1061"/>
      <c r="F1" s="1061"/>
      <c r="G1" s="1061"/>
      <c r="H1" s="1061"/>
      <c r="I1" s="1061"/>
      <c r="J1" s="1061"/>
      <c r="K1" s="1061"/>
      <c r="L1" s="1061"/>
      <c r="M1" s="1061"/>
      <c r="N1" s="162"/>
      <c r="O1" s="406"/>
    </row>
    <row r="2" spans="1:16" ht="13.35" customHeight="1" x14ac:dyDescent="0.25">
      <c r="A2" s="355" t="str">
        <f>desc</f>
        <v>Description</v>
      </c>
      <c r="B2" s="894"/>
      <c r="C2" s="1062" t="str">
        <f>Head2</f>
        <v>Budget Year 2020/21</v>
      </c>
      <c r="D2" s="1063"/>
      <c r="E2" s="1063"/>
      <c r="F2" s="1063"/>
      <c r="G2" s="1063"/>
      <c r="H2" s="1063"/>
      <c r="I2" s="1063"/>
      <c r="J2" s="1063"/>
      <c r="K2" s="1063"/>
      <c r="L2" s="1063"/>
      <c r="M2" s="1063"/>
      <c r="N2" s="1064"/>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139991145.59</v>
      </c>
      <c r="D5" s="733">
        <v>36112861.659999996</v>
      </c>
      <c r="E5" s="733">
        <v>43040608.369999997</v>
      </c>
      <c r="F5" s="733">
        <v>25399771.390000001</v>
      </c>
      <c r="G5" s="733">
        <v>27944492.27</v>
      </c>
      <c r="H5" s="733">
        <v>22646761.010000002</v>
      </c>
      <c r="I5" s="733">
        <v>183574335.06</v>
      </c>
      <c r="J5" s="744">
        <v>1259627503.0799999</v>
      </c>
      <c r="K5" s="134">
        <f>SUM(C5:J5)</f>
        <v>1738337478.4299998</v>
      </c>
      <c r="L5" s="134">
        <f>SUM(F5:J5)</f>
        <v>1519192862.8099999</v>
      </c>
      <c r="M5" s="747"/>
      <c r="N5" s="747">
        <v>964085695.61000001</v>
      </c>
      <c r="O5" s="912"/>
    </row>
    <row r="6" spans="1:16" ht="12.75" customHeight="1" x14ac:dyDescent="0.25">
      <c r="A6" s="39" t="s">
        <v>1079</v>
      </c>
      <c r="B6" s="169">
        <v>1300</v>
      </c>
      <c r="C6" s="745">
        <v>266382799.78999999</v>
      </c>
      <c r="D6" s="733">
        <v>19669817.140000001</v>
      </c>
      <c r="E6" s="733">
        <v>11640610.58</v>
      </c>
      <c r="F6" s="733">
        <v>8545244.3599999994</v>
      </c>
      <c r="G6" s="733">
        <v>4168473.96</v>
      </c>
      <c r="H6" s="733">
        <v>6141277.0800000001</v>
      </c>
      <c r="I6" s="733">
        <v>31821537.93</v>
      </c>
      <c r="J6" s="744">
        <v>109291493.98999999</v>
      </c>
      <c r="K6" s="134">
        <f>SUM(C6:J6)</f>
        <v>457661254.82999998</v>
      </c>
      <c r="L6" s="134">
        <f t="shared" ref="L6:L12" si="0">SUM(F6:J6)</f>
        <v>159968027.31999999</v>
      </c>
      <c r="M6" s="747"/>
      <c r="N6" s="747">
        <v>80675833.810000002</v>
      </c>
      <c r="O6" s="912"/>
    </row>
    <row r="7" spans="1:16" ht="12.75" customHeight="1" x14ac:dyDescent="0.25">
      <c r="A7" s="39" t="s">
        <v>1078</v>
      </c>
      <c r="B7" s="169">
        <v>1400</v>
      </c>
      <c r="C7" s="745">
        <v>172438718.28999999</v>
      </c>
      <c r="D7" s="733">
        <v>38207587.759999998</v>
      </c>
      <c r="E7" s="733">
        <v>42672698.939999998</v>
      </c>
      <c r="F7" s="733">
        <v>21401090.059999999</v>
      </c>
      <c r="G7" s="733">
        <v>21130356.010000002</v>
      </c>
      <c r="H7" s="733">
        <v>20203366.960000001</v>
      </c>
      <c r="I7" s="733">
        <v>114435407.76000001</v>
      </c>
      <c r="J7" s="744">
        <v>512702695.52999997</v>
      </c>
      <c r="K7" s="134">
        <f t="shared" ref="K7:K13" si="1">SUM(C7:J7)</f>
        <v>943191921.30999994</v>
      </c>
      <c r="L7" s="134">
        <f t="shared" si="0"/>
        <v>689872916.31999993</v>
      </c>
      <c r="M7" s="747"/>
      <c r="N7" s="747">
        <v>391208440.88999999</v>
      </c>
      <c r="O7" s="912"/>
    </row>
    <row r="8" spans="1:16" ht="12.75" customHeight="1" x14ac:dyDescent="0.25">
      <c r="A8" s="39" t="s">
        <v>1080</v>
      </c>
      <c r="B8" s="169">
        <v>1500</v>
      </c>
      <c r="C8" s="745">
        <v>27460486.670000002</v>
      </c>
      <c r="D8" s="733">
        <v>6374348.4100000001</v>
      </c>
      <c r="E8" s="733">
        <v>5411079.3399999999</v>
      </c>
      <c r="F8" s="733">
        <v>5125243.12</v>
      </c>
      <c r="G8" s="733">
        <v>5736293.8300000001</v>
      </c>
      <c r="H8" s="733">
        <v>4623996.09</v>
      </c>
      <c r="I8" s="733">
        <v>28628284.73</v>
      </c>
      <c r="J8" s="744">
        <v>230586704.06999999</v>
      </c>
      <c r="K8" s="134">
        <f t="shared" si="1"/>
        <v>313946436.25999999</v>
      </c>
      <c r="L8" s="134">
        <f t="shared" si="0"/>
        <v>274700521.83999997</v>
      </c>
      <c r="M8" s="747"/>
      <c r="N8" s="747">
        <v>185735642.43000001</v>
      </c>
      <c r="O8" s="912"/>
    </row>
    <row r="9" spans="1:16" ht="12.75" customHeight="1" x14ac:dyDescent="0.25">
      <c r="A9" s="39" t="s">
        <v>1081</v>
      </c>
      <c r="B9" s="169">
        <v>1600</v>
      </c>
      <c r="C9" s="745">
        <v>14419089.220000001</v>
      </c>
      <c r="D9" s="733">
        <v>3410052.9</v>
      </c>
      <c r="E9" s="733">
        <v>3131211.87</v>
      </c>
      <c r="F9" s="733">
        <v>1983601.33</v>
      </c>
      <c r="G9" s="733">
        <v>2628524.59</v>
      </c>
      <c r="H9" s="733">
        <v>2560645.5099999998</v>
      </c>
      <c r="I9" s="733">
        <v>17608969.399999999</v>
      </c>
      <c r="J9" s="744">
        <v>131805434.12</v>
      </c>
      <c r="K9" s="134">
        <f t="shared" si="1"/>
        <v>177547528.94</v>
      </c>
      <c r="L9" s="134">
        <f>SUM(F9:J9)</f>
        <v>156587174.94999999</v>
      </c>
      <c r="M9" s="747"/>
      <c r="N9" s="747">
        <v>103031847.59999999</v>
      </c>
      <c r="O9" s="912"/>
    </row>
    <row r="10" spans="1:16" ht="12.75" customHeight="1" x14ac:dyDescent="0.25">
      <c r="A10" s="39" t="s">
        <v>1082</v>
      </c>
      <c r="B10" s="169">
        <v>1700</v>
      </c>
      <c r="C10" s="745">
        <v>2793159.97</v>
      </c>
      <c r="D10" s="733">
        <v>1033583.14</v>
      </c>
      <c r="E10" s="733">
        <v>869798.63</v>
      </c>
      <c r="F10" s="733">
        <v>788834.63</v>
      </c>
      <c r="G10" s="733">
        <v>1646208.48</v>
      </c>
      <c r="H10" s="733">
        <v>2627240.13</v>
      </c>
      <c r="I10" s="733">
        <v>4025960.6</v>
      </c>
      <c r="J10" s="744">
        <v>41938073.810000002</v>
      </c>
      <c r="K10" s="134">
        <f t="shared" si="1"/>
        <v>55722859.390000001</v>
      </c>
      <c r="L10" s="134">
        <f>SUM(F10:J10)</f>
        <v>51026317.650000006</v>
      </c>
      <c r="M10" s="747"/>
      <c r="N10" s="747">
        <v>32867360.329999998</v>
      </c>
      <c r="O10" s="912"/>
    </row>
    <row r="11" spans="1:16" ht="12.75" customHeight="1" x14ac:dyDescent="0.25">
      <c r="A11" s="39" t="s">
        <v>1083</v>
      </c>
      <c r="B11" s="169">
        <v>1810</v>
      </c>
      <c r="C11" s="745">
        <v>32690995.690000001</v>
      </c>
      <c r="D11" s="733">
        <v>16156168.640000001</v>
      </c>
      <c r="E11" s="733">
        <v>22624107.25</v>
      </c>
      <c r="F11" s="733">
        <v>32701605.190000001</v>
      </c>
      <c r="G11" s="733">
        <v>23934853.359999999</v>
      </c>
      <c r="H11" s="733">
        <v>-15758.84</v>
      </c>
      <c r="I11" s="733">
        <v>143616243.41</v>
      </c>
      <c r="J11" s="744">
        <v>443348807.72000003</v>
      </c>
      <c r="K11" s="134">
        <f t="shared" si="1"/>
        <v>715057022.42000008</v>
      </c>
      <c r="L11" s="134">
        <f t="shared" si="0"/>
        <v>643585750.84000003</v>
      </c>
      <c r="M11" s="747"/>
      <c r="N11" s="747">
        <v>207466495.74000001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273165.88</v>
      </c>
      <c r="D13" s="733">
        <v>168013.39</v>
      </c>
      <c r="E13" s="733">
        <v>415507.19</v>
      </c>
      <c r="F13" s="733">
        <v>840104.41</v>
      </c>
      <c r="G13" s="733">
        <v>0</v>
      </c>
      <c r="H13" s="733">
        <v>0</v>
      </c>
      <c r="I13" s="733">
        <v>457065.94</v>
      </c>
      <c r="J13" s="744">
        <v>318309461.39999998</v>
      </c>
      <c r="K13" s="134">
        <f t="shared" si="1"/>
        <v>320463318.20999998</v>
      </c>
      <c r="L13" s="134">
        <f>SUM(F13:J13)</f>
        <v>319606631.75</v>
      </c>
      <c r="M13" s="747"/>
      <c r="N13" s="747">
        <v>317586809.95999998</v>
      </c>
      <c r="O13" s="912"/>
    </row>
    <row r="14" spans="1:16" ht="12.75" customHeight="1" x14ac:dyDescent="0.25">
      <c r="A14" s="53" t="s">
        <v>1085</v>
      </c>
      <c r="B14" s="284">
        <v>2000</v>
      </c>
      <c r="C14" s="56">
        <f t="shared" ref="C14:N14" si="2">SUM(C5:C13)</f>
        <v>656449561.10000002</v>
      </c>
      <c r="D14" s="55">
        <f t="shared" si="2"/>
        <v>121132433.04000001</v>
      </c>
      <c r="E14" s="55">
        <f t="shared" si="2"/>
        <v>129805622.16999999</v>
      </c>
      <c r="F14" s="55">
        <f t="shared" si="2"/>
        <v>96785494.489999995</v>
      </c>
      <c r="G14" s="55">
        <f t="shared" si="2"/>
        <v>87189202.5</v>
      </c>
      <c r="H14" s="55">
        <f t="shared" si="2"/>
        <v>58787527.939999998</v>
      </c>
      <c r="I14" s="55">
        <f t="shared" si="2"/>
        <v>524167804.82999998</v>
      </c>
      <c r="J14" s="83">
        <f t="shared" si="2"/>
        <v>3047610173.7199998</v>
      </c>
      <c r="K14" s="112">
        <f t="shared" si="2"/>
        <v>4721927819.79</v>
      </c>
      <c r="L14" s="112">
        <f>SUM(L5:L13)</f>
        <v>3814540203.48</v>
      </c>
      <c r="M14" s="54">
        <f t="shared" si="2"/>
        <v>0</v>
      </c>
      <c r="N14" s="54">
        <f t="shared" si="2"/>
        <v>2282658126.3699999</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276638741.57999998</v>
      </c>
      <c r="D17" s="733">
        <v>28211211.829999998</v>
      </c>
      <c r="E17" s="733">
        <v>19982182.489999998</v>
      </c>
      <c r="F17" s="733">
        <v>15921348.74</v>
      </c>
      <c r="G17" s="733">
        <v>14842084.720000001</v>
      </c>
      <c r="H17" s="733">
        <v>10825133.83</v>
      </c>
      <c r="I17" s="733">
        <v>75730031.590000004</v>
      </c>
      <c r="J17" s="744">
        <v>304691171.64999998</v>
      </c>
      <c r="K17" s="134">
        <f>SUM(C17:J17)</f>
        <v>746841906.42999995</v>
      </c>
      <c r="L17" s="645">
        <f>SUM(F17:J17)</f>
        <v>422009770.52999997</v>
      </c>
      <c r="M17" s="747"/>
      <c r="N17" s="748">
        <v>214702833.56999999</v>
      </c>
    </row>
    <row r="18" spans="1:14" ht="12.75" customHeight="1" x14ac:dyDescent="0.25">
      <c r="A18" s="39" t="s">
        <v>1087</v>
      </c>
      <c r="B18" s="169">
        <v>2300</v>
      </c>
      <c r="C18" s="745">
        <v>63517275.759999998</v>
      </c>
      <c r="D18" s="733">
        <v>13833287</v>
      </c>
      <c r="E18" s="733">
        <v>13567456.060000001</v>
      </c>
      <c r="F18" s="733">
        <v>7555454.4500000002</v>
      </c>
      <c r="G18" s="733">
        <v>4300554.0999999996</v>
      </c>
      <c r="H18" s="733">
        <v>4294725.87</v>
      </c>
      <c r="I18" s="733">
        <v>24578680.25</v>
      </c>
      <c r="J18" s="744">
        <v>110003653.81</v>
      </c>
      <c r="K18" s="134">
        <f>SUM(C18:J18)</f>
        <v>241651087.30000001</v>
      </c>
      <c r="L18" s="645">
        <f>SUM(F18:J18)</f>
        <v>150733068.48000002</v>
      </c>
      <c r="M18" s="747"/>
      <c r="N18" s="748">
        <v>73080651.340000004</v>
      </c>
    </row>
    <row r="19" spans="1:14" ht="12.75" customHeight="1" x14ac:dyDescent="0.25">
      <c r="A19" s="39" t="s">
        <v>685</v>
      </c>
      <c r="B19" s="169">
        <v>2400</v>
      </c>
      <c r="C19" s="745">
        <v>299076553.56</v>
      </c>
      <c r="D19" s="733">
        <v>73523401.159999996</v>
      </c>
      <c r="E19" s="733">
        <v>87947499.230000004</v>
      </c>
      <c r="F19" s="733">
        <v>69568497.180000007</v>
      </c>
      <c r="G19" s="733">
        <v>63686956.759999998</v>
      </c>
      <c r="H19" s="733">
        <v>41253261.579999998</v>
      </c>
      <c r="I19" s="733">
        <v>400544970.07999998</v>
      </c>
      <c r="J19" s="744">
        <v>2460104409.6199999</v>
      </c>
      <c r="K19" s="134">
        <f>SUM(C19:J19)</f>
        <v>3495705549.1700001</v>
      </c>
      <c r="L19" s="645">
        <f>SUM(F19:J19)</f>
        <v>3035158095.2199998</v>
      </c>
      <c r="M19" s="747"/>
      <c r="N19" s="748">
        <v>1856208321.6099999</v>
      </c>
    </row>
    <row r="20" spans="1:14" ht="12.75" customHeight="1" x14ac:dyDescent="0.25">
      <c r="A20" s="39" t="s">
        <v>718</v>
      </c>
      <c r="B20" s="169">
        <v>2500</v>
      </c>
      <c r="C20" s="745">
        <v>17216990.199999999</v>
      </c>
      <c r="D20" s="733">
        <v>5564533.0499999998</v>
      </c>
      <c r="E20" s="733">
        <v>8308484.3899999997</v>
      </c>
      <c r="F20" s="733">
        <v>3740194.12</v>
      </c>
      <c r="G20" s="733">
        <v>4359606.92</v>
      </c>
      <c r="H20" s="733">
        <v>2414406.66</v>
      </c>
      <c r="I20" s="733">
        <v>23314122.91</v>
      </c>
      <c r="J20" s="744">
        <v>172810938.63999999</v>
      </c>
      <c r="K20" s="134">
        <f>SUM(C20:J20)</f>
        <v>237729276.88999999</v>
      </c>
      <c r="L20" s="645">
        <f>SUM(F20:J20)</f>
        <v>206639269.25</v>
      </c>
      <c r="M20" s="747"/>
      <c r="N20" s="749">
        <v>138666319.84999999</v>
      </c>
    </row>
    <row r="21" spans="1:14" ht="12.75" customHeight="1" x14ac:dyDescent="0.25">
      <c r="A21" s="53" t="s">
        <v>1090</v>
      </c>
      <c r="B21" s="284">
        <v>2600</v>
      </c>
      <c r="C21" s="56">
        <f t="shared" ref="C21:I21" si="3">SUM(C17:C20)</f>
        <v>656449561.10000002</v>
      </c>
      <c r="D21" s="55">
        <f t="shared" si="3"/>
        <v>121132433.03999999</v>
      </c>
      <c r="E21" s="55">
        <f t="shared" si="3"/>
        <v>129805622.17</v>
      </c>
      <c r="F21" s="55">
        <f t="shared" si="3"/>
        <v>96785494.49000001</v>
      </c>
      <c r="G21" s="55">
        <f t="shared" si="3"/>
        <v>87189202.5</v>
      </c>
      <c r="H21" s="55">
        <f t="shared" si="3"/>
        <v>58787527.939999998</v>
      </c>
      <c r="I21" s="55">
        <f t="shared" si="3"/>
        <v>524167804.82999998</v>
      </c>
      <c r="J21" s="83">
        <f>SUM(J17:J20)</f>
        <v>3047610173.7199998</v>
      </c>
      <c r="K21" s="112">
        <f>SUM(K17:K20)</f>
        <v>4721927819.79</v>
      </c>
      <c r="L21" s="914">
        <f>SUM(L17:L20)</f>
        <v>3814540203.4799995</v>
      </c>
      <c r="M21" s="54">
        <f>SUM(M17:M20)</f>
        <v>0</v>
      </c>
      <c r="N21" s="244">
        <f>SUM(N17:N20)</f>
        <v>2282658126.3699999</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4"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4</v>
      </c>
    </row>
    <row r="11" spans="4:25" x14ac:dyDescent="0.2">
      <c r="W11" s="646" t="s">
        <v>866</v>
      </c>
      <c r="X11" s="701" t="str">
        <f>VLOOKUP(X10,W39:X55,2)</f>
        <v>M04 October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M22" sqref="M22"/>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4" t="str">
        <f>muni&amp; " - "&amp;S71J&amp; " - "&amp;Head57</f>
        <v>KZN225 Msunduzi - Supporting Table SC4 Monthly Budget Statement - aged creditors  - M04 October</v>
      </c>
      <c r="B1" s="1054"/>
      <c r="C1" s="1054"/>
      <c r="D1" s="1054"/>
      <c r="E1" s="1054"/>
      <c r="F1" s="1054"/>
      <c r="G1" s="1054"/>
      <c r="H1" s="1054"/>
      <c r="I1" s="1054"/>
      <c r="J1" s="1054"/>
      <c r="K1" s="1054"/>
    </row>
    <row r="2" spans="1:12" ht="12.75" customHeight="1" x14ac:dyDescent="0.25">
      <c r="A2" s="1043" t="str">
        <f>desc</f>
        <v>Description</v>
      </c>
      <c r="B2" s="1075" t="s">
        <v>734</v>
      </c>
      <c r="C2" s="137" t="str">
        <f>Head2</f>
        <v>Budget Year 2020/21</v>
      </c>
      <c r="D2" s="137"/>
      <c r="E2" s="137"/>
      <c r="F2" s="137"/>
      <c r="G2" s="137"/>
      <c r="H2" s="137"/>
      <c r="I2" s="137"/>
      <c r="J2" s="137"/>
      <c r="K2" s="138"/>
      <c r="L2" s="1065" t="s">
        <v>74</v>
      </c>
    </row>
    <row r="3" spans="1:12" ht="12.75" customHeight="1" x14ac:dyDescent="0.25">
      <c r="A3" s="1074"/>
      <c r="B3" s="1076"/>
      <c r="C3" s="1077" t="s">
        <v>726</v>
      </c>
      <c r="D3" s="1068" t="s">
        <v>727</v>
      </c>
      <c r="E3" s="1068" t="s">
        <v>728</v>
      </c>
      <c r="F3" s="1068" t="s">
        <v>729</v>
      </c>
      <c r="G3" s="1068" t="s">
        <v>730</v>
      </c>
      <c r="H3" s="1068" t="s">
        <v>731</v>
      </c>
      <c r="I3" s="1068" t="s">
        <v>732</v>
      </c>
      <c r="J3" s="1070" t="s">
        <v>733</v>
      </c>
      <c r="K3" s="1072" t="s">
        <v>506</v>
      </c>
      <c r="L3" s="1066"/>
    </row>
    <row r="4" spans="1:12" ht="12.75" customHeight="1" x14ac:dyDescent="0.25">
      <c r="A4" s="34" t="s">
        <v>667</v>
      </c>
      <c r="B4" s="1073"/>
      <c r="C4" s="1078"/>
      <c r="D4" s="1069"/>
      <c r="E4" s="1069"/>
      <c r="F4" s="1069"/>
      <c r="G4" s="1069"/>
      <c r="H4" s="1069"/>
      <c r="I4" s="1069"/>
      <c r="J4" s="1071"/>
      <c r="K4" s="1073"/>
      <c r="L4" s="1067"/>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160528908.93000001</v>
      </c>
      <c r="D6" s="733">
        <v>0</v>
      </c>
      <c r="E6" s="733">
        <v>86025645.930000007</v>
      </c>
      <c r="F6" s="733"/>
      <c r="G6" s="733"/>
      <c r="H6" s="733"/>
      <c r="I6" s="733"/>
      <c r="J6" s="735"/>
      <c r="K6" s="109">
        <f>SUM(C6:J6)</f>
        <v>246554554.86000001</v>
      </c>
      <c r="L6" s="748">
        <v>127812382</v>
      </c>
    </row>
    <row r="7" spans="1:12" ht="12.75" customHeight="1" x14ac:dyDescent="0.25">
      <c r="A7" s="39" t="s">
        <v>688</v>
      </c>
      <c r="B7" s="169" t="s">
        <v>689</v>
      </c>
      <c r="C7" s="753">
        <v>87082902.069999993</v>
      </c>
      <c r="D7" s="733">
        <v>87082902.069999993</v>
      </c>
      <c r="E7" s="733">
        <v>81340413.090000004</v>
      </c>
      <c r="F7" s="733">
        <v>0</v>
      </c>
      <c r="G7" s="733"/>
      <c r="H7" s="733"/>
      <c r="I7" s="733"/>
      <c r="J7" s="735"/>
      <c r="K7" s="109">
        <f t="shared" ref="K7:K13" si="0">SUM(C7:J7)</f>
        <v>255506217.22999999</v>
      </c>
      <c r="L7" s="748">
        <v>66804300</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197756318.49999997</v>
      </c>
      <c r="D9" s="733"/>
      <c r="E9" s="733"/>
      <c r="F9" s="733"/>
      <c r="G9" s="733"/>
      <c r="H9" s="733"/>
      <c r="I9" s="733"/>
      <c r="J9" s="735"/>
      <c r="K9" s="109">
        <f t="shared" si="0"/>
        <v>197756318.49999997</v>
      </c>
      <c r="L9" s="748">
        <v>126815563</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46469870.920000017</v>
      </c>
      <c r="D12" s="733">
        <v>-9836039.349999994</v>
      </c>
      <c r="E12" s="733">
        <v>11389119.699999973</v>
      </c>
      <c r="F12" s="733">
        <v>454039.7</v>
      </c>
      <c r="G12" s="733">
        <v>19738233.940000001</v>
      </c>
      <c r="H12" s="733">
        <v>0</v>
      </c>
      <c r="I12" s="733">
        <v>29454.65</v>
      </c>
      <c r="J12" s="735">
        <v>14856164.369999999</v>
      </c>
      <c r="K12" s="109">
        <f t="shared" si="0"/>
        <v>83100843.930000007</v>
      </c>
      <c r="L12" s="748">
        <v>48586959</v>
      </c>
    </row>
    <row r="13" spans="1:12" ht="12.75" customHeight="1" x14ac:dyDescent="0.25">
      <c r="A13" s="39" t="s">
        <v>599</v>
      </c>
      <c r="B13" s="169" t="s">
        <v>600</v>
      </c>
      <c r="C13" s="753">
        <v>0</v>
      </c>
      <c r="D13" s="733"/>
      <c r="E13" s="733"/>
      <c r="F13" s="733"/>
      <c r="G13" s="733"/>
      <c r="H13" s="733"/>
      <c r="I13" s="733"/>
      <c r="J13" s="735"/>
      <c r="K13" s="109">
        <f t="shared" si="0"/>
        <v>0</v>
      </c>
      <c r="L13" s="748">
        <v>0</v>
      </c>
    </row>
    <row r="14" spans="1:12" ht="12.75" customHeight="1" x14ac:dyDescent="0.25">
      <c r="A14" s="39" t="s">
        <v>718</v>
      </c>
      <c r="B14" s="169" t="s">
        <v>601</v>
      </c>
      <c r="C14" s="753">
        <v>367427070</v>
      </c>
      <c r="D14" s="733"/>
      <c r="E14" s="733"/>
      <c r="F14" s="733"/>
      <c r="G14" s="733"/>
      <c r="H14" s="733"/>
      <c r="I14" s="733"/>
      <c r="J14" s="735"/>
      <c r="K14" s="109">
        <f>SUM(C14:J14)</f>
        <v>367427070</v>
      </c>
      <c r="L14" s="748">
        <v>365418249</v>
      </c>
    </row>
    <row r="15" spans="1:12" ht="12.75" customHeight="1" x14ac:dyDescent="0.25">
      <c r="A15" s="53" t="s">
        <v>919</v>
      </c>
      <c r="B15" s="284">
        <v>1000</v>
      </c>
      <c r="C15" s="271">
        <f>SUM(C6:C14)</f>
        <v>859265070.42000008</v>
      </c>
      <c r="D15" s="55">
        <f t="shared" ref="D15:J15" si="1">SUM(D6:D14)</f>
        <v>77246862.719999999</v>
      </c>
      <c r="E15" s="55">
        <f t="shared" si="1"/>
        <v>178755178.71999997</v>
      </c>
      <c r="F15" s="55">
        <f t="shared" si="1"/>
        <v>454039.7</v>
      </c>
      <c r="G15" s="55">
        <f t="shared" si="1"/>
        <v>19738233.940000001</v>
      </c>
      <c r="H15" s="55">
        <f t="shared" si="1"/>
        <v>0</v>
      </c>
      <c r="I15" s="55">
        <f t="shared" si="1"/>
        <v>29454.65</v>
      </c>
      <c r="J15" s="235">
        <f t="shared" si="1"/>
        <v>14856164.369999999</v>
      </c>
      <c r="K15" s="112">
        <f>SUM(K6:K14)</f>
        <v>1150345004.52</v>
      </c>
      <c r="L15" s="160">
        <f>SUM(L6:L14)</f>
        <v>735437453</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R25" sqref="R25"/>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4" t="str">
        <f>muni&amp; " - "&amp;S71K&amp; " - "&amp;Head57</f>
        <v>KZN225 Msunduzi - Supporting Table SC5 Monthly Budget Statement - investment portfolio  - M04 October</v>
      </c>
      <c r="B1" s="1054"/>
      <c r="C1" s="1054"/>
      <c r="D1" s="1054"/>
      <c r="E1" s="1054"/>
      <c r="F1" s="1054"/>
      <c r="G1" s="1054"/>
      <c r="H1" s="1054"/>
      <c r="I1" s="1054"/>
      <c r="J1" s="1054"/>
      <c r="K1" s="67"/>
    </row>
    <row r="2" spans="1:15" ht="54" customHeight="1" x14ac:dyDescent="0.25">
      <c r="A2" s="270" t="s">
        <v>894</v>
      </c>
      <c r="B2" s="1075" t="s">
        <v>571</v>
      </c>
      <c r="C2" s="26" t="s">
        <v>126</v>
      </c>
      <c r="D2" s="1081" t="s">
        <v>607</v>
      </c>
      <c r="E2" s="948" t="s">
        <v>1356</v>
      </c>
      <c r="F2" s="948" t="s">
        <v>1357</v>
      </c>
      <c r="G2" s="948" t="s">
        <v>1358</v>
      </c>
      <c r="H2" s="948" t="s">
        <v>1359</v>
      </c>
      <c r="I2" s="948" t="s">
        <v>1360</v>
      </c>
      <c r="J2" s="1083" t="s">
        <v>608</v>
      </c>
      <c r="K2" s="149" t="s">
        <v>1361</v>
      </c>
      <c r="L2" s="142" t="s">
        <v>1362</v>
      </c>
      <c r="M2" s="26" t="s">
        <v>1363</v>
      </c>
      <c r="N2" s="26" t="s">
        <v>1364</v>
      </c>
      <c r="O2" s="142" t="s">
        <v>1365</v>
      </c>
    </row>
    <row r="3" spans="1:15" ht="12.75" customHeight="1" x14ac:dyDescent="0.25">
      <c r="A3" s="34" t="s">
        <v>667</v>
      </c>
      <c r="B3" s="1073"/>
      <c r="C3" s="413" t="s">
        <v>127</v>
      </c>
      <c r="D3" s="1082"/>
      <c r="E3" s="949"/>
      <c r="F3" s="949"/>
      <c r="G3" s="949"/>
      <c r="H3" s="949"/>
      <c r="I3" s="949"/>
      <c r="J3" s="1071"/>
      <c r="K3" s="1079"/>
      <c r="L3" s="1079"/>
      <c r="M3" s="1079"/>
      <c r="N3" s="1079"/>
      <c r="O3" s="1080"/>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165483938.93000001</v>
      </c>
      <c r="L5" s="954">
        <v>258134.76</v>
      </c>
      <c r="M5" s="955">
        <v>-208973079.70999998</v>
      </c>
      <c r="N5" s="955">
        <v>215412361.87</v>
      </c>
      <c r="O5" s="956">
        <f t="shared" ref="O5:O11" si="0">SUM(K5:N5)</f>
        <v>172181355.85000002</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165483938.93000001</v>
      </c>
      <c r="L12" s="960"/>
      <c r="M12" s="961">
        <f>SUM(M5:M11)</f>
        <v>-208973079.70999998</v>
      </c>
      <c r="N12" s="961">
        <f>SUM(N5:N11)</f>
        <v>215412361.87</v>
      </c>
      <c r="O12" s="962">
        <f>SUM(O5:O11)</f>
        <v>172181355.85000002</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165483938.93000001</v>
      </c>
      <c r="L24" s="978"/>
      <c r="M24" s="979">
        <f>M12+M22</f>
        <v>-208973079.70999998</v>
      </c>
      <c r="N24" s="979">
        <f>N12+N22</f>
        <v>215412361.87</v>
      </c>
      <c r="O24" s="980">
        <f>O12+O22</f>
        <v>172181355.85000002</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P49" sqref="P49"/>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"&amp;S71L&amp; " - "&amp;Head57</f>
        <v>KZN225 Msunduzi - Supporting Table SC6 Monthly Budget Statement - transfers and grant receipts  - M04 October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5000000</v>
      </c>
      <c r="G8" s="50">
        <f t="shared" si="0"/>
        <v>276732000</v>
      </c>
      <c r="H8" s="50">
        <f t="shared" si="0"/>
        <v>232535524.99999997</v>
      </c>
      <c r="I8" s="50">
        <f t="shared" si="0"/>
        <v>44196475.000000015</v>
      </c>
      <c r="J8" s="343">
        <f>IF(I8=0,"",I8/H8)</f>
        <v>0.19006332473285542</v>
      </c>
      <c r="K8" s="194">
        <f>SUM(K9:K16)</f>
        <v>697606575</v>
      </c>
    </row>
    <row r="9" spans="1:11" ht="12.75" customHeight="1" x14ac:dyDescent="0.25">
      <c r="A9" s="733" t="s">
        <v>986</v>
      </c>
      <c r="B9" s="169"/>
      <c r="C9" s="779"/>
      <c r="D9" s="780">
        <v>593405000</v>
      </c>
      <c r="E9" s="734">
        <v>682403000</v>
      </c>
      <c r="F9" s="734"/>
      <c r="G9" s="734">
        <v>267032000</v>
      </c>
      <c r="H9" s="733">
        <f>E9/12*4</f>
        <v>227467666.66666666</v>
      </c>
      <c r="I9" s="514">
        <f>G9-H9</f>
        <v>39564333.333333343</v>
      </c>
      <c r="J9" s="552">
        <f>IF(I9=0,"",I9/H9)</f>
        <v>0.17393387778189726</v>
      </c>
      <c r="K9" s="736">
        <f>E9</f>
        <v>682403000</v>
      </c>
    </row>
    <row r="10" spans="1:11" ht="12.75" customHeight="1" x14ac:dyDescent="0.25">
      <c r="A10" s="733" t="s">
        <v>988</v>
      </c>
      <c r="B10" s="169"/>
      <c r="C10" s="748"/>
      <c r="D10" s="745">
        <v>1700000</v>
      </c>
      <c r="E10" s="733">
        <v>1700000</v>
      </c>
      <c r="F10" s="733"/>
      <c r="G10" s="733">
        <v>1700000</v>
      </c>
      <c r="H10" s="733">
        <f>E10/12*4</f>
        <v>566666.66666666663</v>
      </c>
      <c r="I10" s="514">
        <f t="shared" ref="I10:I15" si="1">G10-H10</f>
        <v>1133333.3333333335</v>
      </c>
      <c r="J10" s="552">
        <f t="shared" ref="J10:J15" si="2">IF(I10=0,"",I10/H10)</f>
        <v>2.0000000000000004</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c r="H12" s="733">
        <f>E12/12*4</f>
        <v>1462666.6666666667</v>
      </c>
      <c r="I12" s="514">
        <f t="shared" si="1"/>
        <v>-1462666.6666666667</v>
      </c>
      <c r="J12" s="552">
        <f t="shared" si="2"/>
        <v>-1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v>5000000</v>
      </c>
      <c r="G16" s="733">
        <v>8000000</v>
      </c>
      <c r="H16" s="733">
        <f>E16/12*4</f>
        <v>3038525</v>
      </c>
      <c r="I16" s="44">
        <f>G16-H16</f>
        <v>4961475</v>
      </c>
      <c r="J16" s="124">
        <f>IF(I16=0,"",I16/H16)</f>
        <v>1.6328564023662797</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9421175.1999999993</v>
      </c>
      <c r="G17" s="430">
        <f t="shared" si="3"/>
        <v>20964419.699999999</v>
      </c>
      <c r="H17" s="430">
        <f t="shared" si="3"/>
        <v>22291555</v>
      </c>
      <c r="I17" s="430">
        <f t="shared" si="3"/>
        <v>-1327135.3000000012</v>
      </c>
      <c r="J17" s="553">
        <f>IF(I17=0,"",I17/H17)</f>
        <v>-5.9535339728430843E-2</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v>1097000</v>
      </c>
      <c r="H19" s="733"/>
      <c r="I19" s="44">
        <f t="shared" si="4"/>
        <v>1097000</v>
      </c>
      <c r="J19" s="124" t="e">
        <f t="shared" si="5"/>
        <v>#DIV/0!</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 t="shared" ref="H21:H24" si="6">E21/12*4</f>
        <v>1201000</v>
      </c>
      <c r="I21" s="44">
        <f t="shared" si="4"/>
        <v>-1201000</v>
      </c>
      <c r="J21" s="124">
        <f t="shared" si="5"/>
        <v>-1</v>
      </c>
      <c r="K21" s="735">
        <f t="shared" ref="K21:K24" si="7">E21</f>
        <v>3603000</v>
      </c>
    </row>
    <row r="22" spans="1:11" ht="12.75" customHeight="1" x14ac:dyDescent="0.25">
      <c r="A22" s="1002" t="s">
        <v>1435</v>
      </c>
      <c r="B22" s="169"/>
      <c r="C22" s="748"/>
      <c r="D22" s="745">
        <v>4264000</v>
      </c>
      <c r="E22" s="733">
        <v>4264000</v>
      </c>
      <c r="F22" s="733"/>
      <c r="G22" s="733"/>
      <c r="H22" s="733">
        <f t="shared" si="6"/>
        <v>1421333.3333333333</v>
      </c>
      <c r="I22" s="44">
        <f t="shared" si="4"/>
        <v>-1421333.3333333333</v>
      </c>
      <c r="J22" s="124">
        <f t="shared" si="5"/>
        <v>-1</v>
      </c>
      <c r="K22" s="735">
        <f t="shared" si="7"/>
        <v>4264000</v>
      </c>
    </row>
    <row r="23" spans="1:11" ht="12.75" customHeight="1" x14ac:dyDescent="0.25">
      <c r="A23" s="1002" t="s">
        <v>1436</v>
      </c>
      <c r="B23" s="169"/>
      <c r="C23" s="748"/>
      <c r="D23" s="745">
        <v>24079242</v>
      </c>
      <c r="E23" s="733">
        <v>24079242</v>
      </c>
      <c r="F23" s="733"/>
      <c r="G23" s="733"/>
      <c r="H23" s="733">
        <f t="shared" si="6"/>
        <v>8026414</v>
      </c>
      <c r="I23" s="44">
        <f t="shared" si="4"/>
        <v>-8026414</v>
      </c>
      <c r="J23" s="124">
        <f t="shared" si="5"/>
        <v>-1</v>
      </c>
      <c r="K23" s="735">
        <f t="shared" si="7"/>
        <v>24079242</v>
      </c>
    </row>
    <row r="24" spans="1:11" ht="12.75" customHeight="1" x14ac:dyDescent="0.25">
      <c r="A24" s="1002" t="s">
        <v>1437</v>
      </c>
      <c r="B24" s="169"/>
      <c r="C24" s="748"/>
      <c r="D24" s="745">
        <v>22740423</v>
      </c>
      <c r="E24" s="733">
        <v>22740423</v>
      </c>
      <c r="F24" s="733">
        <v>9421175.1999999993</v>
      </c>
      <c r="G24" s="733">
        <v>19867419.699999999</v>
      </c>
      <c r="H24" s="733">
        <f t="shared" si="6"/>
        <v>7580141</v>
      </c>
      <c r="I24" s="44">
        <f t="shared" si="4"/>
        <v>12287278.699999999</v>
      </c>
      <c r="J24" s="124">
        <f t="shared" si="5"/>
        <v>1.62098286826063</v>
      </c>
      <c r="K24" s="735">
        <f t="shared" si="7"/>
        <v>22740423</v>
      </c>
    </row>
    <row r="25" spans="1:11" ht="12.75" customHeight="1" x14ac:dyDescent="0.25">
      <c r="A25" s="1002" t="s">
        <v>1451</v>
      </c>
      <c r="B25" s="169"/>
      <c r="C25" s="748"/>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10200000</v>
      </c>
      <c r="F26" s="733"/>
      <c r="G26" s="733"/>
      <c r="H26" s="733">
        <f t="shared" ref="H26:H28" si="8">E26/12*4</f>
        <v>3400000</v>
      </c>
      <c r="I26" s="44">
        <f t="shared" ref="I26:I32" si="9">G26-H26</f>
        <v>-3400000</v>
      </c>
      <c r="J26" s="124">
        <f t="shared" ref="J26:J33" si="10">IF(I26=0,"",I26/H26)</f>
        <v>-1</v>
      </c>
      <c r="K26" s="735">
        <f t="shared" ref="K26:K28" si="11">E26</f>
        <v>10200000</v>
      </c>
    </row>
    <row r="27" spans="1:11" ht="12.75" customHeight="1" x14ac:dyDescent="0.25">
      <c r="A27" s="1002" t="s">
        <v>1439</v>
      </c>
      <c r="B27" s="169"/>
      <c r="C27" s="748"/>
      <c r="D27" s="745">
        <v>488000</v>
      </c>
      <c r="E27" s="733">
        <v>488000</v>
      </c>
      <c r="F27" s="733"/>
      <c r="G27" s="733"/>
      <c r="H27" s="733">
        <f t="shared" si="8"/>
        <v>162666.66666666666</v>
      </c>
      <c r="I27" s="44">
        <f t="shared" si="9"/>
        <v>-162666.66666666666</v>
      </c>
      <c r="J27" s="124">
        <f t="shared" si="10"/>
        <v>-1</v>
      </c>
      <c r="K27" s="735">
        <f t="shared" si="11"/>
        <v>488000</v>
      </c>
    </row>
    <row r="28" spans="1:11" ht="12.75" customHeight="1" x14ac:dyDescent="0.25">
      <c r="A28" s="1002" t="s">
        <v>1440</v>
      </c>
      <c r="B28" s="169"/>
      <c r="C28" s="748"/>
      <c r="D28" s="745">
        <v>1500000</v>
      </c>
      <c r="E28" s="733">
        <v>1500000</v>
      </c>
      <c r="F28" s="733"/>
      <c r="G28" s="733"/>
      <c r="H28" s="733">
        <f t="shared" si="8"/>
        <v>500000</v>
      </c>
      <c r="I28" s="44">
        <f t="shared" si="9"/>
        <v>-500000</v>
      </c>
      <c r="J28" s="124">
        <f t="shared" si="10"/>
        <v>-1</v>
      </c>
      <c r="K28" s="735">
        <f t="shared" si="11"/>
        <v>1500000</v>
      </c>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764481240</v>
      </c>
      <c r="F33" s="73">
        <f t="shared" si="14"/>
        <v>14421175.199999999</v>
      </c>
      <c r="G33" s="73">
        <f t="shared" si="14"/>
        <v>297696419.69999999</v>
      </c>
      <c r="H33" s="73">
        <f t="shared" si="14"/>
        <v>254827079.99999997</v>
      </c>
      <c r="I33" s="73">
        <f t="shared" si="14"/>
        <v>42869339.70000001</v>
      </c>
      <c r="J33" s="304">
        <f t="shared" si="10"/>
        <v>0.16822913679346801</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255267424.99999985</v>
      </c>
      <c r="F36" s="44">
        <f t="shared" si="15"/>
        <v>55000000</v>
      </c>
      <c r="G36" s="44">
        <f t="shared" si="15"/>
        <v>112450000</v>
      </c>
      <c r="H36" s="44">
        <f t="shared" si="15"/>
        <v>85089141.666666612</v>
      </c>
      <c r="I36" s="44">
        <f t="shared" si="15"/>
        <v>27360858.333333388</v>
      </c>
      <c r="J36" s="343">
        <f>IF(I36=0,"",I36/H36)</f>
        <v>0.32155522781647605</v>
      </c>
      <c r="K36" s="144">
        <f>SUM(K37:K44)</f>
        <v>255267424.99999985</v>
      </c>
    </row>
    <row r="37" spans="1:11" ht="12.75" customHeight="1" x14ac:dyDescent="0.25">
      <c r="A37" s="778" t="s">
        <v>1441</v>
      </c>
      <c r="B37" s="169"/>
      <c r="C37" s="779"/>
      <c r="D37" s="780">
        <v>187012424.99999985</v>
      </c>
      <c r="E37" s="734">
        <v>187012424.99999985</v>
      </c>
      <c r="F37" s="734">
        <v>45000000</v>
      </c>
      <c r="G37" s="734">
        <v>72000000</v>
      </c>
      <c r="H37" s="733">
        <f>E37/12*4</f>
        <v>62337474.999999948</v>
      </c>
      <c r="I37" s="514">
        <f>G37-H37</f>
        <v>9662525.0000000522</v>
      </c>
      <c r="J37" s="552">
        <f>IF(I37=0,"",I37/H37)</f>
        <v>0.15500347102605713</v>
      </c>
      <c r="K37" s="736">
        <f>E37</f>
        <v>187012424.99999985</v>
      </c>
    </row>
    <row r="38" spans="1:11" ht="12.75" customHeight="1" x14ac:dyDescent="0.25">
      <c r="A38" s="778" t="s">
        <v>1453</v>
      </c>
      <c r="B38" s="169"/>
      <c r="C38" s="748"/>
      <c r="D38" s="745"/>
      <c r="E38" s="733"/>
      <c r="F38" s="733"/>
      <c r="G38" s="733"/>
      <c r="H38" s="733"/>
      <c r="I38" s="514">
        <f t="shared" ref="I38:I44" si="16">G38-H38</f>
        <v>0</v>
      </c>
      <c r="J38" s="552" t="str">
        <f t="shared" ref="J38:J44" si="17">IF(I38=0,"",I38/H38)</f>
        <v/>
      </c>
      <c r="K38" s="735"/>
    </row>
    <row r="39" spans="1:11" ht="12.75" customHeight="1" x14ac:dyDescent="0.25">
      <c r="A39" s="778" t="s">
        <v>1001</v>
      </c>
      <c r="B39" s="169"/>
      <c r="C39" s="748"/>
      <c r="D39" s="745">
        <v>35000000</v>
      </c>
      <c r="E39" s="733">
        <v>35000000</v>
      </c>
      <c r="F39" s="733"/>
      <c r="G39" s="733">
        <v>10450000</v>
      </c>
      <c r="H39" s="733">
        <f>E39/12*4</f>
        <v>11666666.666666666</v>
      </c>
      <c r="I39" s="514">
        <f t="shared" si="16"/>
        <v>-1216666.666666666</v>
      </c>
      <c r="J39" s="552">
        <f t="shared" si="17"/>
        <v>-0.10428571428571423</v>
      </c>
      <c r="K39" s="735">
        <f>E39</f>
        <v>35000000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v>10000000</v>
      </c>
      <c r="G43" s="733">
        <v>30000000</v>
      </c>
      <c r="H43" s="733">
        <f>E43/12*4</f>
        <v>11085000</v>
      </c>
      <c r="I43" s="514">
        <f t="shared" si="16"/>
        <v>18915000</v>
      </c>
      <c r="J43" s="552">
        <f t="shared" si="17"/>
        <v>1.7063599458728012</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270624156</v>
      </c>
      <c r="F45" s="430">
        <f t="shared" si="18"/>
        <v>2988000</v>
      </c>
      <c r="G45" s="430">
        <f t="shared" si="18"/>
        <v>2988000</v>
      </c>
      <c r="H45" s="430">
        <f t="shared" si="18"/>
        <v>90208052</v>
      </c>
      <c r="I45" s="514">
        <f t="shared" ref="I45:I60" si="19">G45-H45</f>
        <v>-87220052</v>
      </c>
      <c r="J45" s="552">
        <f>IF(I45=0,"",I45/H45)</f>
        <v>-0.96687657106263636</v>
      </c>
      <c r="K45" s="513">
        <f>SUM(K46:K56)</f>
        <v>270624156</v>
      </c>
    </row>
    <row r="46" spans="1:11" ht="12.75" customHeight="1" x14ac:dyDescent="0.25">
      <c r="A46" s="781" t="s">
        <v>1457</v>
      </c>
      <c r="B46" s="169"/>
      <c r="C46" s="783"/>
      <c r="D46" s="784"/>
      <c r="E46" s="737"/>
      <c r="F46" s="737">
        <v>2500000</v>
      </c>
      <c r="G46" s="737">
        <v>2500000</v>
      </c>
      <c r="H46" s="737"/>
      <c r="I46" s="514">
        <f t="shared" si="19"/>
        <v>2500000</v>
      </c>
      <c r="J46" s="552" t="e">
        <f t="shared" ref="J46:J55" si="20">IF(I46=0,"",I46/H46)</f>
        <v>#DIV/0!</v>
      </c>
      <c r="K46" s="738"/>
    </row>
    <row r="47" spans="1:11" ht="12.75" customHeight="1" x14ac:dyDescent="0.25">
      <c r="A47" s="785" t="s">
        <v>771</v>
      </c>
      <c r="B47" s="169"/>
      <c r="C47" s="786"/>
      <c r="D47" s="787"/>
      <c r="E47" s="788"/>
      <c r="F47" s="788"/>
      <c r="G47" s="788"/>
      <c r="H47" s="788"/>
      <c r="I47" s="44">
        <f t="shared" si="19"/>
        <v>0</v>
      </c>
      <c r="J47" s="124" t="str">
        <f t="shared" si="20"/>
        <v/>
      </c>
      <c r="K47" s="789"/>
    </row>
    <row r="48" spans="1:11" ht="12.75" customHeight="1" x14ac:dyDescent="0.25">
      <c r="A48" s="785" t="s">
        <v>1458</v>
      </c>
      <c r="B48" s="169"/>
      <c r="C48" s="786"/>
      <c r="D48" s="787"/>
      <c r="E48" s="788"/>
      <c r="F48" s="788"/>
      <c r="G48" s="788"/>
      <c r="H48" s="788"/>
      <c r="I48" s="44">
        <f t="shared" si="19"/>
        <v>0</v>
      </c>
      <c r="J48" s="124" t="str">
        <f t="shared" si="20"/>
        <v/>
      </c>
      <c r="K48" s="789"/>
    </row>
    <row r="49" spans="1:11" ht="12.75" customHeight="1" x14ac:dyDescent="0.25">
      <c r="A49" s="785" t="s">
        <v>1444</v>
      </c>
      <c r="B49" s="169"/>
      <c r="C49" s="786"/>
      <c r="D49" s="733">
        <v>6124156</v>
      </c>
      <c r="E49" s="733">
        <v>6124156</v>
      </c>
      <c r="F49" s="788"/>
      <c r="G49" s="788"/>
      <c r="H49" s="733">
        <f t="shared" ref="H49:H51" si="21">E49/12*4</f>
        <v>2041385.3333333333</v>
      </c>
      <c r="I49" s="44">
        <f t="shared" si="19"/>
        <v>-2041385.3333333333</v>
      </c>
      <c r="J49" s="124">
        <f t="shared" si="20"/>
        <v>-1</v>
      </c>
      <c r="K49" s="733">
        <f t="shared" ref="K49:K51" si="22">E49</f>
        <v>6124156</v>
      </c>
    </row>
    <row r="50" spans="1:11" ht="12.75" customHeight="1" x14ac:dyDescent="0.25">
      <c r="A50" s="785" t="s">
        <v>1459</v>
      </c>
      <c r="B50" s="169"/>
      <c r="C50" s="786"/>
      <c r="D50" s="733">
        <v>2500000</v>
      </c>
      <c r="E50" s="733">
        <v>2500000</v>
      </c>
      <c r="F50" s="788"/>
      <c r="G50" s="788"/>
      <c r="H50" s="733">
        <f t="shared" si="21"/>
        <v>833333.33333333337</v>
      </c>
      <c r="I50" s="44">
        <f t="shared" si="19"/>
        <v>-833333.33333333337</v>
      </c>
      <c r="J50" s="124">
        <f t="shared" si="20"/>
        <v>-1</v>
      </c>
      <c r="K50" s="733">
        <f t="shared" si="22"/>
        <v>2500000</v>
      </c>
    </row>
    <row r="51" spans="1:11" ht="12.75" customHeight="1" x14ac:dyDescent="0.25">
      <c r="A51" s="785" t="s">
        <v>1439</v>
      </c>
      <c r="B51" s="169"/>
      <c r="C51" s="786"/>
      <c r="D51" s="733">
        <v>774000</v>
      </c>
      <c r="E51" s="733">
        <v>774000</v>
      </c>
      <c r="F51" s="788">
        <v>488000</v>
      </c>
      <c r="G51" s="788">
        <v>488000</v>
      </c>
      <c r="H51" s="733">
        <f t="shared" si="21"/>
        <v>258000</v>
      </c>
      <c r="I51" s="44">
        <f t="shared" si="19"/>
        <v>230000</v>
      </c>
      <c r="J51" s="124">
        <f t="shared" si="20"/>
        <v>0.89147286821705429</v>
      </c>
      <c r="K51" s="733">
        <f t="shared" si="22"/>
        <v>774000</v>
      </c>
    </row>
    <row r="52" spans="1:11" ht="12.75" customHeight="1" x14ac:dyDescent="0.25">
      <c r="A52" s="785" t="s">
        <v>1440</v>
      </c>
      <c r="B52" s="169"/>
      <c r="C52" s="786"/>
      <c r="D52" s="733"/>
      <c r="E52" s="733"/>
      <c r="F52" s="788"/>
      <c r="G52" s="788"/>
      <c r="H52" s="733"/>
      <c r="I52" s="44">
        <f t="shared" si="19"/>
        <v>0</v>
      </c>
      <c r="J52" s="124" t="str">
        <f t="shared" si="20"/>
        <v/>
      </c>
      <c r="K52" s="733"/>
    </row>
    <row r="53" spans="1:11" ht="12.75" customHeight="1" x14ac:dyDescent="0.25">
      <c r="A53" s="785" t="s">
        <v>1443</v>
      </c>
      <c r="B53" s="169"/>
      <c r="C53" s="786"/>
      <c r="D53" s="733">
        <v>244264000</v>
      </c>
      <c r="E53" s="733">
        <v>244264000</v>
      </c>
      <c r="F53" s="788"/>
      <c r="G53" s="788"/>
      <c r="H53" s="733">
        <f t="shared" ref="H53:H54" si="23">E53/12*4</f>
        <v>81421333.333333328</v>
      </c>
      <c r="I53" s="44">
        <f t="shared" si="19"/>
        <v>-81421333.333333328</v>
      </c>
      <c r="J53" s="124">
        <f t="shared" si="20"/>
        <v>-1</v>
      </c>
      <c r="K53" s="733">
        <f t="shared" ref="K53:K54" si="24">E53</f>
        <v>244264000</v>
      </c>
    </row>
    <row r="54" spans="1:11" ht="12.75" customHeight="1" x14ac:dyDescent="0.25">
      <c r="A54" s="785" t="s">
        <v>1445</v>
      </c>
      <c r="B54" s="169"/>
      <c r="C54" s="786"/>
      <c r="D54" s="733">
        <v>6750000</v>
      </c>
      <c r="E54" s="733">
        <v>6750000</v>
      </c>
      <c r="F54" s="788"/>
      <c r="G54" s="788"/>
      <c r="H54" s="733">
        <f t="shared" si="23"/>
        <v>2250000</v>
      </c>
      <c r="I54" s="44">
        <f t="shared" si="19"/>
        <v>-2250000</v>
      </c>
      <c r="J54" s="124">
        <f t="shared" si="20"/>
        <v>-1</v>
      </c>
      <c r="K54" s="733">
        <f t="shared" si="24"/>
        <v>6750000</v>
      </c>
    </row>
    <row r="55" spans="1:11" ht="12.75" customHeight="1" x14ac:dyDescent="0.25">
      <c r="A55" s="785" t="s">
        <v>623</v>
      </c>
      <c r="B55" s="169"/>
      <c r="C55" s="786"/>
      <c r="D55" s="787"/>
      <c r="E55" s="788"/>
      <c r="F55" s="788"/>
      <c r="G55" s="788"/>
      <c r="H55" s="788"/>
      <c r="I55" s="44">
        <f t="shared" si="19"/>
        <v>0</v>
      </c>
      <c r="J55" s="124" t="str">
        <f t="shared" si="20"/>
        <v/>
      </c>
      <c r="K55" s="733"/>
    </row>
    <row r="56" spans="1:11" ht="12.75" customHeight="1" x14ac:dyDescent="0.25">
      <c r="A56" s="782" t="s">
        <v>1446</v>
      </c>
      <c r="B56" s="169"/>
      <c r="C56" s="748"/>
      <c r="D56" s="745">
        <v>10212000</v>
      </c>
      <c r="E56" s="733">
        <v>10212000</v>
      </c>
      <c r="F56" s="733"/>
      <c r="G56" s="733"/>
      <c r="H56" s="733">
        <f>E56/12*4</f>
        <v>3404000</v>
      </c>
      <c r="I56" s="44">
        <f t="shared" si="19"/>
        <v>-3404000</v>
      </c>
      <c r="J56" s="124">
        <f t="shared" ref="J56:J61" si="25">IF(I56=0,"",I56/H56)</f>
        <v>-1</v>
      </c>
      <c r="K56" s="733">
        <f>E56</f>
        <v>10212000</v>
      </c>
    </row>
    <row r="57" spans="1:11" ht="12.75" customHeight="1" x14ac:dyDescent="0.25">
      <c r="A57" s="106" t="str">
        <f>A29</f>
        <v>District Municipality:</v>
      </c>
      <c r="B57" s="169"/>
      <c r="C57" s="516">
        <f t="shared" ref="C57:H57" si="26">SUM(C58:C58)</f>
        <v>0</v>
      </c>
      <c r="D57" s="475">
        <f t="shared" si="26"/>
        <v>0</v>
      </c>
      <c r="E57" s="430">
        <f t="shared" si="26"/>
        <v>0</v>
      </c>
      <c r="F57" s="430">
        <f t="shared" si="26"/>
        <v>0</v>
      </c>
      <c r="G57" s="430">
        <f t="shared" si="26"/>
        <v>0</v>
      </c>
      <c r="H57" s="430">
        <f t="shared" si="26"/>
        <v>0</v>
      </c>
      <c r="I57" s="514">
        <f t="shared" si="19"/>
        <v>0</v>
      </c>
      <c r="J57" s="552" t="str">
        <f t="shared" si="25"/>
        <v/>
      </c>
      <c r="K57" s="513">
        <f>SUM(K58:K58)</f>
        <v>0</v>
      </c>
    </row>
    <row r="58" spans="1:11" ht="12.75" customHeight="1" x14ac:dyDescent="0.25">
      <c r="A58" s="781" t="s">
        <v>567</v>
      </c>
      <c r="B58" s="169"/>
      <c r="C58" s="783"/>
      <c r="D58" s="784"/>
      <c r="E58" s="737"/>
      <c r="F58" s="737"/>
      <c r="G58" s="737"/>
      <c r="H58" s="737"/>
      <c r="I58" s="514">
        <f t="shared" si="19"/>
        <v>0</v>
      </c>
      <c r="J58" s="552" t="str">
        <f t="shared" si="25"/>
        <v/>
      </c>
      <c r="K58" s="738"/>
    </row>
    <row r="59" spans="1:11" ht="12.75" customHeight="1" x14ac:dyDescent="0.25">
      <c r="A59" s="106" t="str">
        <f>A31</f>
        <v>Other grant providers:</v>
      </c>
      <c r="B59" s="169"/>
      <c r="C59" s="516">
        <f t="shared" ref="C59:H59" si="27">SUM(C60:C60)</f>
        <v>0</v>
      </c>
      <c r="D59" s="475">
        <f t="shared" si="27"/>
        <v>0</v>
      </c>
      <c r="E59" s="430">
        <f t="shared" si="27"/>
        <v>0</v>
      </c>
      <c r="F59" s="430">
        <f t="shared" si="27"/>
        <v>0</v>
      </c>
      <c r="G59" s="430">
        <f t="shared" si="27"/>
        <v>0</v>
      </c>
      <c r="H59" s="430">
        <f t="shared" si="27"/>
        <v>0</v>
      </c>
      <c r="I59" s="514">
        <f t="shared" si="19"/>
        <v>0</v>
      </c>
      <c r="J59" s="552" t="str">
        <f t="shared" si="25"/>
        <v/>
      </c>
      <c r="K59" s="513">
        <f>SUM(K60:K60)</f>
        <v>0</v>
      </c>
    </row>
    <row r="60" spans="1:11" ht="12.75" customHeight="1" x14ac:dyDescent="0.25">
      <c r="A60" s="781" t="s">
        <v>567</v>
      </c>
      <c r="B60" s="169"/>
      <c r="C60" s="783"/>
      <c r="D60" s="784"/>
      <c r="E60" s="737"/>
      <c r="F60" s="737"/>
      <c r="G60" s="737"/>
      <c r="H60" s="737"/>
      <c r="I60" s="514">
        <f t="shared" si="19"/>
        <v>0</v>
      </c>
      <c r="J60" s="552" t="str">
        <f t="shared" si="25"/>
        <v/>
      </c>
      <c r="K60" s="738"/>
    </row>
    <row r="61" spans="1:11" ht="12.75" customHeight="1" x14ac:dyDescent="0.25">
      <c r="A61" s="557" t="s">
        <v>64</v>
      </c>
      <c r="B61" s="309">
        <v>5</v>
      </c>
      <c r="C61" s="516">
        <f t="shared" ref="C61:I61" si="28">C36+C45+C57+C59</f>
        <v>0</v>
      </c>
      <c r="D61" s="475">
        <f t="shared" si="28"/>
        <v>525891580.99999988</v>
      </c>
      <c r="E61" s="430">
        <f t="shared" si="28"/>
        <v>525891580.99999988</v>
      </c>
      <c r="F61" s="430">
        <f t="shared" si="28"/>
        <v>57988000</v>
      </c>
      <c r="G61" s="430">
        <f t="shared" si="28"/>
        <v>115438000</v>
      </c>
      <c r="H61" s="430">
        <f t="shared" si="28"/>
        <v>175297193.66666663</v>
      </c>
      <c r="I61" s="430">
        <f t="shared" si="28"/>
        <v>-59859193.666666612</v>
      </c>
      <c r="J61" s="553">
        <f t="shared" si="25"/>
        <v>-0.34147262950763968</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9">C33+C61</f>
        <v>0</v>
      </c>
      <c r="D63" s="305">
        <f t="shared" si="29"/>
        <v>1201374821</v>
      </c>
      <c r="E63" s="306">
        <f t="shared" si="29"/>
        <v>1290372821</v>
      </c>
      <c r="F63" s="306">
        <f t="shared" si="29"/>
        <v>72409175.200000003</v>
      </c>
      <c r="G63" s="306">
        <f t="shared" si="29"/>
        <v>413134419.69999999</v>
      </c>
      <c r="H63" s="306">
        <f t="shared" si="29"/>
        <v>430124273.66666663</v>
      </c>
      <c r="I63" s="306">
        <f t="shared" si="29"/>
        <v>-16989853.966666602</v>
      </c>
      <c r="J63" s="307">
        <f>IF(I63=0,"",I63/H63)</f>
        <v>-3.9499872494601934E-2</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5" activePane="bottomRight" state="frozen"/>
      <selection pane="topRight"/>
      <selection pane="bottomLeft"/>
      <selection pane="bottomRight" activeCell="F26" sqref="F2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"&amp;S71M&amp; " - "&amp;Head57</f>
        <v>KZN225 Msunduzi - Supporting Table SC7(1) Monthly Budget Statement - transfers and grant expenditure  - M04 October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24224686.300000001</v>
      </c>
      <c r="G8" s="50">
        <f t="shared" si="0"/>
        <v>47364932.977000006</v>
      </c>
      <c r="H8" s="50">
        <f t="shared" si="0"/>
        <v>232535524.99999997</v>
      </c>
      <c r="I8" s="50">
        <f t="shared" si="0"/>
        <v>-185170592.023</v>
      </c>
      <c r="J8" s="343">
        <f t="shared" ref="J8:J33" si="1">IF(I8=0,"",I8/H8)</f>
        <v>-0.79631098096946706</v>
      </c>
      <c r="K8" s="194">
        <f>SUM(K9:K16)</f>
        <v>697606575</v>
      </c>
    </row>
    <row r="9" spans="1:11" x14ac:dyDescent="0.25">
      <c r="A9" s="396" t="s">
        <v>986</v>
      </c>
      <c r="B9" s="169"/>
      <c r="C9" s="779"/>
      <c r="D9" s="780">
        <v>593405000</v>
      </c>
      <c r="E9" s="734">
        <v>682403000</v>
      </c>
      <c r="F9" s="734"/>
      <c r="G9" s="734"/>
      <c r="H9" s="733">
        <f>E9/12*4</f>
        <v>227467666.66666666</v>
      </c>
      <c r="I9" s="514">
        <f>G9-H9</f>
        <v>-227467666.66666666</v>
      </c>
      <c r="J9" s="552">
        <f t="shared" si="1"/>
        <v>-1</v>
      </c>
      <c r="K9" s="736">
        <f>E9</f>
        <v>682403000</v>
      </c>
    </row>
    <row r="10" spans="1:11" x14ac:dyDescent="0.25">
      <c r="A10" s="396" t="s">
        <v>988</v>
      </c>
      <c r="B10" s="169"/>
      <c r="C10" s="748"/>
      <c r="D10" s="745">
        <v>1700000</v>
      </c>
      <c r="E10" s="733">
        <v>1700000</v>
      </c>
      <c r="F10" s="733">
        <v>82188.719999999972</v>
      </c>
      <c r="G10" s="733">
        <v>346114.24</v>
      </c>
      <c r="H10" s="733">
        <f>E10/12*4</f>
        <v>566666.66666666663</v>
      </c>
      <c r="I10" s="514">
        <f t="shared" ref="I10:I16" si="2">G10-H10</f>
        <v>-220552.42666666664</v>
      </c>
      <c r="J10" s="552">
        <f t="shared" ref="J10:J16" si="3">IF(I10=0,"",I10/H10)</f>
        <v>-0.38921016470588232</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4210819.919999999</v>
      </c>
      <c r="G12" s="733">
        <v>8625505.5599999987</v>
      </c>
      <c r="H12" s="733">
        <f>E12/12*4</f>
        <v>1462666.6666666667</v>
      </c>
      <c r="I12" s="514">
        <f t="shared" si="2"/>
        <v>7162838.8933333317</v>
      </c>
      <c r="J12" s="552">
        <f t="shared" si="3"/>
        <v>4.8971095442114843</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18150731.360000003</v>
      </c>
      <c r="G14" s="733">
        <v>32963198.820000004</v>
      </c>
      <c r="H14" s="733"/>
      <c r="I14" s="514">
        <f t="shared" si="2"/>
        <v>32963198.820000004</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1780946.3</v>
      </c>
      <c r="G16" s="733">
        <v>5430114.3570000008</v>
      </c>
      <c r="H16" s="733">
        <f>E16/12*4</f>
        <v>3038525</v>
      </c>
      <c r="I16" s="514">
        <f t="shared" si="2"/>
        <v>2391589.3570000008</v>
      </c>
      <c r="J16" s="552">
        <f t="shared" si="3"/>
        <v>0.78708891880106324</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1701478.580000001</v>
      </c>
      <c r="G17" s="430">
        <f t="shared" si="4"/>
        <v>24195037.670000002</v>
      </c>
      <c r="H17" s="430">
        <f t="shared" si="4"/>
        <v>22291555</v>
      </c>
      <c r="I17" s="430">
        <f t="shared" si="4"/>
        <v>1903482.670000003</v>
      </c>
      <c r="J17" s="553">
        <f t="shared" si="1"/>
        <v>8.5390304534609759E-2</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E21/12*4</f>
        <v>1201000</v>
      </c>
      <c r="I21" s="44">
        <f t="shared" si="5"/>
        <v>-1201000</v>
      </c>
      <c r="J21" s="124">
        <f t="shared" si="1"/>
        <v>-1</v>
      </c>
      <c r="K21" s="735">
        <f t="shared" ref="K21:K24" si="6">E21</f>
        <v>3603000</v>
      </c>
    </row>
    <row r="22" spans="1:11" ht="12.75" customHeight="1" x14ac:dyDescent="0.25">
      <c r="A22" s="396" t="s">
        <v>1435</v>
      </c>
      <c r="B22" s="169"/>
      <c r="C22" s="748"/>
      <c r="D22" s="745">
        <v>4264000</v>
      </c>
      <c r="E22" s="733">
        <v>4264000</v>
      </c>
      <c r="F22" s="733"/>
      <c r="G22" s="733"/>
      <c r="H22" s="733">
        <f>E22/12*4</f>
        <v>1421333.3333333333</v>
      </c>
      <c r="I22" s="44">
        <f t="shared" si="5"/>
        <v>-1421333.3333333333</v>
      </c>
      <c r="J22" s="124">
        <f t="shared" si="1"/>
        <v>-1</v>
      </c>
      <c r="K22" s="735">
        <f t="shared" si="6"/>
        <v>4264000</v>
      </c>
    </row>
    <row r="23" spans="1:11" ht="12.75" customHeight="1" x14ac:dyDescent="0.25">
      <c r="A23" s="396" t="s">
        <v>1436</v>
      </c>
      <c r="B23" s="169"/>
      <c r="C23" s="748"/>
      <c r="D23" s="745">
        <v>24079242</v>
      </c>
      <c r="E23" s="733">
        <v>24079242</v>
      </c>
      <c r="F23" s="733"/>
      <c r="G23" s="733"/>
      <c r="H23" s="733">
        <f>E23/12*4</f>
        <v>8026414</v>
      </c>
      <c r="I23" s="44">
        <f t="shared" si="5"/>
        <v>-8026414</v>
      </c>
      <c r="J23" s="124">
        <f t="shared" si="1"/>
        <v>-1</v>
      </c>
      <c r="K23" s="735">
        <f t="shared" si="6"/>
        <v>24079242</v>
      </c>
    </row>
    <row r="24" spans="1:11" ht="12.75" customHeight="1" x14ac:dyDescent="0.25">
      <c r="A24" s="396" t="s">
        <v>1437</v>
      </c>
      <c r="B24" s="169"/>
      <c r="C24" s="748"/>
      <c r="D24" s="745">
        <v>22740423</v>
      </c>
      <c r="E24" s="733">
        <v>22740423</v>
      </c>
      <c r="F24" s="733">
        <v>182935.28000000119</v>
      </c>
      <c r="G24" s="733">
        <v>17458952.380000003</v>
      </c>
      <c r="H24" s="733">
        <f>E24/12*4</f>
        <v>7580141</v>
      </c>
      <c r="I24" s="44">
        <f t="shared" si="5"/>
        <v>9878811.3800000027</v>
      </c>
      <c r="J24" s="124">
        <f t="shared" si="1"/>
        <v>1.3032490266342014</v>
      </c>
      <c r="K24" s="735">
        <f t="shared" si="6"/>
        <v>22740423</v>
      </c>
    </row>
    <row r="25" spans="1:11" ht="12.75" customHeight="1" x14ac:dyDescent="0.25">
      <c r="A25" s="396" t="s">
        <v>1451</v>
      </c>
      <c r="B25" s="169"/>
      <c r="C25" s="748"/>
      <c r="D25" s="745"/>
      <c r="E25" s="733"/>
      <c r="F25" s="733">
        <v>1465756.9299999997</v>
      </c>
      <c r="G25" s="733">
        <v>7878466.1199999992</v>
      </c>
      <c r="H25" s="733"/>
      <c r="I25" s="44">
        <f t="shared" si="5"/>
        <v>7878466.1199999992</v>
      </c>
      <c r="J25" s="124" t="e">
        <f t="shared" si="1"/>
        <v>#DIV/0!</v>
      </c>
      <c r="K25" s="735"/>
    </row>
    <row r="26" spans="1:11" ht="12.75" customHeight="1" x14ac:dyDescent="0.25">
      <c r="A26" s="396" t="s">
        <v>1438</v>
      </c>
      <c r="B26" s="169"/>
      <c r="C26" s="748"/>
      <c r="D26" s="745">
        <v>10200000</v>
      </c>
      <c r="E26" s="733">
        <v>10200000</v>
      </c>
      <c r="F26" s="733"/>
      <c r="G26" s="733"/>
      <c r="H26" s="733">
        <f>E26/12*4</f>
        <v>3400000</v>
      </c>
      <c r="I26" s="44">
        <f t="shared" si="5"/>
        <v>-3400000</v>
      </c>
      <c r="J26" s="124">
        <f t="shared" si="1"/>
        <v>-1</v>
      </c>
      <c r="K26" s="735">
        <f t="shared" ref="K26:K28" si="7">E26</f>
        <v>10200000</v>
      </c>
    </row>
    <row r="27" spans="1:11" ht="12.75" customHeight="1" x14ac:dyDescent="0.25">
      <c r="A27" s="396" t="s">
        <v>1439</v>
      </c>
      <c r="B27" s="169"/>
      <c r="C27" s="748"/>
      <c r="D27" s="745">
        <v>488000</v>
      </c>
      <c r="E27" s="733">
        <v>488000</v>
      </c>
      <c r="F27" s="733">
        <v>52786.37</v>
      </c>
      <c r="G27" s="733">
        <v>52786.37</v>
      </c>
      <c r="H27" s="733">
        <f>E27/12*4</f>
        <v>162666.66666666666</v>
      </c>
      <c r="I27" s="44">
        <f t="shared" si="5"/>
        <v>-109880.29666666666</v>
      </c>
      <c r="J27" s="124">
        <f t="shared" si="1"/>
        <v>-0.67549362704918037</v>
      </c>
      <c r="K27" s="735">
        <f t="shared" si="7"/>
        <v>488000</v>
      </c>
    </row>
    <row r="28" spans="1:11" ht="12.75" customHeight="1" x14ac:dyDescent="0.25">
      <c r="A28" s="396" t="s">
        <v>1440</v>
      </c>
      <c r="B28" s="169"/>
      <c r="C28" s="748"/>
      <c r="D28" s="745">
        <v>1500000</v>
      </c>
      <c r="E28" s="733">
        <v>1500000</v>
      </c>
      <c r="F28" s="733">
        <v>0</v>
      </c>
      <c r="G28" s="733">
        <v>-1195167.2</v>
      </c>
      <c r="H28" s="733">
        <f>E28/12*4</f>
        <v>500000</v>
      </c>
      <c r="I28" s="44">
        <f t="shared" si="5"/>
        <v>-1695167.2</v>
      </c>
      <c r="J28" s="124">
        <f t="shared" si="1"/>
        <v>-3.3903344</v>
      </c>
      <c r="K28" s="735">
        <f t="shared" si="7"/>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0</v>
      </c>
      <c r="D33" s="74">
        <f t="shared" si="10"/>
        <v>675483240</v>
      </c>
      <c r="E33" s="73">
        <f t="shared" si="10"/>
        <v>764481240</v>
      </c>
      <c r="F33" s="73">
        <f t="shared" si="10"/>
        <v>25926164.880000003</v>
      </c>
      <c r="G33" s="73">
        <f t="shared" si="10"/>
        <v>71559970.647000015</v>
      </c>
      <c r="H33" s="73">
        <f t="shared" si="10"/>
        <v>254827079.99999997</v>
      </c>
      <c r="I33" s="73">
        <f t="shared" si="10"/>
        <v>-183267109.35299999</v>
      </c>
      <c r="J33" s="304">
        <f t="shared" si="1"/>
        <v>-0.71918223664847558</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0</v>
      </c>
      <c r="D36" s="46">
        <f t="shared" si="11"/>
        <v>255267424.99999985</v>
      </c>
      <c r="E36" s="44">
        <f t="shared" si="11"/>
        <v>255267424.99999985</v>
      </c>
      <c r="F36" s="44">
        <f t="shared" si="11"/>
        <v>16028516.699999999</v>
      </c>
      <c r="G36" s="44">
        <f t="shared" si="11"/>
        <v>48871029.213</v>
      </c>
      <c r="H36" s="44">
        <f t="shared" si="11"/>
        <v>85089141.666666612</v>
      </c>
      <c r="I36" s="44">
        <f t="shared" si="11"/>
        <v>-36218112.453666613</v>
      </c>
      <c r="J36" s="343">
        <f>IF(I36=0,"",I36/H36)</f>
        <v>-0.42564905162105937</v>
      </c>
      <c r="K36" s="144">
        <f t="shared" si="11"/>
        <v>255267424.99999985</v>
      </c>
    </row>
    <row r="37" spans="1:11" ht="12.75" customHeight="1" x14ac:dyDescent="0.25">
      <c r="A37" s="396" t="s">
        <v>1441</v>
      </c>
      <c r="B37" s="169"/>
      <c r="C37" s="779"/>
      <c r="D37" s="780">
        <v>187012424.99999985</v>
      </c>
      <c r="E37" s="734">
        <v>187012424.99999985</v>
      </c>
      <c r="F37" s="734">
        <v>16028516.699999999</v>
      </c>
      <c r="G37" s="734">
        <v>48871029.213</v>
      </c>
      <c r="H37" s="734">
        <f>E37/12*4</f>
        <v>62337474.999999948</v>
      </c>
      <c r="I37" s="514">
        <f>G37-H37</f>
        <v>-13466445.786999948</v>
      </c>
      <c r="J37" s="552">
        <f>IF(I37=0,"",I37/H37)</f>
        <v>-0.21602488369957171</v>
      </c>
      <c r="K37" s="736">
        <f>E37</f>
        <v>187012424.99999985</v>
      </c>
    </row>
    <row r="38" spans="1:11" ht="12" customHeight="1" x14ac:dyDescent="0.25">
      <c r="A38" s="396" t="s">
        <v>1453</v>
      </c>
      <c r="B38" s="169"/>
      <c r="C38" s="748"/>
      <c r="D38" s="745"/>
      <c r="E38" s="733"/>
      <c r="F38" s="733"/>
      <c r="G38" s="733"/>
      <c r="H38" s="733"/>
      <c r="I38" s="44">
        <f t="shared" ref="I38:I44" si="12">G38-H38</f>
        <v>0</v>
      </c>
      <c r="J38" s="124" t="str">
        <f t="shared" ref="J38:J44" si="13">IF(I38=0,"",I38/H38)</f>
        <v/>
      </c>
      <c r="K38" s="736"/>
    </row>
    <row r="39" spans="1:11" ht="12" customHeight="1" x14ac:dyDescent="0.25">
      <c r="A39" s="396" t="s">
        <v>1001</v>
      </c>
      <c r="B39" s="169"/>
      <c r="C39" s="748"/>
      <c r="D39" s="745">
        <v>35000000</v>
      </c>
      <c r="E39" s="733">
        <v>35000000</v>
      </c>
      <c r="F39" s="733"/>
      <c r="G39" s="733"/>
      <c r="H39" s="733">
        <f>E39/12*4</f>
        <v>11666666.666666666</v>
      </c>
      <c r="I39" s="44">
        <f t="shared" si="12"/>
        <v>-11666666.666666666</v>
      </c>
      <c r="J39" s="124">
        <f t="shared" si="13"/>
        <v>-1</v>
      </c>
      <c r="K39" s="736">
        <f>E39</f>
        <v>35000000</v>
      </c>
    </row>
    <row r="40" spans="1:11" ht="12" customHeight="1" x14ac:dyDescent="0.25">
      <c r="A40" s="396" t="s">
        <v>1454</v>
      </c>
      <c r="B40" s="169"/>
      <c r="C40" s="748"/>
      <c r="D40" s="745"/>
      <c r="E40" s="733"/>
      <c r="F40" s="733"/>
      <c r="G40" s="733"/>
      <c r="H40" s="733"/>
      <c r="I40" s="44">
        <f t="shared" si="12"/>
        <v>0</v>
      </c>
      <c r="J40" s="124" t="str">
        <f t="shared" si="13"/>
        <v/>
      </c>
      <c r="K40" s="736"/>
    </row>
    <row r="41" spans="1:11" ht="12.75" customHeight="1" x14ac:dyDescent="0.25">
      <c r="A41" s="396" t="s">
        <v>1455</v>
      </c>
      <c r="B41" s="169"/>
      <c r="C41" s="748"/>
      <c r="D41" s="745"/>
      <c r="E41" s="733"/>
      <c r="F41" s="733"/>
      <c r="G41" s="733"/>
      <c r="H41" s="733"/>
      <c r="I41" s="44">
        <f t="shared" si="12"/>
        <v>0</v>
      </c>
      <c r="J41" s="124" t="str">
        <f t="shared" si="13"/>
        <v/>
      </c>
      <c r="K41" s="736"/>
    </row>
    <row r="42" spans="1:11" ht="12.75" customHeight="1" x14ac:dyDescent="0.25">
      <c r="A42" s="396" t="s">
        <v>566</v>
      </c>
      <c r="B42" s="169"/>
      <c r="C42" s="748"/>
      <c r="D42" s="745"/>
      <c r="E42" s="733"/>
      <c r="F42" s="733"/>
      <c r="G42" s="733"/>
      <c r="H42" s="733"/>
      <c r="I42" s="44">
        <f t="shared" si="12"/>
        <v>0</v>
      </c>
      <c r="J42" s="124" t="str">
        <f t="shared" si="13"/>
        <v/>
      </c>
      <c r="K42" s="736"/>
    </row>
    <row r="43" spans="1:11" ht="12.75" customHeight="1" x14ac:dyDescent="0.25">
      <c r="A43" s="396" t="s">
        <v>1442</v>
      </c>
      <c r="B43" s="169"/>
      <c r="C43" s="748"/>
      <c r="D43" s="745">
        <v>33255000</v>
      </c>
      <c r="E43" s="733">
        <v>33255000</v>
      </c>
      <c r="F43" s="733"/>
      <c r="G43" s="733"/>
      <c r="H43" s="733">
        <f>E43/12*4</f>
        <v>11085000</v>
      </c>
      <c r="I43" s="44">
        <f t="shared" si="12"/>
        <v>-11085000</v>
      </c>
      <c r="J43" s="124">
        <f t="shared" si="13"/>
        <v>-1</v>
      </c>
      <c r="K43" s="736">
        <f>E43</f>
        <v>33255000</v>
      </c>
    </row>
    <row r="44" spans="1:11" ht="12.75" customHeight="1" x14ac:dyDescent="0.25">
      <c r="A44" s="396" t="s">
        <v>1456</v>
      </c>
      <c r="B44" s="169"/>
      <c r="C44" s="748"/>
      <c r="D44" s="745"/>
      <c r="E44" s="733"/>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0</v>
      </c>
      <c r="D45" s="475">
        <f t="shared" si="14"/>
        <v>270624156</v>
      </c>
      <c r="E45" s="430">
        <f t="shared" si="14"/>
        <v>270624156</v>
      </c>
      <c r="F45" s="430">
        <f t="shared" si="14"/>
        <v>3502271.6499999994</v>
      </c>
      <c r="G45" s="430">
        <f t="shared" si="14"/>
        <v>10272440.59</v>
      </c>
      <c r="H45" s="430">
        <f t="shared" si="14"/>
        <v>90208052</v>
      </c>
      <c r="I45" s="514">
        <f>G45-H45</f>
        <v>-79935611.409999996</v>
      </c>
      <c r="J45" s="552">
        <f>IF(I45=0,"",I45/H45)</f>
        <v>-0.88612501476032313</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E50/12*4</f>
        <v>2041385.3333333333</v>
      </c>
      <c r="I50" s="44"/>
      <c r="J50" s="124"/>
      <c r="K50" s="733">
        <f t="shared" ref="K50:K52" si="16">E50</f>
        <v>6124156</v>
      </c>
    </row>
    <row r="51" spans="1:11" ht="12.75" customHeight="1" x14ac:dyDescent="0.25">
      <c r="A51" s="397" t="s">
        <v>1459</v>
      </c>
      <c r="B51" s="169"/>
      <c r="C51" s="786"/>
      <c r="D51" s="733">
        <v>2500000</v>
      </c>
      <c r="E51" s="788">
        <v>2500000</v>
      </c>
      <c r="F51" s="788"/>
      <c r="G51" s="788"/>
      <c r="H51" s="733">
        <f t="shared" si="15"/>
        <v>833333.33333333337</v>
      </c>
      <c r="I51" s="44"/>
      <c r="J51" s="124"/>
      <c r="K51" s="733">
        <f t="shared" si="16"/>
        <v>2500000</v>
      </c>
    </row>
    <row r="52" spans="1:11" ht="12.75" customHeight="1" x14ac:dyDescent="0.25">
      <c r="A52" s="397" t="s">
        <v>1439</v>
      </c>
      <c r="B52" s="169"/>
      <c r="C52" s="786"/>
      <c r="D52" s="733">
        <v>774000</v>
      </c>
      <c r="E52" s="788">
        <v>774000</v>
      </c>
      <c r="F52" s="788"/>
      <c r="G52" s="788"/>
      <c r="H52" s="733">
        <f t="shared" si="15"/>
        <v>258000</v>
      </c>
      <c r="I52" s="44"/>
      <c r="J52" s="124"/>
      <c r="K52" s="733">
        <f t="shared" si="16"/>
        <v>774000</v>
      </c>
    </row>
    <row r="53" spans="1:11" ht="12.75" customHeight="1" x14ac:dyDescent="0.25">
      <c r="A53" s="397" t="s">
        <v>1440</v>
      </c>
      <c r="B53" s="169"/>
      <c r="C53" s="786"/>
      <c r="D53" s="787"/>
      <c r="E53" s="788"/>
      <c r="F53" s="788"/>
      <c r="G53" s="788"/>
      <c r="H53" s="788"/>
      <c r="I53" s="44"/>
      <c r="J53" s="124"/>
      <c r="K53" s="789"/>
    </row>
    <row r="54" spans="1:11" ht="12.75" customHeight="1" x14ac:dyDescent="0.25">
      <c r="A54" s="397" t="s">
        <v>1443</v>
      </c>
      <c r="B54" s="169"/>
      <c r="C54" s="786"/>
      <c r="D54" s="733">
        <v>244264000</v>
      </c>
      <c r="E54" s="788">
        <v>244264000</v>
      </c>
      <c r="F54" s="788"/>
      <c r="G54" s="788"/>
      <c r="H54" s="733">
        <f t="shared" ref="H54:H55" si="17">E54/12*4</f>
        <v>81421333.333333328</v>
      </c>
      <c r="I54" s="44"/>
      <c r="J54" s="124"/>
      <c r="K54" s="733">
        <f t="shared" ref="K54:K55" si="18">E54</f>
        <v>244264000</v>
      </c>
    </row>
    <row r="55" spans="1:11" ht="12.75" customHeight="1" x14ac:dyDescent="0.25">
      <c r="A55" s="397" t="s">
        <v>1445</v>
      </c>
      <c r="B55" s="169"/>
      <c r="C55" s="786"/>
      <c r="D55" s="733">
        <v>6750000</v>
      </c>
      <c r="E55" s="788">
        <v>6750000</v>
      </c>
      <c r="F55" s="733">
        <v>3502271.6499999994</v>
      </c>
      <c r="G55" s="733">
        <v>10272440.59</v>
      </c>
      <c r="H55" s="733">
        <f t="shared" si="17"/>
        <v>2250000</v>
      </c>
      <c r="I55" s="44"/>
      <c r="J55" s="124"/>
      <c r="K55" s="733">
        <f t="shared" si="18"/>
        <v>6750000</v>
      </c>
    </row>
    <row r="56" spans="1:11" ht="12.75" customHeight="1" x14ac:dyDescent="0.25">
      <c r="A56" s="397" t="s">
        <v>623</v>
      </c>
      <c r="B56" s="169"/>
      <c r="C56" s="786"/>
      <c r="D56" s="787"/>
      <c r="E56" s="788"/>
      <c r="F56" s="788"/>
      <c r="G56" s="788"/>
      <c r="H56" s="788"/>
      <c r="I56" s="44"/>
      <c r="J56" s="124"/>
      <c r="K56" s="789"/>
    </row>
    <row r="57" spans="1:11" ht="12.75" customHeight="1" x14ac:dyDescent="0.25">
      <c r="A57" s="396" t="s">
        <v>1446</v>
      </c>
      <c r="B57" s="169"/>
      <c r="C57" s="748"/>
      <c r="D57" s="745">
        <v>10212000</v>
      </c>
      <c r="E57" s="733">
        <v>10212000</v>
      </c>
      <c r="F57" s="733"/>
      <c r="G57" s="733"/>
      <c r="H57" s="733">
        <f>E57/12*4</f>
        <v>3404000</v>
      </c>
      <c r="I57" s="44">
        <f>G57-H57</f>
        <v>-3404000</v>
      </c>
      <c r="J57" s="124">
        <f t="shared" ref="J57:J62" si="19">IF(I57=0,"",I57/H57)</f>
        <v>-1</v>
      </c>
      <c r="K57" s="735">
        <f>E57</f>
        <v>10212000</v>
      </c>
    </row>
    <row r="58" spans="1:11" ht="12.75" customHeight="1" x14ac:dyDescent="0.25">
      <c r="A58" s="397" t="str">
        <f>'SC6'!A57</f>
        <v>District Municipality:</v>
      </c>
      <c r="B58" s="169"/>
      <c r="C58" s="516">
        <f t="shared" ref="C58:H58" si="20">SUM(C59:C59)</f>
        <v>0</v>
      </c>
      <c r="D58" s="475">
        <f t="shared" si="20"/>
        <v>0</v>
      </c>
      <c r="E58" s="430">
        <f t="shared" si="20"/>
        <v>0</v>
      </c>
      <c r="F58" s="430">
        <f t="shared" si="20"/>
        <v>0</v>
      </c>
      <c r="G58" s="430">
        <f t="shared" si="20"/>
        <v>0</v>
      </c>
      <c r="H58" s="430">
        <f t="shared" si="20"/>
        <v>0</v>
      </c>
      <c r="I58" s="514">
        <f>G58-H58</f>
        <v>0</v>
      </c>
      <c r="J58" s="552" t="str">
        <f t="shared" si="19"/>
        <v/>
      </c>
      <c r="K58" s="513">
        <f>SUM(K59:K59)</f>
        <v>0</v>
      </c>
    </row>
    <row r="59" spans="1:11" ht="12.75" customHeight="1" x14ac:dyDescent="0.25">
      <c r="A59" s="397"/>
      <c r="B59" s="169"/>
      <c r="C59" s="783"/>
      <c r="D59" s="784"/>
      <c r="E59" s="737"/>
      <c r="F59" s="737"/>
      <c r="G59" s="737"/>
      <c r="H59" s="737"/>
      <c r="I59" s="514">
        <f>G59-H59</f>
        <v>0</v>
      </c>
      <c r="J59" s="552" t="str">
        <f t="shared" si="19"/>
        <v/>
      </c>
      <c r="K59" s="738"/>
    </row>
    <row r="60" spans="1:11" ht="12.75" customHeight="1" x14ac:dyDescent="0.25">
      <c r="A60" s="397" t="str">
        <f>'SC6'!A59</f>
        <v>Other grant providers:</v>
      </c>
      <c r="B60" s="169"/>
      <c r="C60" s="516">
        <f t="shared" ref="C60:H60" si="21">SUM(C61:C61)</f>
        <v>0</v>
      </c>
      <c r="D60" s="475">
        <f t="shared" si="21"/>
        <v>0</v>
      </c>
      <c r="E60" s="430">
        <f t="shared" si="21"/>
        <v>0</v>
      </c>
      <c r="F60" s="430">
        <f t="shared" si="21"/>
        <v>0</v>
      </c>
      <c r="G60" s="430">
        <f t="shared" si="21"/>
        <v>0</v>
      </c>
      <c r="H60" s="430">
        <f t="shared" si="21"/>
        <v>0</v>
      </c>
      <c r="I60" s="514">
        <f>G60-H60</f>
        <v>0</v>
      </c>
      <c r="J60" s="552" t="str">
        <f t="shared" si="19"/>
        <v/>
      </c>
      <c r="K60" s="513">
        <f>SUM(K61:K61)</f>
        <v>0</v>
      </c>
    </row>
    <row r="61" spans="1:11" ht="12.75" customHeight="1" x14ac:dyDescent="0.25">
      <c r="A61" s="397"/>
      <c r="B61" s="169"/>
      <c r="C61" s="783"/>
      <c r="D61" s="784"/>
      <c r="E61" s="737"/>
      <c r="F61" s="737"/>
      <c r="G61" s="737"/>
      <c r="H61" s="737"/>
      <c r="I61" s="514">
        <f>G61-H61</f>
        <v>0</v>
      </c>
      <c r="J61" s="552" t="str">
        <f t="shared" si="19"/>
        <v/>
      </c>
      <c r="K61" s="738"/>
    </row>
    <row r="62" spans="1:11" ht="12.75" customHeight="1" x14ac:dyDescent="0.25">
      <c r="A62" s="557" t="s">
        <v>60</v>
      </c>
      <c r="B62" s="233"/>
      <c r="C62" s="243">
        <f t="shared" ref="C62:I62" si="22">C36+C45+C58+C60</f>
        <v>0</v>
      </c>
      <c r="D62" s="74">
        <f t="shared" si="22"/>
        <v>525891580.99999988</v>
      </c>
      <c r="E62" s="73">
        <f t="shared" si="22"/>
        <v>525891580.99999988</v>
      </c>
      <c r="F62" s="73">
        <f t="shared" si="22"/>
        <v>19530788.349999998</v>
      </c>
      <c r="G62" s="73">
        <f t="shared" si="22"/>
        <v>59143469.803000003</v>
      </c>
      <c r="H62" s="73">
        <f t="shared" si="22"/>
        <v>175297193.66666663</v>
      </c>
      <c r="I62" s="73">
        <f t="shared" si="22"/>
        <v>-116153723.86366661</v>
      </c>
      <c r="J62" s="304">
        <f t="shared" si="19"/>
        <v>-0.66261028733030791</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3">C33+C62</f>
        <v>0</v>
      </c>
      <c r="D64" s="56">
        <f t="shared" si="23"/>
        <v>1201374821</v>
      </c>
      <c r="E64" s="55">
        <f t="shared" si="23"/>
        <v>1290372821</v>
      </c>
      <c r="F64" s="55">
        <f t="shared" si="23"/>
        <v>45456953.230000004</v>
      </c>
      <c r="G64" s="55">
        <f t="shared" si="23"/>
        <v>130703440.45000002</v>
      </c>
      <c r="H64" s="55">
        <f t="shared" si="23"/>
        <v>430124273.66666663</v>
      </c>
      <c r="I64" s="55">
        <f t="shared" si="23"/>
        <v>-299420833.21666658</v>
      </c>
      <c r="J64" s="290">
        <f>IF(I64=0,"",I64/H64)</f>
        <v>-0.69612633266242663</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G30" sqref="G30"/>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4" t="str">
        <f>muni&amp; " - "&amp;S71T&amp; " - "&amp;Head57</f>
        <v>KZN225 Msunduzi - Supporting Table SC7(2) Monthly Budget Statement - Expenditure against approved rollovers - M04 October</v>
      </c>
      <c r="B1" s="1054"/>
      <c r="C1" s="1054"/>
      <c r="D1" s="1054"/>
      <c r="E1" s="1054"/>
      <c r="F1" s="1054"/>
      <c r="G1" s="1054"/>
    </row>
    <row r="2" spans="1:7" ht="21.75" customHeight="1" x14ac:dyDescent="0.25">
      <c r="A2" s="1043" t="str">
        <f>desc</f>
        <v>Description</v>
      </c>
      <c r="B2" s="1036" t="str">
        <f>head27</f>
        <v>Ref</v>
      </c>
      <c r="C2" s="1038" t="str">
        <f>Head2</f>
        <v>Budget Year 2020/21</v>
      </c>
      <c r="D2" s="1039"/>
      <c r="E2" s="1039"/>
      <c r="F2" s="1039"/>
      <c r="G2" s="1040"/>
    </row>
    <row r="3" spans="1:7" ht="39.75" customHeight="1" x14ac:dyDescent="0.25">
      <c r="A3" s="1044"/>
      <c r="B3" s="1047"/>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26" activePane="bottomRight" state="frozen"/>
      <selection pane="topRight"/>
      <selection pane="bottomLeft"/>
      <selection pane="bottomRight" activeCell="S12" sqref="S12"/>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"&amp;S71N&amp; " - "&amp;Head57</f>
        <v>KZN225 Msunduzi - Supporting Table SC8 Monthly Budget Statement - councillor and staff benefits  - M04 October</v>
      </c>
      <c r="B1" s="1054"/>
      <c r="C1" s="1054"/>
      <c r="D1" s="1054"/>
      <c r="E1" s="1054"/>
      <c r="F1" s="1054"/>
      <c r="G1" s="1054"/>
      <c r="H1" s="1054"/>
      <c r="I1" s="1054"/>
      <c r="J1" s="1054"/>
      <c r="K1" s="1054"/>
    </row>
    <row r="2" spans="1:11" x14ac:dyDescent="0.25">
      <c r="A2" s="1043" t="s">
        <v>650</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2732388.81</v>
      </c>
      <c r="G7" s="733">
        <v>10818212.930000002</v>
      </c>
      <c r="H7" s="733">
        <f>E7/12*4</f>
        <v>5264096.298333331</v>
      </c>
      <c r="I7" s="44">
        <f t="shared" ref="I7:I14" si="0">G7-H7</f>
        <v>5554116.6316666706</v>
      </c>
      <c r="J7" s="330">
        <f t="shared" ref="J7:J14" si="1">IF(I7=0,"",I7/H7)</f>
        <v>1.0550940402486868</v>
      </c>
      <c r="K7" s="735">
        <f>E7</f>
        <v>15792288.894999994</v>
      </c>
    </row>
    <row r="8" spans="1:11" ht="12.75" customHeight="1" x14ac:dyDescent="0.25">
      <c r="A8" s="518" t="s">
        <v>1048</v>
      </c>
      <c r="B8" s="169"/>
      <c r="C8" s="748"/>
      <c r="D8" s="745">
        <v>6273530.0123999976</v>
      </c>
      <c r="E8" s="733">
        <v>6273530.0123999976</v>
      </c>
      <c r="F8" s="733">
        <v>356741.81</v>
      </c>
      <c r="G8" s="733">
        <v>1712998.3199999998</v>
      </c>
      <c r="H8" s="733">
        <f t="shared" ref="H8:H12" si="2">E8/12*4</f>
        <v>2091176.6707999993</v>
      </c>
      <c r="I8" s="44">
        <f t="shared" si="0"/>
        <v>-378178.35079999943</v>
      </c>
      <c r="J8" s="330">
        <f t="shared" si="1"/>
        <v>-0.18084476365898045</v>
      </c>
      <c r="K8" s="735">
        <f t="shared" ref="K8:K12" si="3">E8</f>
        <v>6273530.0123999976</v>
      </c>
    </row>
    <row r="9" spans="1:11" ht="12.75" customHeight="1" x14ac:dyDescent="0.25">
      <c r="A9" s="518" t="s">
        <v>427</v>
      </c>
      <c r="B9" s="169"/>
      <c r="C9" s="748"/>
      <c r="D9" s="745">
        <v>10528192.964839995</v>
      </c>
      <c r="E9" s="733">
        <v>10528192.964839995</v>
      </c>
      <c r="F9" s="733">
        <v>158446.79999999999</v>
      </c>
      <c r="G9" s="733">
        <v>644550.66</v>
      </c>
      <c r="H9" s="733">
        <f t="shared" si="2"/>
        <v>3509397.6549466648</v>
      </c>
      <c r="I9" s="44">
        <f t="shared" si="0"/>
        <v>-2864846.9949466647</v>
      </c>
      <c r="J9" s="330">
        <f t="shared" si="1"/>
        <v>-0.81633581503894981</v>
      </c>
      <c r="K9" s="735">
        <f t="shared" si="3"/>
        <v>10528192.964839995</v>
      </c>
    </row>
    <row r="10" spans="1:11" ht="12.75" customHeight="1" x14ac:dyDescent="0.25">
      <c r="A10" s="518" t="s">
        <v>1049</v>
      </c>
      <c r="B10" s="169"/>
      <c r="C10" s="748"/>
      <c r="D10" s="745">
        <v>10528194.069359997</v>
      </c>
      <c r="E10" s="733">
        <v>10528194.069359997</v>
      </c>
      <c r="F10" s="733">
        <v>497177.37999999995</v>
      </c>
      <c r="G10" s="733">
        <v>2376646.7000000002</v>
      </c>
      <c r="H10" s="733">
        <f t="shared" si="2"/>
        <v>3509398.0231199991</v>
      </c>
      <c r="I10" s="44">
        <f>G10-H10</f>
        <v>-1132751.3231199989</v>
      </c>
      <c r="J10" s="330">
        <f>IF(I10=0,"",I10/H10)</f>
        <v>-0.32277653194576555</v>
      </c>
      <c r="K10" s="735">
        <f t="shared" si="3"/>
        <v>10528194.069359997</v>
      </c>
    </row>
    <row r="11" spans="1:11" ht="12.75" customHeight="1" x14ac:dyDescent="0.25">
      <c r="A11" s="39" t="s">
        <v>1050</v>
      </c>
      <c r="B11" s="169"/>
      <c r="C11" s="748"/>
      <c r="D11" s="745">
        <v>5264098.1391999982</v>
      </c>
      <c r="E11" s="733">
        <v>5264098.1391999982</v>
      </c>
      <c r="F11" s="733">
        <v>224950</v>
      </c>
      <c r="G11" s="733">
        <v>1554188.55</v>
      </c>
      <c r="H11" s="733">
        <f t="shared" si="2"/>
        <v>1754699.3797333327</v>
      </c>
      <c r="I11" s="44">
        <f>G11-H11</f>
        <v>-200510.82973333262</v>
      </c>
      <c r="J11" s="330">
        <f>IF(I11=0,"",I11/H11)</f>
        <v>-0.11427075888281496</v>
      </c>
      <c r="K11" s="735">
        <f t="shared" si="3"/>
        <v>5264098.1391999982</v>
      </c>
    </row>
    <row r="12" spans="1:11" ht="12.75" customHeight="1" x14ac:dyDescent="0.25">
      <c r="A12" s="39" t="s">
        <v>1051</v>
      </c>
      <c r="B12" s="169"/>
      <c r="C12" s="748"/>
      <c r="D12" s="745">
        <v>5264097.0346799986</v>
      </c>
      <c r="E12" s="733">
        <v>5264097.0346799986</v>
      </c>
      <c r="F12" s="733">
        <v>11074.34</v>
      </c>
      <c r="G12" s="733">
        <v>44297.36</v>
      </c>
      <c r="H12" s="733">
        <f t="shared" si="2"/>
        <v>1754699.0115599995</v>
      </c>
      <c r="I12" s="44">
        <f>G12-H12</f>
        <v>-1710401.6515599994</v>
      </c>
      <c r="J12" s="330">
        <f>IF(I12=0,"",I12/H12)</f>
        <v>-0.97475500943001159</v>
      </c>
      <c r="K12" s="735">
        <f t="shared" si="3"/>
        <v>5264097.0346799986</v>
      </c>
    </row>
    <row r="13" spans="1:11" ht="12.75" customHeight="1" x14ac:dyDescent="0.25">
      <c r="A13" s="39" t="s">
        <v>1052</v>
      </c>
      <c r="B13" s="169"/>
      <c r="C13" s="748"/>
      <c r="D13" s="745"/>
      <c r="E13" s="733"/>
      <c r="F13" s="733">
        <v>7336.37</v>
      </c>
      <c r="G13" s="733">
        <v>461598.68000000005</v>
      </c>
      <c r="H13" s="733"/>
      <c r="I13" s="44">
        <f t="shared" si="0"/>
        <v>461598.68000000005</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3988115.51</v>
      </c>
      <c r="G14" s="430">
        <f t="shared" si="4"/>
        <v>17612493.200000003</v>
      </c>
      <c r="H14" s="430">
        <f t="shared" si="4"/>
        <v>17883467.038493328</v>
      </c>
      <c r="I14" s="430">
        <f t="shared" si="0"/>
        <v>-270973.83849332482</v>
      </c>
      <c r="J14" s="431">
        <f t="shared" si="1"/>
        <v>-1.5152198279565494E-2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610505.75999999989</v>
      </c>
      <c r="G18" s="733">
        <v>2442023.0399999996</v>
      </c>
      <c r="H18" s="733">
        <f t="shared" ref="H18:H20" si="5">E18/12*4</f>
        <v>3546796.5936000007</v>
      </c>
      <c r="I18" s="44">
        <f t="shared" ref="I18:I30" si="6">G18-H18</f>
        <v>-1104773.5536000011</v>
      </c>
      <c r="J18" s="330">
        <f t="shared" ref="J18:J29" si="7">IF(I18=0,"",I18/H18)</f>
        <v>-0.31148489191444029</v>
      </c>
      <c r="K18" s="735">
        <f t="shared" ref="K18:K25" si="8">E18</f>
        <v>10640389.780800002</v>
      </c>
    </row>
    <row r="19" spans="1:11" ht="12.75" customHeight="1" x14ac:dyDescent="0.25">
      <c r="A19" s="39" t="s">
        <v>1048</v>
      </c>
      <c r="B19" s="169"/>
      <c r="C19" s="748"/>
      <c r="D19" s="745">
        <v>1458021.1247999999</v>
      </c>
      <c r="E19" s="733">
        <v>1458021.1247999999</v>
      </c>
      <c r="F19" s="733">
        <v>68706.34</v>
      </c>
      <c r="G19" s="733">
        <v>274825.36</v>
      </c>
      <c r="H19" s="733">
        <f t="shared" si="5"/>
        <v>486007.04159999994</v>
      </c>
      <c r="I19" s="44">
        <f t="shared" si="6"/>
        <v>-211181.68159999995</v>
      </c>
      <c r="J19" s="330">
        <f t="shared" si="7"/>
        <v>-0.43452391328479872</v>
      </c>
      <c r="K19" s="735">
        <f t="shared" si="8"/>
        <v>1458021.1247999999</v>
      </c>
    </row>
    <row r="20" spans="1:11" ht="12.75" customHeight="1" x14ac:dyDescent="0.25">
      <c r="A20" s="39" t="s">
        <v>427</v>
      </c>
      <c r="B20" s="169"/>
      <c r="C20" s="748"/>
      <c r="D20" s="745">
        <v>160334.42939999999</v>
      </c>
      <c r="E20" s="733">
        <v>160334.42939999999</v>
      </c>
      <c r="F20" s="733">
        <v>7659.12</v>
      </c>
      <c r="G20" s="733">
        <v>30636.48</v>
      </c>
      <c r="H20" s="733">
        <f t="shared" si="5"/>
        <v>53444.809799999995</v>
      </c>
      <c r="I20" s="44">
        <f t="shared" si="6"/>
        <v>-22808.329799999996</v>
      </c>
      <c r="J20" s="330">
        <f t="shared" si="7"/>
        <v>-0.42676416822050317</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c r="D22" s="745">
        <v>665728.85879999993</v>
      </c>
      <c r="E22" s="733">
        <v>665728.85879999993</v>
      </c>
      <c r="F22" s="733">
        <v>96636.56</v>
      </c>
      <c r="G22" s="733">
        <v>96636.56</v>
      </c>
      <c r="H22" s="733">
        <f t="shared" ref="H22:H25" si="9">E22/12*4</f>
        <v>221909.61959999998</v>
      </c>
      <c r="I22" s="44">
        <f>G22-H22</f>
        <v>-125273.05959999998</v>
      </c>
      <c r="J22" s="330">
        <f>IF(I22=0,"",I22/H22)</f>
        <v>-0.56452288920962124</v>
      </c>
      <c r="K22" s="735">
        <f t="shared" si="8"/>
        <v>665728.85879999993</v>
      </c>
    </row>
    <row r="23" spans="1:11" ht="12.75" customHeight="1" x14ac:dyDescent="0.25">
      <c r="A23" s="39" t="s">
        <v>1049</v>
      </c>
      <c r="B23" s="169"/>
      <c r="C23" s="748"/>
      <c r="D23" s="745">
        <v>1278372.5370000002</v>
      </c>
      <c r="E23" s="733">
        <v>1278372.5370000002</v>
      </c>
      <c r="F23" s="733">
        <v>62860.86</v>
      </c>
      <c r="G23" s="733">
        <v>251443.44</v>
      </c>
      <c r="H23" s="733">
        <f t="shared" si="9"/>
        <v>426124.17900000006</v>
      </c>
      <c r="I23" s="44">
        <f>G23-H23</f>
        <v>-174680.73900000006</v>
      </c>
      <c r="J23" s="330">
        <f>IF(I23=0,"",I23/H23)</f>
        <v>-0.40992918874007389</v>
      </c>
      <c r="K23" s="735">
        <f t="shared" si="8"/>
        <v>1278372.5370000002</v>
      </c>
    </row>
    <row r="24" spans="1:11" ht="12.75" customHeight="1" x14ac:dyDescent="0.25">
      <c r="A24" s="39" t="s">
        <v>1050</v>
      </c>
      <c r="B24" s="169"/>
      <c r="C24" s="748"/>
      <c r="D24" s="745">
        <v>111150.72719999999</v>
      </c>
      <c r="E24" s="733">
        <v>111150.72719999999</v>
      </c>
      <c r="F24" s="733">
        <v>6950</v>
      </c>
      <c r="G24" s="733">
        <v>27800</v>
      </c>
      <c r="H24" s="733">
        <f t="shared" si="9"/>
        <v>37050.242399999996</v>
      </c>
      <c r="I24" s="44">
        <f>G24-H24</f>
        <v>-9250.2423999999955</v>
      </c>
      <c r="J24" s="330">
        <f>IF(I24=0,"",I24/H24)</f>
        <v>-0.24966752714146875</v>
      </c>
      <c r="K24" s="735">
        <f t="shared" si="8"/>
        <v>111150.72719999999</v>
      </c>
    </row>
    <row r="25" spans="1:11" ht="12.75" customHeight="1" x14ac:dyDescent="0.25">
      <c r="A25" s="39" t="s">
        <v>1051</v>
      </c>
      <c r="B25" s="169"/>
      <c r="C25" s="748"/>
      <c r="D25" s="745">
        <v>756254.19959999993</v>
      </c>
      <c r="E25" s="733">
        <v>756254.19959999993</v>
      </c>
      <c r="F25" s="733">
        <v>1929.02</v>
      </c>
      <c r="G25" s="733">
        <v>7716.08</v>
      </c>
      <c r="H25" s="733">
        <f t="shared" si="9"/>
        <v>252084.73319999999</v>
      </c>
      <c r="I25" s="44">
        <f>G25-H25</f>
        <v>-244368.6532</v>
      </c>
      <c r="J25" s="330">
        <f>IF(I25=0,"",I25/H25)</f>
        <v>-0.96939092700279406</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855247.6599999998</v>
      </c>
      <c r="G30" s="430">
        <f>SUM(G18:G29)</f>
        <v>3131080.9599999995</v>
      </c>
      <c r="H30" s="430">
        <f>SUM(H18:H29)</f>
        <v>5023417.2192000011</v>
      </c>
      <c r="I30" s="430">
        <f t="shared" si="6"/>
        <v>-1892336.2592000016</v>
      </c>
      <c r="J30" s="431">
        <f>IF(I30=0,"",I30/H30)</f>
        <v>-0.37670298456741835</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67521275.190000013</v>
      </c>
      <c r="G34" s="733">
        <v>271100327.17999995</v>
      </c>
      <c r="H34" s="733">
        <f t="shared" ref="H34:H42" si="11">E34/12*4</f>
        <v>301478765.27993524</v>
      </c>
      <c r="I34" s="44">
        <f t="shared" ref="I34:I46" si="12">G34-H34</f>
        <v>-30378438.099935293</v>
      </c>
      <c r="J34" s="330">
        <f t="shared" ref="J34:J45" si="13">IF(I34=0,"",I34/H34)</f>
        <v>-0.10076476886100977</v>
      </c>
      <c r="K34" s="735">
        <f t="shared" ref="K34:K42" si="14">E34</f>
        <v>904436295.83980572</v>
      </c>
    </row>
    <row r="35" spans="1:11" ht="12.75" customHeight="1" x14ac:dyDescent="0.25">
      <c r="A35" s="518" t="s">
        <v>1048</v>
      </c>
      <c r="B35" s="169"/>
      <c r="C35" s="748"/>
      <c r="D35" s="745">
        <v>188647083.87682125</v>
      </c>
      <c r="E35" s="733">
        <v>188647083.87682125</v>
      </c>
      <c r="F35" s="733">
        <v>14064331.860000007</v>
      </c>
      <c r="G35" s="733">
        <v>56299421.950000033</v>
      </c>
      <c r="H35" s="733">
        <f t="shared" si="11"/>
        <v>62882361.292273752</v>
      </c>
      <c r="I35" s="44">
        <f t="shared" si="12"/>
        <v>-6582939.3422737196</v>
      </c>
      <c r="J35" s="330">
        <f t="shared" si="13"/>
        <v>-0.10468657994054295</v>
      </c>
      <c r="K35" s="735">
        <f t="shared" si="14"/>
        <v>188647083.87682125</v>
      </c>
    </row>
    <row r="36" spans="1:11" ht="12.75" customHeight="1" x14ac:dyDescent="0.25">
      <c r="A36" s="518" t="s">
        <v>427</v>
      </c>
      <c r="B36" s="169"/>
      <c r="C36" s="748"/>
      <c r="D36" s="745">
        <v>70300830.27188544</v>
      </c>
      <c r="E36" s="733">
        <v>70300830.27188544</v>
      </c>
      <c r="F36" s="733">
        <v>5163287.82</v>
      </c>
      <c r="G36" s="733">
        <v>20797214.249999996</v>
      </c>
      <c r="H36" s="733">
        <f t="shared" si="11"/>
        <v>23433610.090628479</v>
      </c>
      <c r="I36" s="44">
        <f t="shared" si="12"/>
        <v>-2636395.8406284824</v>
      </c>
      <c r="J36" s="330">
        <f t="shared" si="13"/>
        <v>-0.11250489491087097</v>
      </c>
      <c r="K36" s="735">
        <f t="shared" si="14"/>
        <v>70300830.27188544</v>
      </c>
    </row>
    <row r="37" spans="1:11" ht="12.75" customHeight="1" x14ac:dyDescent="0.25">
      <c r="A37" s="518" t="s">
        <v>539</v>
      </c>
      <c r="B37" s="169"/>
      <c r="C37" s="748"/>
      <c r="D37" s="745">
        <v>73644368.523901194</v>
      </c>
      <c r="E37" s="733">
        <v>73644368.523901194</v>
      </c>
      <c r="F37" s="733">
        <v>6914651.9399999995</v>
      </c>
      <c r="G37" s="733">
        <v>32382094.869999997</v>
      </c>
      <c r="H37" s="733">
        <f t="shared" si="11"/>
        <v>24548122.841300398</v>
      </c>
      <c r="I37" s="44">
        <f t="shared" si="12"/>
        <v>7833972.0286995992</v>
      </c>
      <c r="J37" s="330">
        <f t="shared" si="13"/>
        <v>0.31912713160777906</v>
      </c>
      <c r="K37" s="735">
        <f t="shared" si="14"/>
        <v>73644368.523901194</v>
      </c>
    </row>
    <row r="38" spans="1:11" ht="12.75" customHeight="1" x14ac:dyDescent="0.25">
      <c r="A38" s="518" t="s">
        <v>429</v>
      </c>
      <c r="B38" s="169"/>
      <c r="C38" s="748"/>
      <c r="D38" s="745">
        <v>70366153.174669325</v>
      </c>
      <c r="E38" s="733">
        <v>70366153.174669325</v>
      </c>
      <c r="F38" s="733">
        <v>63000815.369999982</v>
      </c>
      <c r="G38" s="733">
        <v>63545809.929999992</v>
      </c>
      <c r="H38" s="733">
        <f t="shared" si="11"/>
        <v>23455384.391556442</v>
      </c>
      <c r="I38" s="44">
        <f t="shared" si="12"/>
        <v>40090425.53844355</v>
      </c>
      <c r="J38" s="330">
        <f t="shared" si="13"/>
        <v>1.7092205725213121</v>
      </c>
      <c r="K38" s="735">
        <f t="shared" si="14"/>
        <v>70366153.174669325</v>
      </c>
    </row>
    <row r="39" spans="1:11" ht="12.75" customHeight="1" x14ac:dyDescent="0.25">
      <c r="A39" s="518" t="s">
        <v>1049</v>
      </c>
      <c r="B39" s="169"/>
      <c r="C39" s="748"/>
      <c r="D39" s="745">
        <v>24659111.788440011</v>
      </c>
      <c r="E39" s="733">
        <v>24659111.788440011</v>
      </c>
      <c r="F39" s="733">
        <v>2326438.1699999995</v>
      </c>
      <c r="G39" s="733">
        <v>9268262.8200000003</v>
      </c>
      <c r="H39" s="733">
        <f t="shared" si="11"/>
        <v>8219703.9294800041</v>
      </c>
      <c r="I39" s="44">
        <f>G39-H39</f>
        <v>1048558.8905199962</v>
      </c>
      <c r="J39" s="330">
        <f>IF(I39=0,"",I39/H39)</f>
        <v>0.12756650355243759</v>
      </c>
      <c r="K39" s="735">
        <f t="shared" si="14"/>
        <v>24659111.788440011</v>
      </c>
    </row>
    <row r="40" spans="1:11" ht="12.75" customHeight="1" x14ac:dyDescent="0.25">
      <c r="A40" s="518" t="s">
        <v>1050</v>
      </c>
      <c r="B40" s="169"/>
      <c r="C40" s="748"/>
      <c r="D40" s="745">
        <v>4232876.804076002</v>
      </c>
      <c r="E40" s="733">
        <v>4232876.804076002</v>
      </c>
      <c r="F40" s="733">
        <v>339980.57</v>
      </c>
      <c r="G40" s="733">
        <v>1339812.32</v>
      </c>
      <c r="H40" s="733">
        <f t="shared" si="11"/>
        <v>1410958.9346920007</v>
      </c>
      <c r="I40" s="44">
        <f>G40-H40</f>
        <v>-71146.614692000672</v>
      </c>
      <c r="J40" s="330">
        <f>IF(I40=0,"",I40/H40)</f>
        <v>-5.0424298640223235E-2</v>
      </c>
      <c r="K40" s="735">
        <f t="shared" si="14"/>
        <v>4232876.804076002</v>
      </c>
    </row>
    <row r="41" spans="1:11" ht="12.75" customHeight="1" x14ac:dyDescent="0.25">
      <c r="A41" s="518" t="s">
        <v>1051</v>
      </c>
      <c r="B41" s="169"/>
      <c r="C41" s="748"/>
      <c r="D41" s="745">
        <v>7812877.275000005</v>
      </c>
      <c r="E41" s="733">
        <v>7812877.275000005</v>
      </c>
      <c r="F41" s="733">
        <v>370371.84000000026</v>
      </c>
      <c r="G41" s="733">
        <v>1465090.6900000009</v>
      </c>
      <c r="H41" s="733">
        <f t="shared" si="11"/>
        <v>2604292.4250000017</v>
      </c>
      <c r="I41" s="44">
        <f>G41-H41</f>
        <v>-1139201.7350000008</v>
      </c>
      <c r="J41" s="330">
        <f>IF(I41=0,"",I41/H41)</f>
        <v>-0.43743234210728088</v>
      </c>
      <c r="K41" s="735">
        <f t="shared" si="14"/>
        <v>7812877.275000005</v>
      </c>
    </row>
    <row r="42" spans="1:11" ht="12.75" customHeight="1" x14ac:dyDescent="0.25">
      <c r="A42" s="518" t="s">
        <v>1052</v>
      </c>
      <c r="B42" s="169"/>
      <c r="C42" s="748"/>
      <c r="D42" s="745">
        <v>46854856.603799991</v>
      </c>
      <c r="E42" s="733">
        <v>46854856.603799991</v>
      </c>
      <c r="F42" s="733">
        <v>5760964.3299999991</v>
      </c>
      <c r="G42" s="733">
        <v>23759477.069999989</v>
      </c>
      <c r="H42" s="733">
        <f t="shared" si="11"/>
        <v>15618285.534599997</v>
      </c>
      <c r="I42" s="44">
        <f t="shared" si="12"/>
        <v>8141191.535399992</v>
      </c>
      <c r="J42" s="330">
        <f t="shared" si="13"/>
        <v>0.52126025723914371</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1685680.9100000006</v>
      </c>
      <c r="G44" s="733">
        <v>7715340.540000001</v>
      </c>
      <c r="H44" s="733">
        <f>E44/12*4</f>
        <v>8057589.2652613623</v>
      </c>
      <c r="I44" s="44">
        <f t="shared" si="12"/>
        <v>-342248.72526136134</v>
      </c>
      <c r="J44" s="330">
        <f t="shared" si="13"/>
        <v>-4.2475325310623153E-2</v>
      </c>
      <c r="K44" s="735">
        <f t="shared" ref="K44" si="15">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6">SUM(C34:C45)</f>
        <v>0</v>
      </c>
      <c r="D46" s="475">
        <f t="shared" si="16"/>
        <v>1415127221.9541829</v>
      </c>
      <c r="E46" s="430">
        <f t="shared" si="16"/>
        <v>1415127221.9541829</v>
      </c>
      <c r="F46" s="430">
        <f>SUM(F34:F45)</f>
        <v>167147797.99999997</v>
      </c>
      <c r="G46" s="430">
        <f>SUM(G34:G45)</f>
        <v>487672851.62</v>
      </c>
      <c r="H46" s="430">
        <f>SUM(H34:H45)</f>
        <v>471709073.98472774</v>
      </c>
      <c r="I46" s="430">
        <f t="shared" si="12"/>
        <v>15963777.635272264</v>
      </c>
      <c r="J46" s="431">
        <f>IF(I46=0,"",I46/H46)</f>
        <v>3.3842422195569453E-2</v>
      </c>
      <c r="K46" s="513">
        <f t="shared" si="16"/>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7">D14+D30+D46</f>
        <v>1483847874.727263</v>
      </c>
      <c r="E49" s="73">
        <f t="shared" si="17"/>
        <v>1483847874.727263</v>
      </c>
      <c r="F49" s="73">
        <f t="shared" si="17"/>
        <v>171991161.16999996</v>
      </c>
      <c r="G49" s="73">
        <f t="shared" si="17"/>
        <v>508416425.78000003</v>
      </c>
      <c r="H49" s="73">
        <f t="shared" si="17"/>
        <v>494615958.24242109</v>
      </c>
      <c r="I49" s="73">
        <f>G49-H49</f>
        <v>13800467.53757894</v>
      </c>
      <c r="J49" s="331">
        <f>IF(I49=0,"",I49/H49)</f>
        <v>2.7901379459364425E-2</v>
      </c>
      <c r="K49" s="145">
        <f t="shared" si="17"/>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8">G54-H54</f>
        <v>0</v>
      </c>
      <c r="J54" s="330" t="str">
        <f t="shared" ref="J54:J66" si="19">IF(I54=0,"",I54/H54)</f>
        <v/>
      </c>
      <c r="K54" s="735"/>
    </row>
    <row r="55" spans="1:11" ht="12.75" customHeight="1" x14ac:dyDescent="0.25">
      <c r="A55" s="39" t="s">
        <v>1048</v>
      </c>
      <c r="B55" s="169"/>
      <c r="C55" s="748"/>
      <c r="D55" s="745"/>
      <c r="E55" s="733"/>
      <c r="F55" s="733"/>
      <c r="G55" s="733"/>
      <c r="H55" s="733"/>
      <c r="I55" s="44">
        <f t="shared" si="18"/>
        <v>0</v>
      </c>
      <c r="J55" s="330" t="str">
        <f t="shared" si="19"/>
        <v/>
      </c>
      <c r="K55" s="735"/>
    </row>
    <row r="56" spans="1:11" ht="12.75" customHeight="1" x14ac:dyDescent="0.25">
      <c r="A56" s="39" t="s">
        <v>427</v>
      </c>
      <c r="B56" s="169"/>
      <c r="C56" s="748"/>
      <c r="D56" s="745"/>
      <c r="E56" s="733"/>
      <c r="F56" s="733"/>
      <c r="G56" s="733"/>
      <c r="H56" s="733"/>
      <c r="I56" s="44">
        <f t="shared" si="18"/>
        <v>0</v>
      </c>
      <c r="J56" s="330" t="str">
        <f t="shared" si="19"/>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8"/>
        <v>0</v>
      </c>
      <c r="J62" s="330" t="str">
        <f t="shared" si="19"/>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8"/>
        <v>0</v>
      </c>
      <c r="J64" s="330" t="str">
        <f t="shared" si="19"/>
        <v/>
      </c>
      <c r="K64" s="735"/>
    </row>
    <row r="65" spans="1:11" ht="12.75" customHeight="1" x14ac:dyDescent="0.25">
      <c r="A65" s="39" t="s">
        <v>1054</v>
      </c>
      <c r="B65" s="169"/>
      <c r="C65" s="748"/>
      <c r="D65" s="745"/>
      <c r="E65" s="733"/>
      <c r="F65" s="733"/>
      <c r="G65" s="733"/>
      <c r="H65" s="733"/>
      <c r="I65" s="44">
        <f t="shared" si="18"/>
        <v>0</v>
      </c>
      <c r="J65" s="330" t="str">
        <f t="shared" si="19"/>
        <v/>
      </c>
      <c r="K65" s="735"/>
    </row>
    <row r="66" spans="1:11" ht="12.75" customHeight="1" x14ac:dyDescent="0.25">
      <c r="A66" s="39" t="s">
        <v>1055</v>
      </c>
      <c r="B66" s="169"/>
      <c r="C66" s="748"/>
      <c r="D66" s="745"/>
      <c r="E66" s="733"/>
      <c r="F66" s="733"/>
      <c r="G66" s="733"/>
      <c r="H66" s="733"/>
      <c r="I66" s="44">
        <f t="shared" si="18"/>
        <v>0</v>
      </c>
      <c r="J66" s="330" t="str">
        <f t="shared" si="19"/>
        <v/>
      </c>
      <c r="K66" s="735"/>
    </row>
    <row r="67" spans="1:11" ht="12.75" customHeight="1" x14ac:dyDescent="0.25">
      <c r="A67" s="87" t="s">
        <v>770</v>
      </c>
      <c r="B67" s="169">
        <v>2</v>
      </c>
      <c r="C67" s="516">
        <f t="shared" ref="C67:K67" si="20">SUM(C54:C66)</f>
        <v>0</v>
      </c>
      <c r="D67" s="475">
        <f t="shared" si="20"/>
        <v>0</v>
      </c>
      <c r="E67" s="430">
        <f t="shared" si="20"/>
        <v>0</v>
      </c>
      <c r="F67" s="430">
        <f>SUM(F54:F66)</f>
        <v>0</v>
      </c>
      <c r="G67" s="430">
        <f>SUM(G54:G66)</f>
        <v>0</v>
      </c>
      <c r="H67" s="430">
        <f>SUM(H54:H66)</f>
        <v>0</v>
      </c>
      <c r="I67" s="430">
        <f t="shared" si="18"/>
        <v>0</v>
      </c>
      <c r="J67" s="431" t="str">
        <f>IF(I67=0,"",I67/H67)</f>
        <v/>
      </c>
      <c r="K67" s="513">
        <f t="shared" si="20"/>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21">G71-H71</f>
        <v>0</v>
      </c>
      <c r="J71" s="330" t="str">
        <f t="shared" ref="J71:J82" si="22">IF(I71=0,"",I71/H71)</f>
        <v/>
      </c>
      <c r="K71" s="735"/>
    </row>
    <row r="72" spans="1:11" ht="12.75" customHeight="1" x14ac:dyDescent="0.25">
      <c r="A72" s="518" t="s">
        <v>1048</v>
      </c>
      <c r="B72" s="169"/>
      <c r="C72" s="748"/>
      <c r="D72" s="745"/>
      <c r="E72" s="733"/>
      <c r="F72" s="733"/>
      <c r="G72" s="733"/>
      <c r="H72" s="733"/>
      <c r="I72" s="44">
        <f t="shared" si="21"/>
        <v>0</v>
      </c>
      <c r="J72" s="330" t="str">
        <f t="shared" si="22"/>
        <v/>
      </c>
      <c r="K72" s="735"/>
    </row>
    <row r="73" spans="1:11" ht="12.75" customHeight="1" x14ac:dyDescent="0.25">
      <c r="A73" s="518" t="s">
        <v>427</v>
      </c>
      <c r="B73" s="169"/>
      <c r="C73" s="748"/>
      <c r="D73" s="745"/>
      <c r="E73" s="733"/>
      <c r="F73" s="733"/>
      <c r="G73" s="733"/>
      <c r="H73" s="733"/>
      <c r="I73" s="44">
        <f t="shared" si="21"/>
        <v>0</v>
      </c>
      <c r="J73" s="330" t="str">
        <f t="shared" si="22"/>
        <v/>
      </c>
      <c r="K73" s="735"/>
    </row>
    <row r="74" spans="1:11" ht="12.75" customHeight="1" x14ac:dyDescent="0.25">
      <c r="A74" s="518" t="s">
        <v>539</v>
      </c>
      <c r="B74" s="169"/>
      <c r="C74" s="748"/>
      <c r="D74" s="745"/>
      <c r="E74" s="733"/>
      <c r="F74" s="733"/>
      <c r="G74" s="733"/>
      <c r="H74" s="733"/>
      <c r="I74" s="44">
        <f t="shared" si="21"/>
        <v>0</v>
      </c>
      <c r="J74" s="330" t="str">
        <f t="shared" si="22"/>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1049</v>
      </c>
      <c r="B76" s="169"/>
      <c r="C76" s="748"/>
      <c r="D76" s="745"/>
      <c r="E76" s="733"/>
      <c r="F76" s="733"/>
      <c r="G76" s="733"/>
      <c r="H76" s="733"/>
      <c r="I76" s="44">
        <f>G76-H76</f>
        <v>0</v>
      </c>
      <c r="J76" s="330" t="str">
        <f>IF(I76=0,"",I76/H76)</f>
        <v/>
      </c>
      <c r="K76" s="735"/>
    </row>
    <row r="77" spans="1:11" ht="12.75" customHeight="1" x14ac:dyDescent="0.25">
      <c r="A77" s="518" t="s">
        <v>1050</v>
      </c>
      <c r="B77" s="169"/>
      <c r="C77" s="748"/>
      <c r="D77" s="745"/>
      <c r="E77" s="733"/>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1"/>
        <v>0</v>
      </c>
      <c r="J79" s="330" t="str">
        <f t="shared" si="22"/>
        <v/>
      </c>
      <c r="K79" s="735"/>
    </row>
    <row r="80" spans="1:11" ht="12.75" customHeight="1" x14ac:dyDescent="0.25">
      <c r="A80" s="518" t="s">
        <v>1053</v>
      </c>
      <c r="B80" s="169"/>
      <c r="C80" s="748"/>
      <c r="D80" s="745"/>
      <c r="E80" s="733"/>
      <c r="F80" s="733"/>
      <c r="G80" s="733"/>
      <c r="H80" s="733"/>
      <c r="I80" s="44">
        <f t="shared" si="21"/>
        <v>0</v>
      </c>
      <c r="J80" s="330" t="str">
        <f t="shared" si="22"/>
        <v/>
      </c>
      <c r="K80" s="735"/>
    </row>
    <row r="81" spans="1:11" ht="12.75" customHeight="1" x14ac:dyDescent="0.25">
      <c r="A81" s="518" t="s">
        <v>1054</v>
      </c>
      <c r="B81" s="169"/>
      <c r="C81" s="748"/>
      <c r="D81" s="745"/>
      <c r="E81" s="733"/>
      <c r="F81" s="733"/>
      <c r="G81" s="733"/>
      <c r="H81" s="733"/>
      <c r="I81" s="44">
        <f t="shared" si="21"/>
        <v>0</v>
      </c>
      <c r="J81" s="330" t="str">
        <f t="shared" si="22"/>
        <v/>
      </c>
      <c r="K81" s="735"/>
    </row>
    <row r="82" spans="1:11" ht="12.75" customHeight="1" x14ac:dyDescent="0.25">
      <c r="A82" s="518" t="s">
        <v>1055</v>
      </c>
      <c r="B82" s="169">
        <v>2</v>
      </c>
      <c r="C82" s="748"/>
      <c r="D82" s="745"/>
      <c r="E82" s="733"/>
      <c r="F82" s="733"/>
      <c r="G82" s="733"/>
      <c r="H82" s="733"/>
      <c r="I82" s="44">
        <f t="shared" si="21"/>
        <v>0</v>
      </c>
      <c r="J82" s="330" t="str">
        <f t="shared" si="22"/>
        <v/>
      </c>
      <c r="K82" s="735"/>
    </row>
    <row r="83" spans="1:11" ht="12.75" customHeight="1" x14ac:dyDescent="0.25">
      <c r="A83" s="87" t="s">
        <v>831</v>
      </c>
      <c r="B83" s="169"/>
      <c r="C83" s="516">
        <f t="shared" ref="C83:K83" si="23">SUM(C71:C82)</f>
        <v>0</v>
      </c>
      <c r="D83" s="475">
        <f t="shared" si="23"/>
        <v>0</v>
      </c>
      <c r="E83" s="430">
        <f t="shared" si="23"/>
        <v>0</v>
      </c>
      <c r="F83" s="430">
        <f>SUM(F71:F82)</f>
        <v>0</v>
      </c>
      <c r="G83" s="430">
        <f>SUM(G71:G82)</f>
        <v>0</v>
      </c>
      <c r="H83" s="430">
        <f>SUM(H71:H82)</f>
        <v>0</v>
      </c>
      <c r="I83" s="430">
        <f t="shared" si="21"/>
        <v>0</v>
      </c>
      <c r="J83" s="431" t="str">
        <f>IF(I83=0,"",I83/H83)</f>
        <v/>
      </c>
      <c r="K83" s="513">
        <f t="shared" si="23"/>
        <v>0</v>
      </c>
    </row>
    <row r="84" spans="1:11" ht="12.75" customHeight="1" x14ac:dyDescent="0.25">
      <c r="A84" s="565" t="s">
        <v>722</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4">G87-H87</f>
        <v>0</v>
      </c>
      <c r="J87" s="330" t="str">
        <f t="shared" ref="J87:J98" si="25">IF(I87=0,"",I87/H87)</f>
        <v/>
      </c>
      <c r="K87" s="735"/>
    </row>
    <row r="88" spans="1:11" ht="12.75" customHeight="1" x14ac:dyDescent="0.25">
      <c r="A88" s="518" t="s">
        <v>1048</v>
      </c>
      <c r="B88" s="169"/>
      <c r="C88" s="748"/>
      <c r="D88" s="745"/>
      <c r="E88" s="733"/>
      <c r="F88" s="733"/>
      <c r="G88" s="733"/>
      <c r="H88" s="733"/>
      <c r="I88" s="44">
        <f t="shared" si="24"/>
        <v>0</v>
      </c>
      <c r="J88" s="330" t="str">
        <f t="shared" si="25"/>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539</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1049</v>
      </c>
      <c r="B92" s="169"/>
      <c r="C92" s="748"/>
      <c r="D92" s="745"/>
      <c r="E92" s="733"/>
      <c r="F92" s="733"/>
      <c r="G92" s="733"/>
      <c r="H92" s="733"/>
      <c r="I92" s="44">
        <f>G92-H92</f>
        <v>0</v>
      </c>
      <c r="J92" s="330" t="str">
        <f>IF(I92=0,"",I92/H92)</f>
        <v/>
      </c>
      <c r="K92" s="735"/>
    </row>
    <row r="93" spans="1:11" ht="12.75" customHeight="1" x14ac:dyDescent="0.25">
      <c r="A93" s="518" t="s">
        <v>1050</v>
      </c>
      <c r="B93" s="169"/>
      <c r="C93" s="748"/>
      <c r="D93" s="745"/>
      <c r="E93" s="733"/>
      <c r="F93" s="733"/>
      <c r="G93" s="733"/>
      <c r="H93" s="733"/>
      <c r="I93" s="44">
        <f t="shared" si="24"/>
        <v>0</v>
      </c>
      <c r="J93" s="330" t="str">
        <f t="shared" si="25"/>
        <v/>
      </c>
      <c r="K93" s="735"/>
    </row>
    <row r="94" spans="1:11" ht="12.75" customHeight="1" x14ac:dyDescent="0.25">
      <c r="A94" s="518" t="s">
        <v>1051</v>
      </c>
      <c r="B94" s="169"/>
      <c r="C94" s="748"/>
      <c r="D94" s="745"/>
      <c r="E94" s="733"/>
      <c r="F94" s="733"/>
      <c r="G94" s="733"/>
      <c r="H94" s="733"/>
      <c r="I94" s="44">
        <f t="shared" si="24"/>
        <v>0</v>
      </c>
      <c r="J94" s="330" t="str">
        <f t="shared" si="25"/>
        <v/>
      </c>
      <c r="K94" s="735"/>
    </row>
    <row r="95" spans="1:11" ht="12.75" customHeight="1" x14ac:dyDescent="0.25">
      <c r="A95" s="518" t="s">
        <v>1052</v>
      </c>
      <c r="B95" s="169"/>
      <c r="C95" s="748"/>
      <c r="D95" s="745"/>
      <c r="E95" s="733"/>
      <c r="F95" s="733"/>
      <c r="G95" s="733"/>
      <c r="H95" s="733"/>
      <c r="I95" s="44">
        <f t="shared" si="24"/>
        <v>0</v>
      </c>
      <c r="J95" s="330" t="str">
        <f t="shared" si="25"/>
        <v/>
      </c>
      <c r="K95" s="735"/>
    </row>
    <row r="96" spans="1:11" ht="12.75" customHeight="1" x14ac:dyDescent="0.25">
      <c r="A96" s="518" t="s">
        <v>1053</v>
      </c>
      <c r="B96" s="169"/>
      <c r="C96" s="748"/>
      <c r="D96" s="745"/>
      <c r="E96" s="733"/>
      <c r="F96" s="733"/>
      <c r="G96" s="733"/>
      <c r="H96" s="733"/>
      <c r="I96" s="44">
        <f t="shared" si="24"/>
        <v>0</v>
      </c>
      <c r="J96" s="330" t="str">
        <f t="shared" si="25"/>
        <v/>
      </c>
      <c r="K96" s="735"/>
    </row>
    <row r="97" spans="1:14" ht="12.75" customHeight="1" x14ac:dyDescent="0.25">
      <c r="A97" s="518" t="s">
        <v>1054</v>
      </c>
      <c r="B97" s="169"/>
      <c r="C97" s="748"/>
      <c r="D97" s="745"/>
      <c r="E97" s="733"/>
      <c r="F97" s="733"/>
      <c r="G97" s="733"/>
      <c r="H97" s="733"/>
      <c r="I97" s="44">
        <f t="shared" si="24"/>
        <v>0</v>
      </c>
      <c r="J97" s="330" t="str">
        <f t="shared" si="25"/>
        <v/>
      </c>
      <c r="K97" s="735"/>
    </row>
    <row r="98" spans="1:14" ht="12.75" customHeight="1" x14ac:dyDescent="0.25">
      <c r="A98" s="518" t="s">
        <v>1055</v>
      </c>
      <c r="B98" s="169"/>
      <c r="C98" s="748"/>
      <c r="D98" s="745"/>
      <c r="E98" s="733"/>
      <c r="F98" s="733"/>
      <c r="G98" s="733"/>
      <c r="H98" s="733"/>
      <c r="I98" s="44">
        <f t="shared" si="24"/>
        <v>0</v>
      </c>
      <c r="J98" s="330" t="str">
        <f t="shared" si="25"/>
        <v/>
      </c>
      <c r="K98" s="735"/>
    </row>
    <row r="99" spans="1:14" ht="12.75" customHeight="1" x14ac:dyDescent="0.25">
      <c r="A99" s="87" t="s">
        <v>510</v>
      </c>
      <c r="B99" s="169"/>
      <c r="C99" s="516">
        <f t="shared" ref="C99:H99" si="26">SUM(C87:C98)</f>
        <v>0</v>
      </c>
      <c r="D99" s="475">
        <f t="shared" si="26"/>
        <v>0</v>
      </c>
      <c r="E99" s="430">
        <f t="shared" si="26"/>
        <v>0</v>
      </c>
      <c r="F99" s="430">
        <f t="shared" si="26"/>
        <v>0</v>
      </c>
      <c r="G99" s="430">
        <f t="shared" si="26"/>
        <v>0</v>
      </c>
      <c r="H99" s="430">
        <f t="shared" si="26"/>
        <v>0</v>
      </c>
      <c r="I99" s="430">
        <f t="shared" si="24"/>
        <v>0</v>
      </c>
      <c r="J99" s="431" t="str">
        <f>IF(I99=0,"",I99/H99)</f>
        <v/>
      </c>
      <c r="K99" s="513">
        <f>SUM(K87:K98)</f>
        <v>0</v>
      </c>
    </row>
    <row r="100" spans="1:14" ht="12.75" customHeight="1" x14ac:dyDescent="0.25">
      <c r="A100" s="565" t="s">
        <v>722</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7">C67+C83+C99</f>
        <v>0</v>
      </c>
      <c r="D102" s="475">
        <f t="shared" si="27"/>
        <v>0</v>
      </c>
      <c r="E102" s="430">
        <f t="shared" si="27"/>
        <v>0</v>
      </c>
      <c r="F102" s="430">
        <f t="shared" si="27"/>
        <v>0</v>
      </c>
      <c r="G102" s="430">
        <f t="shared" si="27"/>
        <v>0</v>
      </c>
      <c r="H102" s="430">
        <f t="shared" si="27"/>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8">C49+C102</f>
        <v>0</v>
      </c>
      <c r="D104" s="56">
        <f t="shared" si="28"/>
        <v>1483847874.727263</v>
      </c>
      <c r="E104" s="55">
        <f t="shared" si="28"/>
        <v>1483847874.727263</v>
      </c>
      <c r="F104" s="55">
        <f t="shared" si="28"/>
        <v>171991161.16999996</v>
      </c>
      <c r="G104" s="55">
        <f t="shared" si="28"/>
        <v>508416425.78000003</v>
      </c>
      <c r="H104" s="55">
        <f t="shared" si="28"/>
        <v>494615958.24242109</v>
      </c>
      <c r="I104" s="55">
        <f>G104-H104</f>
        <v>13800467.53757894</v>
      </c>
      <c r="J104" s="332">
        <f>IF(I104=0,"",I104/H104)</f>
        <v>2.7901379459364425E-2</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9">C30+C46+C83+C99</f>
        <v>0</v>
      </c>
      <c r="D106" s="56">
        <f t="shared" si="29"/>
        <v>1430197473.6117828</v>
      </c>
      <c r="E106" s="55">
        <f t="shared" si="29"/>
        <v>1430197473.6117828</v>
      </c>
      <c r="F106" s="55">
        <f t="shared" si="29"/>
        <v>168003045.65999997</v>
      </c>
      <c r="G106" s="55">
        <f t="shared" si="29"/>
        <v>490803932.57999998</v>
      </c>
      <c r="H106" s="55">
        <f t="shared" si="29"/>
        <v>476732491.20392776</v>
      </c>
      <c r="I106" s="55">
        <f t="shared" si="29"/>
        <v>14071441.376072263</v>
      </c>
      <c r="J106" s="888">
        <f>IF(I106=0,"",I106/H106)</f>
        <v>2.95164303581168E-2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O12" sqref="O12"/>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M04 October</v>
      </c>
      <c r="B1" s="68"/>
    </row>
    <row r="2" spans="1:17" ht="25.5" customHeight="1" x14ac:dyDescent="0.25">
      <c r="A2" s="1043" t="str">
        <f>desc</f>
        <v>Description</v>
      </c>
      <c r="B2" s="1036" t="str">
        <f>head27</f>
        <v>Ref</v>
      </c>
      <c r="C2" s="1038" t="str">
        <f>Head2</f>
        <v>Budget Year 2020/21</v>
      </c>
      <c r="D2" s="1039"/>
      <c r="E2" s="1039"/>
      <c r="F2" s="1039"/>
      <c r="G2" s="1039"/>
      <c r="H2" s="1039"/>
      <c r="I2" s="1039"/>
      <c r="J2" s="1039"/>
      <c r="K2" s="1039"/>
      <c r="L2" s="1039"/>
      <c r="M2" s="1039"/>
      <c r="N2" s="1090"/>
      <c r="O2" s="1038" t="str">
        <f>'Template names'!B5</f>
        <v>2020/21 Medium Term Revenue &amp; Expenditure Framework</v>
      </c>
      <c r="P2" s="1039"/>
      <c r="Q2" s="1040"/>
    </row>
    <row r="3" spans="1:17" ht="12.75" customHeight="1" x14ac:dyDescent="0.25">
      <c r="A3" s="1044"/>
      <c r="B3" s="1047"/>
      <c r="C3" s="143" t="s">
        <v>782</v>
      </c>
      <c r="D3" s="27" t="s">
        <v>905</v>
      </c>
      <c r="E3" s="27" t="s">
        <v>3</v>
      </c>
      <c r="F3" s="27" t="s">
        <v>906</v>
      </c>
      <c r="G3" s="27" t="s">
        <v>4</v>
      </c>
      <c r="H3" s="27" t="s">
        <v>5</v>
      </c>
      <c r="I3" s="27" t="s">
        <v>909</v>
      </c>
      <c r="J3" s="27" t="s">
        <v>6</v>
      </c>
      <c r="K3" s="27" t="s">
        <v>911</v>
      </c>
      <c r="L3" s="27" t="s">
        <v>912</v>
      </c>
      <c r="M3" s="27" t="s">
        <v>913</v>
      </c>
      <c r="N3" s="163" t="s">
        <v>914</v>
      </c>
      <c r="O3" s="1088" t="str">
        <f>Head9</f>
        <v>Budget Year 2020/21</v>
      </c>
      <c r="P3" s="1084" t="str">
        <f>Head10</f>
        <v>Budget Year +1 2021/22</v>
      </c>
      <c r="Q3" s="1086"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9"/>
      <c r="P4" s="1085"/>
      <c r="Q4" s="1087"/>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F28" sqref="F28:G28"/>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"&amp;S71P&amp; " - "&amp;Head57</f>
        <v>KZN225 Msunduzi - NOT REQUIRED - municipality does not have entities or this is the parent municipality's budget - M04 October</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102857049.88999997</v>
      </c>
      <c r="G6" s="733">
        <v>410877976.39000005</v>
      </c>
      <c r="H6" s="733">
        <f>E6/12*4</f>
        <v>423264864.67393327</v>
      </c>
      <c r="I6" s="44">
        <f t="shared" ref="I6:I21" si="0">G6-H6</f>
        <v>-12386888.283933222</v>
      </c>
      <c r="J6" s="330">
        <f>IF(I6=0,"",I6/H6)</f>
        <v>-2.92650992741285E-2</v>
      </c>
      <c r="K6" s="735">
        <f>E6</f>
        <v>1269794594.0217998</v>
      </c>
    </row>
    <row r="7" spans="1:11" ht="12.75" customHeight="1" x14ac:dyDescent="0.25">
      <c r="A7" s="39" t="str">
        <f>'C4-FinPerf RE'!A7</f>
        <v>Service charges - electricity revenue</v>
      </c>
      <c r="B7" s="169"/>
      <c r="C7" s="748"/>
      <c r="D7" s="745">
        <v>2584775677.1378117</v>
      </c>
      <c r="E7" s="733">
        <v>2584775677.1378117</v>
      </c>
      <c r="F7" s="733">
        <v>195623534.37999997</v>
      </c>
      <c r="G7" s="733">
        <v>827166415.86999989</v>
      </c>
      <c r="H7" s="733">
        <f>E7/12*4</f>
        <v>861591892.37927055</v>
      </c>
      <c r="I7" s="44">
        <f t="shared" si="0"/>
        <v>-34425476.509270668</v>
      </c>
      <c r="J7" s="330">
        <f t="shared" ref="J7:J22" si="1">IF(I7=0,"",I7/H7)</f>
        <v>-3.995566440882508E-2</v>
      </c>
      <c r="K7" s="735">
        <f>E7</f>
        <v>2584775677.1378117</v>
      </c>
    </row>
    <row r="8" spans="1:11" ht="12.75" customHeight="1" x14ac:dyDescent="0.25">
      <c r="A8" s="86" t="str">
        <f>'C4-FinPerf RE'!A8</f>
        <v>Service charges - water revenue</v>
      </c>
      <c r="B8" s="171"/>
      <c r="C8" s="748"/>
      <c r="D8" s="745">
        <v>722633094.82360029</v>
      </c>
      <c r="E8" s="733">
        <v>722633094.82360029</v>
      </c>
      <c r="F8" s="733">
        <v>67666937.689999998</v>
      </c>
      <c r="G8" s="733">
        <v>260278245.35000002</v>
      </c>
      <c r="H8" s="733">
        <f>E8/12*4</f>
        <v>240877698.27453342</v>
      </c>
      <c r="I8" s="44">
        <f t="shared" si="0"/>
        <v>19400547.075466603</v>
      </c>
      <c r="J8" s="330">
        <f t="shared" si="1"/>
        <v>8.0541067996072385E-2</v>
      </c>
      <c r="K8" s="735">
        <f>E8</f>
        <v>722633094.82360029</v>
      </c>
    </row>
    <row r="9" spans="1:11" ht="12.75" customHeight="1" x14ac:dyDescent="0.25">
      <c r="A9" s="86" t="str">
        <f>'C4-FinPerf RE'!A9</f>
        <v>Service charges - sanitation revenue</v>
      </c>
      <c r="B9" s="171"/>
      <c r="C9" s="748"/>
      <c r="D9" s="745">
        <v>152021749.3608</v>
      </c>
      <c r="E9" s="733">
        <v>152021749.3608</v>
      </c>
      <c r="F9" s="733">
        <v>14052702.18</v>
      </c>
      <c r="G9" s="733">
        <v>50758311.840000004</v>
      </c>
      <c r="H9" s="733">
        <f>E9/12*4</f>
        <v>50673916.453599997</v>
      </c>
      <c r="I9" s="44">
        <f t="shared" si="0"/>
        <v>84395.386400006711</v>
      </c>
      <c r="J9" s="330">
        <f t="shared" si="1"/>
        <v>1.6654601086001329E-3</v>
      </c>
      <c r="K9" s="735">
        <f>E9</f>
        <v>152021749.3608</v>
      </c>
    </row>
    <row r="10" spans="1:11" ht="12.75" customHeight="1" x14ac:dyDescent="0.25">
      <c r="A10" s="86" t="str">
        <f>'C4-FinPerf RE'!A10</f>
        <v>Service charges - refuse revenue</v>
      </c>
      <c r="B10" s="171"/>
      <c r="C10" s="748"/>
      <c r="D10" s="745">
        <v>116333080.9707</v>
      </c>
      <c r="E10" s="733">
        <v>116333080.9707</v>
      </c>
      <c r="F10" s="733">
        <v>8861111.7199999988</v>
      </c>
      <c r="G10" s="733">
        <v>35609090.090000004</v>
      </c>
      <c r="H10" s="733">
        <f>E10/12*4</f>
        <v>38777693.656899996</v>
      </c>
      <c r="I10" s="44">
        <f t="shared" si="0"/>
        <v>-3168603.5668999925</v>
      </c>
      <c r="J10" s="330">
        <f t="shared" si="1"/>
        <v>-8.1712017092490999E-2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2018871.2800000007</v>
      </c>
      <c r="G12" s="733">
        <v>-286179.94000000041</v>
      </c>
      <c r="H12" s="733">
        <f>E12/12*4</f>
        <v>9692932.542333331</v>
      </c>
      <c r="I12" s="44">
        <f t="shared" si="0"/>
        <v>-9979112.4823333323</v>
      </c>
      <c r="J12" s="330">
        <f t="shared" si="1"/>
        <v>-1.0295245983349339</v>
      </c>
      <c r="K12" s="735">
        <f>E12</f>
        <v>29078797.626999993</v>
      </c>
    </row>
    <row r="13" spans="1:11" ht="12.75" customHeight="1" x14ac:dyDescent="0.25">
      <c r="A13" s="86" t="str">
        <f>'C4-FinPerf RE'!A13</f>
        <v>Interest earned - external investments</v>
      </c>
      <c r="B13" s="171"/>
      <c r="C13" s="748"/>
      <c r="D13" s="745">
        <v>15260422.42725</v>
      </c>
      <c r="E13" s="733">
        <v>15260422.42725</v>
      </c>
      <c r="F13" s="733">
        <v>786652.22999999986</v>
      </c>
      <c r="G13" s="733">
        <v>2668685.9000000004</v>
      </c>
      <c r="H13" s="733">
        <f>E13/12*4</f>
        <v>5086807.4757500002</v>
      </c>
      <c r="I13" s="44">
        <f t="shared" si="0"/>
        <v>-2418121.5757499998</v>
      </c>
      <c r="J13" s="330">
        <f t="shared" si="1"/>
        <v>-0.47537116104310029</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11675799.190000003</v>
      </c>
      <c r="G14" s="733">
        <v>57118966.130000003</v>
      </c>
      <c r="H14" s="733">
        <f>E14/12*4</f>
        <v>67485931.29519999</v>
      </c>
      <c r="I14" s="44">
        <f t="shared" si="0"/>
        <v>-10366965.165199988</v>
      </c>
      <c r="J14" s="330">
        <f t="shared" si="1"/>
        <v>-0.15361668671137313</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-68803.61</v>
      </c>
      <c r="G16" s="733">
        <v>-291994.37</v>
      </c>
      <c r="H16" s="733">
        <f t="shared" ref="H16:H20" si="2">E16/12*4</f>
        <v>599517.14789999998</v>
      </c>
      <c r="I16" s="44">
        <f t="shared" si="0"/>
        <v>-891511.51789999998</v>
      </c>
      <c r="J16" s="330">
        <f t="shared" si="1"/>
        <v>-1.4870492379122155</v>
      </c>
      <c r="K16" s="735">
        <f t="shared" ref="K16:K20" si="3">E16</f>
        <v>1798551.4436999999</v>
      </c>
    </row>
    <row r="17" spans="1:11" ht="12.75" customHeight="1" x14ac:dyDescent="0.25">
      <c r="A17" s="86" t="str">
        <f>'C4-FinPerf RE'!A17</f>
        <v>Licences and permits</v>
      </c>
      <c r="B17" s="171"/>
      <c r="C17" s="748"/>
      <c r="D17" s="745">
        <v>1119569.0055</v>
      </c>
      <c r="E17" s="733">
        <v>1119569.0055</v>
      </c>
      <c r="F17" s="733">
        <v>20485.099999999999</v>
      </c>
      <c r="G17" s="733">
        <v>193313.11000000002</v>
      </c>
      <c r="H17" s="733">
        <f t="shared" si="2"/>
        <v>373189.66849999997</v>
      </c>
      <c r="I17" s="44">
        <f t="shared" si="0"/>
        <v>-179876.55849999996</v>
      </c>
      <c r="J17" s="330">
        <f t="shared" si="1"/>
        <v>-0.48199769094090011</v>
      </c>
      <c r="K17" s="735">
        <f t="shared" si="3"/>
        <v>1119569.0055</v>
      </c>
    </row>
    <row r="18" spans="1:11" ht="12.75" customHeight="1" x14ac:dyDescent="0.25">
      <c r="A18" s="86" t="str">
        <f>'C4-FinPerf RE'!A18</f>
        <v>Agency services</v>
      </c>
      <c r="B18" s="171"/>
      <c r="C18" s="748"/>
      <c r="D18" s="745">
        <v>601902.02599999995</v>
      </c>
      <c r="E18" s="733">
        <v>601902.02599999995</v>
      </c>
      <c r="F18" s="733"/>
      <c r="G18" s="733"/>
      <c r="H18" s="733">
        <f t="shared" si="2"/>
        <v>200634.00866666666</v>
      </c>
      <c r="I18" s="44">
        <f t="shared" si="0"/>
        <v>-200634.00866666666</v>
      </c>
      <c r="J18" s="330">
        <f t="shared" si="1"/>
        <v>-1</v>
      </c>
      <c r="K18" s="735">
        <f t="shared" si="3"/>
        <v>601902.02599999995</v>
      </c>
    </row>
    <row r="19" spans="1:11" ht="12.75" customHeight="1" x14ac:dyDescent="0.25">
      <c r="A19" s="86" t="str">
        <f>'C4-FinPerf RE'!A19</f>
        <v>Transfers and subsidies</v>
      </c>
      <c r="B19" s="171"/>
      <c r="C19" s="748"/>
      <c r="D19" s="745">
        <v>675483240</v>
      </c>
      <c r="E19" s="733">
        <v>764481240</v>
      </c>
      <c r="F19" s="733">
        <v>7377564.3099999996</v>
      </c>
      <c r="G19" s="733">
        <v>288267367.53000003</v>
      </c>
      <c r="H19" s="733">
        <f t="shared" si="2"/>
        <v>254827080</v>
      </c>
      <c r="I19" s="44">
        <f t="shared" si="0"/>
        <v>33440287.530000031</v>
      </c>
      <c r="J19" s="330">
        <f t="shared" si="1"/>
        <v>0.13122737006600724</v>
      </c>
      <c r="K19" s="735">
        <f t="shared" si="3"/>
        <v>764481240</v>
      </c>
    </row>
    <row r="20" spans="1:11" ht="12.75" customHeight="1" x14ac:dyDescent="0.25">
      <c r="A20" s="86" t="str">
        <f>'C4-FinPerf RE'!A20</f>
        <v>Other revenue</v>
      </c>
      <c r="B20" s="171"/>
      <c r="C20" s="748"/>
      <c r="D20" s="745">
        <v>146451785.14229998</v>
      </c>
      <c r="E20" s="733">
        <v>146451785.14229998</v>
      </c>
      <c r="F20" s="733">
        <v>51259027.399999984</v>
      </c>
      <c r="G20" s="733">
        <v>57700955.399999984</v>
      </c>
      <c r="H20" s="733">
        <f t="shared" si="2"/>
        <v>48817261.714099996</v>
      </c>
      <c r="I20" s="44">
        <f t="shared" si="0"/>
        <v>8883693.6858999878</v>
      </c>
      <c r="J20" s="330">
        <f t="shared" si="1"/>
        <v>0.18197853328864799</v>
      </c>
      <c r="K20" s="735">
        <f t="shared" si="3"/>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4">SUM(C6:C10)+SUM(C12:C21)</f>
        <v>0</v>
      </c>
      <c r="D22" s="74">
        <f t="shared" si="4"/>
        <v>5917810257.8720617</v>
      </c>
      <c r="E22" s="73">
        <f t="shared" si="4"/>
        <v>6006808257.8720617</v>
      </c>
      <c r="F22" s="73">
        <f t="shared" si="4"/>
        <v>462130931.75999987</v>
      </c>
      <c r="G22" s="73">
        <f t="shared" si="4"/>
        <v>1990061153.3</v>
      </c>
      <c r="H22" s="73">
        <f t="shared" si="4"/>
        <v>2002269419.2906871</v>
      </c>
      <c r="I22" s="73">
        <f>G22-H22</f>
        <v>-12208265.990687132</v>
      </c>
      <c r="J22" s="331">
        <f t="shared" si="1"/>
        <v>-6.0972144273231544E-3</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168003045.66000021</v>
      </c>
      <c r="G25" s="733">
        <v>490803932.57999992</v>
      </c>
      <c r="H25" s="733">
        <f t="shared" ref="H25:H34" si="5">E25/12*4</f>
        <v>492774768.08316946</v>
      </c>
      <c r="I25" s="44">
        <f t="shared" ref="I25:I44" si="6">G25-H25</f>
        <v>-1970835.5031695366</v>
      </c>
      <c r="J25" s="330">
        <f t="shared" ref="J25:J44" si="7">IF(I25=0,"",I25/H25)</f>
        <v>-3.9994651325915764E-3</v>
      </c>
      <c r="K25" s="735">
        <f t="shared" ref="K25:K34" si="8">E25</f>
        <v>1478324304.2495084</v>
      </c>
    </row>
    <row r="26" spans="1:11" ht="12.75" customHeight="1" x14ac:dyDescent="0.25">
      <c r="A26" s="39" t="str">
        <f>'C4-FinPerf RE'!A26</f>
        <v>Remuneration of councillors</v>
      </c>
      <c r="B26" s="169"/>
      <c r="C26" s="748"/>
      <c r="D26" s="745">
        <v>53650401.115479976</v>
      </c>
      <c r="E26" s="733">
        <v>53650401.439999998</v>
      </c>
      <c r="F26" s="733">
        <v>3988115.5100000007</v>
      </c>
      <c r="G26" s="733">
        <v>17612493.200000007</v>
      </c>
      <c r="H26" s="733">
        <f t="shared" si="5"/>
        <v>17883467.146666665</v>
      </c>
      <c r="I26" s="44">
        <f t="shared" si="6"/>
        <v>-270973.94666665792</v>
      </c>
      <c r="J26" s="330">
        <f t="shared" si="7"/>
        <v>-1.5152204236702797E-2</v>
      </c>
      <c r="K26" s="735">
        <f t="shared" si="8"/>
        <v>53650401.439999998</v>
      </c>
    </row>
    <row r="27" spans="1:11" ht="12.75" customHeight="1" x14ac:dyDescent="0.25">
      <c r="A27" s="39" t="str">
        <f>'C4-FinPerf RE'!A27</f>
        <v>Debt impairment</v>
      </c>
      <c r="B27" s="171"/>
      <c r="C27" s="748"/>
      <c r="D27" s="745">
        <v>123904143.27200001</v>
      </c>
      <c r="E27" s="733">
        <v>123904143.27200001</v>
      </c>
      <c r="F27" s="733">
        <v>972258.18</v>
      </c>
      <c r="G27" s="733">
        <v>2967709.2399999998</v>
      </c>
      <c r="H27" s="733">
        <f t="shared" si="5"/>
        <v>41301381.090666674</v>
      </c>
      <c r="I27" s="44">
        <f t="shared" si="6"/>
        <v>-38333671.850666672</v>
      </c>
      <c r="J27" s="330">
        <f t="shared" si="7"/>
        <v>-0.92814503627650724</v>
      </c>
      <c r="K27" s="735">
        <f t="shared" si="8"/>
        <v>123904143.27200001</v>
      </c>
    </row>
    <row r="28" spans="1:11" ht="12.75" customHeight="1" x14ac:dyDescent="0.25">
      <c r="A28" s="39" t="str">
        <f>'C4-FinPerf RE'!A28</f>
        <v>Depreciation &amp; asset impairment</v>
      </c>
      <c r="B28" s="171"/>
      <c r="C28" s="748"/>
      <c r="D28" s="745">
        <v>488991448.27473986</v>
      </c>
      <c r="E28" s="733">
        <v>481491449.27473986</v>
      </c>
      <c r="F28" s="733">
        <v>35766938.970000036</v>
      </c>
      <c r="G28" s="733">
        <v>141804590.7400001</v>
      </c>
      <c r="H28" s="733">
        <f t="shared" si="5"/>
        <v>160497149.75824663</v>
      </c>
      <c r="I28" s="44">
        <f t="shared" si="6"/>
        <v>-18692559.018246531</v>
      </c>
      <c r="J28" s="330">
        <f t="shared" si="7"/>
        <v>-0.11646661044387846</v>
      </c>
      <c r="K28" s="735">
        <f t="shared" si="8"/>
        <v>481491449.27473986</v>
      </c>
    </row>
    <row r="29" spans="1:11" ht="12.75" customHeight="1" x14ac:dyDescent="0.25">
      <c r="A29" s="39" t="str">
        <f>'C4-FinPerf RE'!A29</f>
        <v>Finance charges</v>
      </c>
      <c r="B29" s="171"/>
      <c r="C29" s="748"/>
      <c r="D29" s="745">
        <v>31793212.220000003</v>
      </c>
      <c r="E29" s="733">
        <v>36505334.219999969</v>
      </c>
      <c r="F29" s="733">
        <v>3064176.8</v>
      </c>
      <c r="G29" s="733">
        <v>13473629.15</v>
      </c>
      <c r="H29" s="733">
        <f t="shared" si="5"/>
        <v>12168444.739999989</v>
      </c>
      <c r="I29" s="44">
        <f t="shared" si="6"/>
        <v>1305184.4100000113</v>
      </c>
      <c r="J29" s="330">
        <f t="shared" si="7"/>
        <v>0.1072597556949593</v>
      </c>
      <c r="K29" s="735">
        <f t="shared" si="8"/>
        <v>36505334.219999969</v>
      </c>
    </row>
    <row r="30" spans="1:11" ht="12.75" customHeight="1" x14ac:dyDescent="0.25">
      <c r="A30" s="39" t="str">
        <f>'C4-FinPerf RE'!A30</f>
        <v>Bulk purchases</v>
      </c>
      <c r="B30" s="171"/>
      <c r="C30" s="748"/>
      <c r="D30" s="745">
        <v>2608224084.5041752</v>
      </c>
      <c r="E30" s="733">
        <v>2608224084.5041752</v>
      </c>
      <c r="F30" s="733">
        <v>112972471.25999999</v>
      </c>
      <c r="G30" s="733">
        <v>982653426.85000014</v>
      </c>
      <c r="H30" s="733">
        <f t="shared" si="5"/>
        <v>869408028.1680584</v>
      </c>
      <c r="I30" s="44">
        <f t="shared" si="6"/>
        <v>113245398.68194175</v>
      </c>
      <c r="J30" s="330">
        <f t="shared" si="7"/>
        <v>0.1302557545052381</v>
      </c>
      <c r="K30" s="735">
        <f t="shared" si="8"/>
        <v>2608224084.5041752</v>
      </c>
    </row>
    <row r="31" spans="1:11" ht="12.75" customHeight="1" x14ac:dyDescent="0.25">
      <c r="A31" s="39" t="str">
        <f>'C4-FinPerf RE'!A31</f>
        <v>Other materials</v>
      </c>
      <c r="B31" s="171"/>
      <c r="C31" s="748"/>
      <c r="D31" s="745">
        <v>46574816.042614385</v>
      </c>
      <c r="E31" s="733">
        <v>63670207.006963424</v>
      </c>
      <c r="F31" s="733">
        <v>4836287.1899999995</v>
      </c>
      <c r="G31" s="733">
        <v>5169028.6500000032</v>
      </c>
      <c r="H31" s="733">
        <f t="shared" si="5"/>
        <v>21223402.335654475</v>
      </c>
      <c r="I31" s="44">
        <f t="shared" si="6"/>
        <v>-16054373.685654473</v>
      </c>
      <c r="J31" s="330">
        <f t="shared" si="7"/>
        <v>-0.75644674834645909</v>
      </c>
      <c r="K31" s="735">
        <f t="shared" si="8"/>
        <v>63670207.006963424</v>
      </c>
    </row>
    <row r="32" spans="1:11" ht="12.75" customHeight="1" x14ac:dyDescent="0.25">
      <c r="A32" s="39" t="str">
        <f>'C4-FinPerf RE'!A32</f>
        <v>Contracted services</v>
      </c>
      <c r="B32" s="171"/>
      <c r="C32" s="748"/>
      <c r="D32" s="745">
        <v>463787100.72254992</v>
      </c>
      <c r="E32" s="733">
        <v>490524718.2633999</v>
      </c>
      <c r="F32" s="733">
        <v>47042252.930000007</v>
      </c>
      <c r="G32" s="733">
        <v>141295053.22999999</v>
      </c>
      <c r="H32" s="733">
        <f t="shared" si="5"/>
        <v>163508239.42113331</v>
      </c>
      <c r="I32" s="44">
        <f t="shared" si="6"/>
        <v>-22213186.19113332</v>
      </c>
      <c r="J32" s="330">
        <f t="shared" si="7"/>
        <v>-0.13585361979172705</v>
      </c>
      <c r="K32" s="735">
        <f t="shared" si="8"/>
        <v>490524718.2633999</v>
      </c>
    </row>
    <row r="33" spans="1:11" ht="12.75" customHeight="1" x14ac:dyDescent="0.25">
      <c r="A33" s="39" t="str">
        <f>'C4-FinPerf RE'!A33</f>
        <v>Transfers and subsidies</v>
      </c>
      <c r="B33" s="171"/>
      <c r="C33" s="748"/>
      <c r="D33" s="745">
        <v>25080461.44304001</v>
      </c>
      <c r="E33" s="733">
        <v>58680462</v>
      </c>
      <c r="F33" s="733">
        <v>2787053.2900000005</v>
      </c>
      <c r="G33" s="733">
        <v>15228378.359999996</v>
      </c>
      <c r="H33" s="733">
        <f t="shared" si="5"/>
        <v>19560154</v>
      </c>
      <c r="I33" s="44">
        <f t="shared" si="6"/>
        <v>-4331775.6400000043</v>
      </c>
      <c r="J33" s="330">
        <f t="shared" si="7"/>
        <v>-0.22145917869562809</v>
      </c>
      <c r="K33" s="735">
        <f t="shared" si="8"/>
        <v>58680462</v>
      </c>
    </row>
    <row r="34" spans="1:11" ht="12.75" customHeight="1" x14ac:dyDescent="0.25">
      <c r="A34" s="39" t="str">
        <f>'C4-FinPerf RE'!A34</f>
        <v>Other expenditure</v>
      </c>
      <c r="B34" s="171"/>
      <c r="C34" s="748"/>
      <c r="D34" s="745">
        <v>192585810.36394995</v>
      </c>
      <c r="E34" s="733">
        <v>164553065.99999997</v>
      </c>
      <c r="F34" s="733">
        <v>15752339.899999984</v>
      </c>
      <c r="G34" s="733">
        <v>57310831.189999968</v>
      </c>
      <c r="H34" s="733">
        <f t="shared" si="5"/>
        <v>54851021.999999993</v>
      </c>
      <c r="I34" s="44">
        <f t="shared" si="6"/>
        <v>2459809.1899999753</v>
      </c>
      <c r="J34" s="330">
        <f t="shared" si="7"/>
        <v>4.4845275444457086E-2</v>
      </c>
      <c r="K34" s="735">
        <f t="shared" si="8"/>
        <v>164553065.99999997</v>
      </c>
    </row>
    <row r="35" spans="1:11" ht="12.75" customHeight="1" x14ac:dyDescent="0.25">
      <c r="A35" s="39" t="str">
        <f>'C4-FinPerf RE'!A35</f>
        <v>Losses</v>
      </c>
      <c r="B35" s="169"/>
      <c r="C35" s="748"/>
      <c r="D35" s="745">
        <v>0</v>
      </c>
      <c r="E35" s="733"/>
      <c r="F35" s="733"/>
      <c r="G35" s="733"/>
      <c r="H35" s="733"/>
      <c r="I35" s="44">
        <f t="shared" si="6"/>
        <v>0</v>
      </c>
      <c r="J35" s="330" t="str">
        <f t="shared" si="7"/>
        <v/>
      </c>
      <c r="K35" s="735"/>
    </row>
    <row r="36" spans="1:11" ht="12.75" customHeight="1" x14ac:dyDescent="0.25">
      <c r="A36" s="350" t="s">
        <v>488</v>
      </c>
      <c r="B36" s="569"/>
      <c r="C36" s="243">
        <f t="shared" ref="C36:H36" si="9">SUM(C25:C35)</f>
        <v>0</v>
      </c>
      <c r="D36" s="74">
        <f t="shared" si="9"/>
        <v>5501964562.0327282</v>
      </c>
      <c r="E36" s="73">
        <f t="shared" si="9"/>
        <v>5559528170.2307873</v>
      </c>
      <c r="F36" s="73">
        <f t="shared" si="9"/>
        <v>395184939.69000024</v>
      </c>
      <c r="G36" s="73">
        <f t="shared" si="9"/>
        <v>1868319073.1900003</v>
      </c>
      <c r="H36" s="73">
        <f t="shared" si="9"/>
        <v>1853176056.7435956</v>
      </c>
      <c r="I36" s="73">
        <f t="shared" si="6"/>
        <v>15143016.446404696</v>
      </c>
      <c r="J36" s="331">
        <f t="shared" si="7"/>
        <v>8.1713857629987039E-3</v>
      </c>
      <c r="K36" s="145">
        <f>SUM(K25:K35)</f>
        <v>5559528170.2307873</v>
      </c>
    </row>
    <row r="37" spans="1:11" ht="5.0999999999999996" customHeight="1" x14ac:dyDescent="0.25">
      <c r="A37" s="42"/>
      <c r="B37" s="169"/>
      <c r="C37" s="134"/>
      <c r="D37" s="46"/>
      <c r="E37" s="44"/>
      <c r="F37" s="44"/>
      <c r="G37" s="44"/>
      <c r="H37" s="44"/>
      <c r="I37" s="44">
        <f t="shared" si="6"/>
        <v>0</v>
      </c>
      <c r="J37" s="330"/>
      <c r="K37" s="144"/>
    </row>
    <row r="38" spans="1:11" ht="12.75" customHeight="1" x14ac:dyDescent="0.25">
      <c r="A38" s="87" t="str">
        <f>'C4-FinPerf RE'!A38</f>
        <v>Surplus/(Deficit)</v>
      </c>
      <c r="B38" s="169"/>
      <c r="C38" s="134">
        <f t="shared" ref="C38:H38" si="10">C22-C36</f>
        <v>0</v>
      </c>
      <c r="D38" s="46">
        <f t="shared" si="10"/>
        <v>415845695.83933353</v>
      </c>
      <c r="E38" s="44">
        <f t="shared" si="10"/>
        <v>447280087.64127445</v>
      </c>
      <c r="F38" s="44">
        <f t="shared" si="10"/>
        <v>66945992.069999635</v>
      </c>
      <c r="G38" s="44">
        <f t="shared" si="10"/>
        <v>121742080.10999966</v>
      </c>
      <c r="H38" s="44">
        <f t="shared" si="10"/>
        <v>149093362.54709148</v>
      </c>
      <c r="I38" s="44">
        <f t="shared" si="6"/>
        <v>-27351282.437091827</v>
      </c>
      <c r="J38" s="330">
        <f t="shared" si="7"/>
        <v>-0.18345070477871114</v>
      </c>
      <c r="K38" s="144">
        <f>K22-K36</f>
        <v>447280087.64127445</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43611708.060000002</v>
      </c>
      <c r="G39" s="733">
        <v>119308719.88000003</v>
      </c>
      <c r="H39" s="733">
        <f>E39/12*4</f>
        <v>175297193.6666666</v>
      </c>
      <c r="I39" s="44">
        <f t="shared" si="6"/>
        <v>-55988473.786666572</v>
      </c>
      <c r="J39" s="330">
        <f t="shared" si="7"/>
        <v>-0.31939172907200386</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6"/>
        <v>0</v>
      </c>
      <c r="J40" s="330" t="str">
        <f t="shared" si="7"/>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6"/>
        <v>0</v>
      </c>
      <c r="J41" s="330" t="str">
        <f t="shared" si="7"/>
        <v/>
      </c>
      <c r="K41" s="735"/>
    </row>
    <row r="42" spans="1:11" ht="25.5" x14ac:dyDescent="0.25">
      <c r="A42" s="570" t="str">
        <f>'C4-FinPerf RE'!A42</f>
        <v>Surplus/(Deficit) after capital transfers &amp; contributions</v>
      </c>
      <c r="B42" s="309"/>
      <c r="C42" s="571">
        <f>C38+SUM(C39:C41)</f>
        <v>0</v>
      </c>
      <c r="D42" s="572">
        <f t="shared" ref="D42:K42" si="11">D38+SUM(D39:D41)</f>
        <v>941737276.8393333</v>
      </c>
      <c r="E42" s="514">
        <f t="shared" si="11"/>
        <v>973171668.64127421</v>
      </c>
      <c r="F42" s="514">
        <f t="shared" si="11"/>
        <v>110557700.12999964</v>
      </c>
      <c r="G42" s="514">
        <f t="shared" si="11"/>
        <v>241050799.98999968</v>
      </c>
      <c r="H42" s="514">
        <f t="shared" si="11"/>
        <v>324390556.21375811</v>
      </c>
      <c r="I42" s="514">
        <f t="shared" si="6"/>
        <v>-83339756.223758429</v>
      </c>
      <c r="J42" s="515">
        <f t="shared" si="7"/>
        <v>-0.25691178311874607</v>
      </c>
      <c r="K42" s="573">
        <f t="shared" si="11"/>
        <v>973171668.64127421</v>
      </c>
    </row>
    <row r="43" spans="1:11" ht="12.75" customHeight="1" x14ac:dyDescent="0.25">
      <c r="A43" s="111" t="str">
        <f>'C4-FinPerf RE'!A43</f>
        <v>Taxation</v>
      </c>
      <c r="B43" s="169"/>
      <c r="C43" s="748"/>
      <c r="D43" s="745"/>
      <c r="E43" s="733"/>
      <c r="F43" s="733"/>
      <c r="G43" s="733"/>
      <c r="H43" s="733"/>
      <c r="I43" s="44">
        <f t="shared" si="6"/>
        <v>0</v>
      </c>
      <c r="J43" s="330" t="str">
        <f t="shared" si="7"/>
        <v/>
      </c>
      <c r="K43" s="735"/>
    </row>
    <row r="44" spans="1:11" ht="12.75" customHeight="1" x14ac:dyDescent="0.25">
      <c r="A44" s="53" t="str">
        <f>'C4-FinPerf RE'!A44</f>
        <v>Surplus/(Deficit) after taxation</v>
      </c>
      <c r="B44" s="236"/>
      <c r="C44" s="112">
        <f t="shared" ref="C44:H44" si="12">C42-C43</f>
        <v>0</v>
      </c>
      <c r="D44" s="56">
        <f t="shared" si="12"/>
        <v>941737276.8393333</v>
      </c>
      <c r="E44" s="55">
        <f t="shared" si="12"/>
        <v>973171668.64127421</v>
      </c>
      <c r="F44" s="55">
        <f t="shared" si="12"/>
        <v>110557700.12999964</v>
      </c>
      <c r="G44" s="55">
        <f t="shared" si="12"/>
        <v>241050799.98999968</v>
      </c>
      <c r="H44" s="55">
        <f t="shared" si="12"/>
        <v>324390556.21375811</v>
      </c>
      <c r="I44" s="55">
        <f t="shared" si="6"/>
        <v>-83339756.223758429</v>
      </c>
      <c r="J44" s="332">
        <f t="shared" si="7"/>
        <v>-0.25691178311874607</v>
      </c>
      <c r="K44" s="235">
        <f>K42-K43</f>
        <v>973171668.64127421</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"&amp;S71Q&amp; " - "&amp;Head57</f>
        <v>KZN225 Msunduzi - NOT REQUIRED - municipality does not have entities or this is the parent municipality's budget - M04 October</v>
      </c>
      <c r="B1" s="1054"/>
      <c r="C1" s="1054"/>
      <c r="D1" s="1054"/>
      <c r="E1" s="1054"/>
      <c r="F1" s="1054"/>
      <c r="G1" s="1054"/>
      <c r="H1" s="1054"/>
      <c r="I1" s="1054"/>
      <c r="J1" s="1054"/>
      <c r="K1" s="1054"/>
    </row>
    <row r="2" spans="1:11" x14ac:dyDescent="0.25">
      <c r="A2" s="1043" t="str">
        <f>desc</f>
        <v>Description</v>
      </c>
      <c r="B2" s="1036" t="str">
        <f>head27</f>
        <v>Ref</v>
      </c>
      <c r="C2" s="158" t="str">
        <f>Head1</f>
        <v>2019/20</v>
      </c>
      <c r="D2" s="1038" t="str">
        <f>Head2</f>
        <v>Budget Year 2020/21</v>
      </c>
      <c r="E2" s="1039"/>
      <c r="F2" s="1039"/>
      <c r="G2" s="1039"/>
      <c r="H2" s="1039"/>
      <c r="I2" s="1039"/>
      <c r="J2" s="1039"/>
      <c r="K2" s="104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J24" sqref="J24"/>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4" t="str">
        <f>muni&amp; " - "&amp;S71R&amp; " - "&amp;Head57</f>
        <v>KZN225 Msunduzi - Supporting Table SC12 Monthly Budget Statement - capital expenditure trend - M04 October</v>
      </c>
      <c r="B1" s="1054"/>
      <c r="C1" s="1054"/>
      <c r="D1" s="1054"/>
      <c r="E1" s="1054"/>
      <c r="F1" s="1054"/>
      <c r="G1" s="1054"/>
      <c r="H1" s="1054"/>
      <c r="I1" s="1054"/>
      <c r="J1" s="1054"/>
    </row>
    <row r="2" spans="1:10" x14ac:dyDescent="0.25">
      <c r="A2" s="1043" t="s">
        <v>887</v>
      </c>
      <c r="B2" s="139" t="str">
        <f>Head1</f>
        <v>2019/20</v>
      </c>
      <c r="C2" s="1038" t="str">
        <f>Head2</f>
        <v>Budget Year 2020/21</v>
      </c>
      <c r="D2" s="1039"/>
      <c r="E2" s="1039"/>
      <c r="F2" s="1039"/>
      <c r="G2" s="1039"/>
      <c r="H2" s="1039"/>
      <c r="I2" s="1039"/>
      <c r="J2" s="1040"/>
    </row>
    <row r="3" spans="1:10" ht="38.25" x14ac:dyDescent="0.25">
      <c r="A3" s="1044"/>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51590953.230000004</v>
      </c>
      <c r="F8" s="408">
        <f t="shared" ref="F8:F17" si="3">IF(E8&gt;0,E8+F7,"")</f>
        <v>80820961.820000008</v>
      </c>
      <c r="G8" s="408">
        <f>IF(D8&gt;0,D8+G7,C8+G7)</f>
        <v>145222895.25</v>
      </c>
      <c r="H8" s="44">
        <f t="shared" si="0"/>
        <v>64401933.429999992</v>
      </c>
      <c r="I8" s="124">
        <f t="shared" si="1"/>
        <v>0.44346955980413832</v>
      </c>
      <c r="J8" s="674">
        <f t="shared" si="2"/>
        <v>0.1391326100489654</v>
      </c>
    </row>
    <row r="9" spans="1:10" ht="12.75" customHeight="1" x14ac:dyDescent="0.25">
      <c r="A9" s="39" t="s">
        <v>906</v>
      </c>
      <c r="B9" s="748">
        <v>66093583.333333336</v>
      </c>
      <c r="C9" s="753">
        <v>48407631.75</v>
      </c>
      <c r="D9" s="733"/>
      <c r="E9" s="733">
        <v>34751661.439999998</v>
      </c>
      <c r="F9" s="408">
        <f t="shared" si="3"/>
        <v>115572623.26000001</v>
      </c>
      <c r="G9" s="408">
        <f t="shared" ref="G9:G17" si="4">IF(D9&gt;0,D9+G8,C9+G8)</f>
        <v>193630527</v>
      </c>
      <c r="H9" s="44">
        <f t="shared" si="0"/>
        <v>78057903.739999995</v>
      </c>
      <c r="I9" s="124">
        <f t="shared" si="1"/>
        <v>0.40312808599648131</v>
      </c>
      <c r="J9" s="674">
        <f t="shared" si="2"/>
        <v>0.19895730466783956</v>
      </c>
    </row>
    <row r="10" spans="1:10" ht="12.75" customHeight="1" x14ac:dyDescent="0.25">
      <c r="A10" s="39" t="s">
        <v>907</v>
      </c>
      <c r="B10" s="748">
        <v>66093583.333333336</v>
      </c>
      <c r="C10" s="753">
        <v>48407631.75</v>
      </c>
      <c r="D10" s="733"/>
      <c r="E10" s="733"/>
      <c r="F10" s="408" t="str">
        <f t="shared" si="3"/>
        <v/>
      </c>
      <c r="G10" s="408">
        <f t="shared" si="4"/>
        <v>242038158.75</v>
      </c>
      <c r="H10" s="44">
        <f t="shared" si="0"/>
        <v>0</v>
      </c>
      <c r="I10" s="124" t="str">
        <f t="shared" si="1"/>
        <v/>
      </c>
      <c r="J10" s="674" t="str">
        <f t="shared" si="2"/>
        <v/>
      </c>
    </row>
    <row r="11" spans="1:10" ht="12.75" customHeight="1" x14ac:dyDescent="0.25">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5">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115572623.26000001</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4" t="s">
        <v>642</v>
      </c>
      <c r="B1" s="1005"/>
      <c r="C1" s="1005"/>
      <c r="D1" s="1006"/>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M04 October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9" t="s">
        <v>751</v>
      </c>
      <c r="B72" s="1010"/>
      <c r="C72" s="1010"/>
      <c r="D72" s="1011"/>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7" t="s">
        <v>794</v>
      </c>
      <c r="B76" s="1008"/>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43" activePane="bottomRight" state="frozen"/>
      <selection pane="topRight"/>
      <selection pane="bottomLeft"/>
      <selection pane="bottomRight" activeCell="K158" sqref="K158"/>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"&amp;S71Sa&amp; " - "&amp;Head57</f>
        <v>KZN225 Msunduzi - Supporting Table SC13a Monthly Budget Statement - capital expenditure on new assets by asset class - M04 October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0</v>
      </c>
      <c r="G7" s="102">
        <f t="shared" si="0"/>
        <v>8255788.4900000002</v>
      </c>
      <c r="H7" s="102">
        <f t="shared" si="0"/>
        <v>66766028.106122673</v>
      </c>
      <c r="I7" s="101">
        <f t="shared" ref="I7:I37" si="1">H7-G7</f>
        <v>58510239.61612267</v>
      </c>
      <c r="J7" s="579">
        <f t="shared" ref="J7:J37" si="2">IF(I7=0,"",I7/H7)</f>
        <v>0.8763474670549869</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3615260.3003037614</v>
      </c>
      <c r="I8" s="258">
        <f t="shared" si="1"/>
        <v>3615260.3003037614</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E9/12*4</f>
        <v>3615260.3003037614</v>
      </c>
      <c r="I9" s="258">
        <f t="shared" si="1"/>
        <v>3615260.3003037614</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46977234.883407347</v>
      </c>
      <c r="I17" s="258">
        <f t="shared" si="1"/>
        <v>46977234.883407347</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E18/12*4</f>
        <v>46977234.883407347</v>
      </c>
      <c r="I18" s="258">
        <f t="shared" si="1"/>
        <v>46977234.883407347</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6294640.6100000003</v>
      </c>
      <c r="H27" s="408">
        <f t="shared" si="6"/>
        <v>0</v>
      </c>
      <c r="I27" s="258">
        <f t="shared" si="1"/>
        <v>-6294640.6100000003</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6294640.6100000003</v>
      </c>
      <c r="H34" s="733"/>
      <c r="I34" s="258">
        <f t="shared" si="1"/>
        <v>-6294640.6100000003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0</v>
      </c>
      <c r="G38" s="408">
        <f t="shared" si="7"/>
        <v>1961147.88</v>
      </c>
      <c r="H38" s="408">
        <f t="shared" si="7"/>
        <v>16173532.922411563</v>
      </c>
      <c r="I38" s="258">
        <f t="shared" ref="I38:I44" si="8">H38-G38</f>
        <v>14212385.042411562</v>
      </c>
      <c r="J38" s="575">
        <f t="shared" ref="J38:J44" si="9">IF(I38=0,"",I38/H38)</f>
        <v>0.87874338343959157</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c r="G40" s="733">
        <v>1961147.88</v>
      </c>
      <c r="H40" s="733">
        <f>E40/12*4</f>
        <v>16173532.922411563</v>
      </c>
      <c r="I40" s="258">
        <f>H40-G40</f>
        <v>14212385.042411562</v>
      </c>
      <c r="J40" s="575">
        <f>IF(I40=0,"",I40/H40)</f>
        <v>0.87874338343959157</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0</v>
      </c>
      <c r="G75" s="578">
        <f t="shared" si="17"/>
        <v>955122.94000000006</v>
      </c>
      <c r="H75" s="578">
        <f t="shared" si="17"/>
        <v>13186037.224548435</v>
      </c>
      <c r="I75" s="578">
        <f>H75-G75</f>
        <v>12230914.284548435</v>
      </c>
      <c r="J75" s="579">
        <f t="shared" si="16"/>
        <v>0.92756558139985779</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0</v>
      </c>
      <c r="G76" s="408">
        <f t="shared" si="18"/>
        <v>955122.94000000006</v>
      </c>
      <c r="H76" s="408">
        <f t="shared" si="18"/>
        <v>13186037.224548435</v>
      </c>
      <c r="I76" s="258">
        <f t="shared" ref="I76:I87" si="19">H76-G76</f>
        <v>12230914.284548435</v>
      </c>
      <c r="J76" s="575">
        <f t="shared" ref="J76:J87" si="20">IF(I76=0,"",I76/H76)</f>
        <v>0.92756558139985779</v>
      </c>
      <c r="K76" s="642">
        <f>SUM(K77:K98)</f>
        <v>39558111.673645303</v>
      </c>
    </row>
    <row r="77" spans="1:11" ht="12.75" customHeight="1" x14ac:dyDescent="0.25">
      <c r="A77" s="574" t="s">
        <v>1269</v>
      </c>
      <c r="B77" s="169"/>
      <c r="C77" s="748"/>
      <c r="D77" s="753">
        <v>37464350.795641594</v>
      </c>
      <c r="E77" s="733">
        <v>37464350.795641594</v>
      </c>
      <c r="F77" s="733"/>
      <c r="G77" s="733">
        <v>955122.94000000006</v>
      </c>
      <c r="H77" s="733">
        <f>E77/12*4</f>
        <v>12488116.931880532</v>
      </c>
      <c r="I77" s="44">
        <f t="shared" si="19"/>
        <v>11532993.991880532</v>
      </c>
      <c r="J77" s="124">
        <f t="shared" si="20"/>
        <v>0.92351745701854415</v>
      </c>
      <c r="K77" s="735">
        <f>E77</f>
        <v>37464350.795641594</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E84/12*4</f>
        <v>452082.5922472481</v>
      </c>
      <c r="I84" s="44">
        <f t="shared" si="19"/>
        <v>452082.5922472481</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E88/12*4</f>
        <v>245837.70042065578</v>
      </c>
      <c r="I88" s="44">
        <f t="shared" ref="I88:I133" si="21">H88-G88</f>
        <v>245837.70042065578</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182935.28</v>
      </c>
      <c r="G103" s="99">
        <f t="shared" si="24"/>
        <v>182935.28</v>
      </c>
      <c r="H103" s="99">
        <f t="shared" si="24"/>
        <v>10672917.563721903</v>
      </c>
      <c r="I103" s="99">
        <f t="shared" si="21"/>
        <v>10489982.283721903</v>
      </c>
      <c r="J103" s="324">
        <f t="shared" si="22"/>
        <v>0.98285986199108188</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v>182935.28</v>
      </c>
      <c r="G108" s="733">
        <v>182935.28</v>
      </c>
      <c r="H108" s="733">
        <f>E108/12*4</f>
        <v>10672917.563721903</v>
      </c>
      <c r="I108" s="44">
        <f t="shared" si="21"/>
        <v>10489982.283721903</v>
      </c>
      <c r="J108" s="124">
        <f t="shared" si="22"/>
        <v>0.98285986199108188</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0</v>
      </c>
      <c r="G117" s="578">
        <f t="shared" si="28"/>
        <v>11857888.949999999</v>
      </c>
      <c r="H117" s="578">
        <f t="shared" si="28"/>
        <v>1266666.6666666667</v>
      </c>
      <c r="I117" s="578">
        <f t="shared" si="21"/>
        <v>-10591222.283333333</v>
      </c>
      <c r="J117" s="579">
        <f t="shared" si="22"/>
        <v>-8.3614912763157889</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0</v>
      </c>
      <c r="H118" s="408">
        <f t="shared" si="29"/>
        <v>1266666.6666666667</v>
      </c>
      <c r="I118" s="258">
        <f t="shared" si="21"/>
        <v>1266666.6666666667</v>
      </c>
      <c r="J118" s="575">
        <f t="shared" si="22"/>
        <v>1</v>
      </c>
      <c r="K118" s="642">
        <f>SUM(K119:K129)</f>
        <v>3800000</v>
      </c>
    </row>
    <row r="119" spans="1:11" ht="12.75" customHeight="1" x14ac:dyDescent="0.25">
      <c r="A119" s="574" t="s">
        <v>1299</v>
      </c>
      <c r="B119" s="169"/>
      <c r="C119" s="748"/>
      <c r="D119" s="753">
        <v>3800000</v>
      </c>
      <c r="E119" s="733">
        <v>3800000</v>
      </c>
      <c r="F119" s="733"/>
      <c r="G119" s="733"/>
      <c r="H119" s="733">
        <f>E119/12*4</f>
        <v>1266666.6666666667</v>
      </c>
      <c r="I119" s="44">
        <f t="shared" si="21"/>
        <v>1266666.6666666667</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0</v>
      </c>
      <c r="G130" s="408">
        <f t="shared" si="31"/>
        <v>11857888.949999999</v>
      </c>
      <c r="H130" s="408">
        <f t="shared" si="31"/>
        <v>0</v>
      </c>
      <c r="I130" s="258">
        <f t="shared" si="21"/>
        <v>-11857888.949999999</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c r="G132" s="733">
        <v>11857888.949999999</v>
      </c>
      <c r="H132" s="733"/>
      <c r="I132" s="44">
        <f t="shared" si="21"/>
        <v>-11857888.949999999</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15412425.490768669</v>
      </c>
      <c r="I138" s="942">
        <f t="shared" ref="I138:I146" si="34">H138-G138</f>
        <v>15412425.490768669</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15412425.490768669</v>
      </c>
      <c r="I140" s="258">
        <f t="shared" si="34"/>
        <v>15412425.490768669</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E144/12*4</f>
        <v>15412425.490768669</v>
      </c>
      <c r="I144" s="44">
        <f t="shared" si="34"/>
        <v>15412425.490768669</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0</v>
      </c>
      <c r="G148" s="578">
        <f t="shared" si="36"/>
        <v>2629706.5299999998</v>
      </c>
      <c r="H148" s="578">
        <f t="shared" si="36"/>
        <v>10263162.673156561</v>
      </c>
      <c r="I148" s="578">
        <f>H148-G148</f>
        <v>7633456.143156562</v>
      </c>
      <c r="J148" s="324">
        <f>IF(I148=0,"",I148/H148)</f>
        <v>0.74377230355336454</v>
      </c>
      <c r="K148" s="580">
        <f>SUM(K149)</f>
        <v>30789488.019469682</v>
      </c>
    </row>
    <row r="149" spans="1:12" ht="12.75" customHeight="1" x14ac:dyDescent="0.25">
      <c r="A149" s="518" t="s">
        <v>1321</v>
      </c>
      <c r="B149" s="169"/>
      <c r="C149" s="748"/>
      <c r="D149" s="753">
        <v>30489488.019469682</v>
      </c>
      <c r="E149" s="733">
        <v>30789488.019469682</v>
      </c>
      <c r="F149" s="733"/>
      <c r="G149" s="733">
        <v>2629706.5299999998</v>
      </c>
      <c r="H149" s="733">
        <f>E149/12*4</f>
        <v>10263162.673156561</v>
      </c>
      <c r="I149" s="44">
        <f>H149-G149</f>
        <v>7633456.143156562</v>
      </c>
      <c r="J149" s="124">
        <f>IF(I149=0,"",I149/H149)</f>
        <v>0.74377230355336454</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85388.76</v>
      </c>
      <c r="G151" s="578">
        <f t="shared" si="37"/>
        <v>85388.76</v>
      </c>
      <c r="H151" s="578">
        <f t="shared" si="37"/>
        <v>9140367.4681291208</v>
      </c>
      <c r="I151" s="578">
        <f>H151-G151</f>
        <v>9054978.708129121</v>
      </c>
      <c r="J151" s="324">
        <f>IF(I151=0,"",I151/H151)</f>
        <v>0.9906580604885159</v>
      </c>
      <c r="K151" s="580">
        <f>SUM(K152)</f>
        <v>27421102.404387362</v>
      </c>
    </row>
    <row r="152" spans="1:12" ht="12.75" customHeight="1" x14ac:dyDescent="0.25">
      <c r="A152" s="518" t="s">
        <v>1322</v>
      </c>
      <c r="B152" s="169"/>
      <c r="C152" s="748"/>
      <c r="D152" s="753">
        <v>26221102.404387362</v>
      </c>
      <c r="E152" s="733">
        <v>27421102.404387362</v>
      </c>
      <c r="F152" s="733">
        <v>85388.76</v>
      </c>
      <c r="G152" s="733">
        <v>85388.76</v>
      </c>
      <c r="H152" s="733">
        <f>E152/12*4</f>
        <v>9140367.4681291208</v>
      </c>
      <c r="I152" s="44">
        <f>H152-G152</f>
        <v>9054978.708129121</v>
      </c>
      <c r="J152" s="124">
        <f>IF(I152=0,"",I152/H152)</f>
        <v>0.9906580604885159</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SUM(F155:F155)</f>
        <v>134344.85</v>
      </c>
      <c r="G154" s="578">
        <f>SUM(G155:G155)</f>
        <v>1269938.5300000072</v>
      </c>
      <c r="H154" s="578">
        <f t="shared" si="38"/>
        <v>12599388.884474412</v>
      </c>
      <c r="I154" s="578">
        <f>H154-G154</f>
        <v>11329450.354474405</v>
      </c>
      <c r="J154" s="324">
        <f>IF(I154=0,"",I154/H154)</f>
        <v>0.89920633916102966</v>
      </c>
      <c r="K154" s="580">
        <f>SUM(K155)</f>
        <v>37798166.653423235</v>
      </c>
    </row>
    <row r="155" spans="1:12" ht="12.75" customHeight="1" x14ac:dyDescent="0.25">
      <c r="A155" s="518" t="s">
        <v>1323</v>
      </c>
      <c r="B155" s="169"/>
      <c r="C155" s="748"/>
      <c r="D155" s="753">
        <v>34478166.653423235</v>
      </c>
      <c r="E155" s="733">
        <v>37798166.653423235</v>
      </c>
      <c r="F155" s="733">
        <v>134344.85</v>
      </c>
      <c r="G155" s="733">
        <v>1269938.5300000072</v>
      </c>
      <c r="H155" s="733">
        <f>E155/12*4</f>
        <v>12599388.884474412</v>
      </c>
      <c r="I155" s="44">
        <f>H155-G155</f>
        <v>11329450.354474405</v>
      </c>
      <c r="J155" s="124">
        <f>IF(I155=0,"",I155/H155)</f>
        <v>0.89920633916102966</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0</v>
      </c>
      <c r="G157" s="578">
        <f t="shared" si="39"/>
        <v>0</v>
      </c>
      <c r="H157" s="578">
        <f t="shared" si="39"/>
        <v>3633333.3333333335</v>
      </c>
      <c r="I157" s="578">
        <f>H157-G157</f>
        <v>3633333.3333333335</v>
      </c>
      <c r="J157" s="324">
        <f>IF(I157=0,"",I157/H157)</f>
        <v>1</v>
      </c>
      <c r="K157" s="580">
        <f>SUM(K158)</f>
        <v>10900000</v>
      </c>
    </row>
    <row r="158" spans="1:12" ht="12.75" customHeight="1" x14ac:dyDescent="0.25">
      <c r="A158" s="518" t="s">
        <v>1324</v>
      </c>
      <c r="B158" s="169"/>
      <c r="C158" s="748"/>
      <c r="D158" s="753"/>
      <c r="E158" s="733">
        <v>10900000</v>
      </c>
      <c r="F158" s="733"/>
      <c r="G158" s="733"/>
      <c r="H158" s="733">
        <f>E158/12*4</f>
        <v>3633333.3333333335</v>
      </c>
      <c r="I158" s="44">
        <f>H158-G158</f>
        <v>3633333.3333333335</v>
      </c>
      <c r="J158" s="124">
        <f>IF(I158=0,"",I158/H158)</f>
        <v>1</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16173532.922411563</v>
      </c>
      <c r="I160" s="578">
        <f>H160-G160</f>
        <v>16173532.922411563</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E161/12*4</f>
        <v>16173532.922411563</v>
      </c>
      <c r="I161" s="44">
        <f>H161-G161</f>
        <v>16173532.922411563</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402668.89</v>
      </c>
      <c r="G166" s="55">
        <f t="shared" si="42"/>
        <v>25236769.480000008</v>
      </c>
      <c r="H166" s="55">
        <f t="shared" si="42"/>
        <v>159113860.33333334</v>
      </c>
      <c r="I166" s="55">
        <f>H166-G166</f>
        <v>133877090.85333334</v>
      </c>
      <c r="J166" s="290">
        <f>IF(I166=0,"",I166/H166)</f>
        <v>0.84139175916459708</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46" activePane="bottomRight" state="frozen"/>
      <selection pane="topRight"/>
      <selection pane="bottomLeft"/>
      <selection pane="bottomRight" activeCell="F9" sqref="F9:G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"&amp;S71Sb&amp; " - "&amp;Head57</f>
        <v>KZN225 Msunduzi - Supporting Table SC13b Monthly Budget Statement - capital expenditure on renewal of existing assets by asset class - M04 October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-197654.51</v>
      </c>
      <c r="G7" s="102">
        <f t="shared" si="0"/>
        <v>13304310.09</v>
      </c>
      <c r="H7" s="102">
        <f t="shared" si="0"/>
        <v>5823669.4570309501</v>
      </c>
      <c r="I7" s="101">
        <f t="shared" ref="I7:I133" si="1">H7-G7</f>
        <v>-7480640.6329690497</v>
      </c>
      <c r="J7" s="579">
        <f t="shared" ref="J7:J136" si="2">IF(I7=0,"",I7/H7)</f>
        <v>-1.2845235616759856</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-197654.51</v>
      </c>
      <c r="G8" s="608">
        <f t="shared" si="3"/>
        <v>13304310.09</v>
      </c>
      <c r="H8" s="608">
        <f t="shared" si="3"/>
        <v>5304849.4312606128</v>
      </c>
      <c r="I8" s="258">
        <f t="shared" si="1"/>
        <v>-7999460.6587393871</v>
      </c>
      <c r="J8" s="575">
        <f t="shared" si="2"/>
        <v>-1.5079524428346391</v>
      </c>
      <c r="K8" s="610">
        <f>SUM(K9:K12)</f>
        <v>15914548.293781839</v>
      </c>
    </row>
    <row r="9" spans="1:11" ht="12.75" customHeight="1" x14ac:dyDescent="0.25">
      <c r="A9" s="574" t="s">
        <v>168</v>
      </c>
      <c r="B9" s="169"/>
      <c r="C9" s="748"/>
      <c r="D9" s="745">
        <v>5914548.2937818393</v>
      </c>
      <c r="E9" s="733">
        <v>15914548.293781839</v>
      </c>
      <c r="F9" s="733">
        <v>-197654.51</v>
      </c>
      <c r="G9" s="733">
        <v>13304310.09</v>
      </c>
      <c r="H9" s="733">
        <f>E9/12*4</f>
        <v>5304849.4312606128</v>
      </c>
      <c r="I9" s="258">
        <f t="shared" si="1"/>
        <v>-7999460.6587393871</v>
      </c>
      <c r="J9" s="575">
        <f t="shared" si="2"/>
        <v>-1.5079524428346391</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0</v>
      </c>
      <c r="G45" s="408">
        <f t="shared" si="8"/>
        <v>0</v>
      </c>
      <c r="H45" s="408">
        <f t="shared" si="8"/>
        <v>518820.02577033686</v>
      </c>
      <c r="I45" s="258">
        <f t="shared" si="1"/>
        <v>518820.02577033686</v>
      </c>
      <c r="J45" s="575">
        <f t="shared" si="2"/>
        <v>1</v>
      </c>
      <c r="K45" s="642">
        <f>SUM(K46:K52)</f>
        <v>1556460.0773110106</v>
      </c>
    </row>
    <row r="46" spans="1:11" ht="12.75" customHeight="1" x14ac:dyDescent="0.25">
      <c r="A46" s="574" t="s">
        <v>1249</v>
      </c>
      <c r="B46" s="169"/>
      <c r="C46" s="748"/>
      <c r="D46" s="745">
        <v>1556460.0773110106</v>
      </c>
      <c r="E46" s="733">
        <v>1556460.0773110106</v>
      </c>
      <c r="F46" s="733"/>
      <c r="G46" s="733"/>
      <c r="H46" s="733">
        <f>E46/12*4</f>
        <v>518820.02577033686</v>
      </c>
      <c r="I46" s="258">
        <f t="shared" si="1"/>
        <v>518820.02577033686</v>
      </c>
      <c r="J46" s="575">
        <f t="shared" si="2"/>
        <v>1</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129705.00644258421</v>
      </c>
      <c r="I151" s="578">
        <f>H151-G151</f>
        <v>129705.00644258421</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E152/12*4</f>
        <v>129705.00644258421</v>
      </c>
      <c r="I152" s="44">
        <f>H152-G152</f>
        <v>129705.00644258421</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2446625.5365264658</v>
      </c>
      <c r="I154" s="578">
        <f>H154-G154</f>
        <v>2446625.5365264658</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E155/12*4</f>
        <v>2446625.5365264658</v>
      </c>
      <c r="I155" s="44">
        <f>H155-G155</f>
        <v>2446625.5365264658</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-197654.51</v>
      </c>
      <c r="G166" s="55">
        <f t="shared" si="33"/>
        <v>13304310.09</v>
      </c>
      <c r="H166" s="55">
        <f t="shared" si="33"/>
        <v>8400000</v>
      </c>
      <c r="I166" s="55">
        <f>H166-G166</f>
        <v>-4904310.09</v>
      </c>
      <c r="J166" s="290">
        <f>IF(I166=0,"",I166/H166)</f>
        <v>-0.58384643928571422</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5" activePane="bottomRight" state="frozen"/>
      <selection pane="topRight"/>
      <selection pane="bottomLeft"/>
      <selection pane="bottomRight" activeCell="G175" sqref="G17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"&amp;S71Sc&amp; " - "&amp;Head57</f>
        <v>KZN225 Msunduzi - Supporting Table SC13c Monthly Budget Statement - expenditure on repairs and maintenance by asset class - M04 October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13544288.699999999</v>
      </c>
      <c r="G7" s="102">
        <f t="shared" si="0"/>
        <v>22916674.920000002</v>
      </c>
      <c r="H7" s="102">
        <f t="shared" si="0"/>
        <v>60936362.729866408</v>
      </c>
      <c r="I7" s="101">
        <f t="shared" ref="I7:I166" si="1">H7-G7</f>
        <v>38019687.809866406</v>
      </c>
      <c r="J7" s="579">
        <f t="shared" ref="J7:J166" si="2">IF(I7=0,"",I7/H7)</f>
        <v>0.62392446983436411</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22459138.884283822</v>
      </c>
      <c r="I8" s="258">
        <f t="shared" si="1"/>
        <v>22459138.884283822</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E9/12*4</f>
        <v>22459138.884283822</v>
      </c>
      <c r="I9" s="258">
        <f t="shared" si="1"/>
        <v>22459138.884283822</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13544288.699999999</v>
      </c>
      <c r="G17" s="408">
        <f t="shared" si="5"/>
        <v>22916674.920000002</v>
      </c>
      <c r="H17" s="408">
        <f t="shared" si="5"/>
        <v>24122820.550731834</v>
      </c>
      <c r="I17" s="258">
        <f t="shared" si="1"/>
        <v>1206145.6307318322</v>
      </c>
      <c r="J17" s="575">
        <f t="shared" si="2"/>
        <v>5.000019082325928E-2</v>
      </c>
      <c r="K17" s="642">
        <f>SUM(K18:K26)</f>
        <v>72368461.652195498</v>
      </c>
    </row>
    <row r="18" spans="1:11" ht="12.75" customHeight="1" x14ac:dyDescent="0.25">
      <c r="A18" s="574" t="s">
        <v>1225</v>
      </c>
      <c r="B18" s="169"/>
      <c r="C18" s="748"/>
      <c r="D18" s="745">
        <v>72368461.652195498</v>
      </c>
      <c r="E18" s="733">
        <v>72368461.652195498</v>
      </c>
      <c r="F18" s="733"/>
      <c r="G18" s="733"/>
      <c r="H18" s="733">
        <f>E18/12*4</f>
        <v>24122820.550731834</v>
      </c>
      <c r="I18" s="258">
        <f t="shared" si="1"/>
        <v>24122820.550731834</v>
      </c>
      <c r="J18" s="575">
        <f t="shared" si="2"/>
        <v>1</v>
      </c>
      <c r="K18" s="735">
        <f>E18</f>
        <v>72368461.652195498</v>
      </c>
    </row>
    <row r="19" spans="1:11" ht="12.75" customHeight="1" x14ac:dyDescent="0.25">
      <c r="A19" s="574" t="s">
        <v>1226</v>
      </c>
      <c r="B19" s="169"/>
      <c r="C19" s="748"/>
      <c r="D19" s="745"/>
      <c r="E19" s="733"/>
      <c r="F19" s="733">
        <v>2125844.3000000003</v>
      </c>
      <c r="G19" s="733">
        <v>4684432.8600000003</v>
      </c>
      <c r="H19" s="733"/>
      <c r="I19" s="258">
        <f t="shared" si="1"/>
        <v>-4684432.8600000003</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56030.05</v>
      </c>
      <c r="G22" s="733">
        <v>877494.56</v>
      </c>
      <c r="H22" s="733"/>
      <c r="I22" s="258">
        <f t="shared" si="1"/>
        <v>-877494.56</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11362414.35</v>
      </c>
      <c r="G25" s="733">
        <v>17354747.5</v>
      </c>
      <c r="H25" s="733"/>
      <c r="I25" s="258">
        <f t="shared" si="1"/>
        <v>-17354747.5</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7383211.602296304</v>
      </c>
      <c r="I27" s="258">
        <f t="shared" si="1"/>
        <v>7383211.602296304</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E34/12*4</f>
        <v>7383211.602296304</v>
      </c>
      <c r="I34" s="258">
        <f t="shared" si="1"/>
        <v>7383211.602296304</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2925131.0876685581</v>
      </c>
      <c r="I38" s="258">
        <f t="shared" si="1"/>
        <v>2925131.0876685581</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E41/12*4</f>
        <v>2925131.0876685581</v>
      </c>
      <c r="I41" s="258">
        <f t="shared" si="1"/>
        <v>2925131.0876685581</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4046060.6048858878</v>
      </c>
      <c r="I45" s="258">
        <f t="shared" si="1"/>
        <v>4046060.6048858878</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E46/12*4</f>
        <v>4046060.6048858878</v>
      </c>
      <c r="I46" s="258">
        <f t="shared" si="1"/>
        <v>4046060.6048858878</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7837573.7829516707</v>
      </c>
      <c r="I75" s="578">
        <f t="shared" si="1"/>
        <v>7837573.7829516707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7837573.7829516707</v>
      </c>
      <c r="I76" s="258">
        <f t="shared" si="1"/>
        <v>7837573.7829516707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E77/12*4</f>
        <v>309169.30492036749</v>
      </c>
      <c r="I77" s="44">
        <f t="shared" si="1"/>
        <v>309169.30492036749</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E80/12*4</f>
        <v>154101.35753259875</v>
      </c>
      <c r="I80" s="44">
        <f t="shared" si="1"/>
        <v>154101.35753259875</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E86/12*4</f>
        <v>292576.81582549203</v>
      </c>
      <c r="I86" s="44">
        <f t="shared" si="1"/>
        <v>292576.81582549203</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E88/12*4</f>
        <v>1270150.6466224673</v>
      </c>
      <c r="I88" s="44">
        <f t="shared" si="1"/>
        <v>1270150.6466224673</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E90/12*4</f>
        <v>4186070.9543816061</v>
      </c>
      <c r="I90" s="44">
        <f t="shared" si="1"/>
        <v>4186070.9543816061</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E93/12*4</f>
        <v>1625504.7036691392</v>
      </c>
      <c r="I93" s="44">
        <f t="shared" si="1"/>
        <v>1625504.7036691392</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8994001.5991388038</v>
      </c>
      <c r="I103" s="99">
        <f t="shared" si="1"/>
        <v>8994001.5991388038</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E105/12*4</f>
        <v>8994001.5991388038</v>
      </c>
      <c r="I105" s="44">
        <f t="shared" si="1"/>
        <v>8994001.5991388038</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167243.60999999999</v>
      </c>
      <c r="G117" s="578">
        <f t="shared" si="19"/>
        <v>128900.78999999994</v>
      </c>
      <c r="H117" s="578">
        <f t="shared" si="19"/>
        <v>0</v>
      </c>
      <c r="I117" s="578">
        <f t="shared" si="1"/>
        <v>-128900.78999999994</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167243.60999999999</v>
      </c>
      <c r="G118" s="408">
        <f t="shared" si="20"/>
        <v>128900.78999999994</v>
      </c>
      <c r="H118" s="408">
        <f t="shared" si="20"/>
        <v>0</v>
      </c>
      <c r="I118" s="258">
        <f t="shared" si="1"/>
        <v>-128900.78999999994</v>
      </c>
      <c r="J118" s="575" t="e">
        <f t="shared" si="2"/>
        <v>#DIV/0!</v>
      </c>
      <c r="K118" s="642">
        <f>SUM(K119:K129)</f>
        <v>0</v>
      </c>
    </row>
    <row r="119" spans="1:11" ht="12.75" customHeight="1" x14ac:dyDescent="0.25">
      <c r="A119" s="574" t="s">
        <v>1299</v>
      </c>
      <c r="B119" s="169"/>
      <c r="C119" s="748"/>
      <c r="D119" s="753"/>
      <c r="E119" s="733"/>
      <c r="F119" s="733">
        <v>167243.60999999999</v>
      </c>
      <c r="G119" s="733">
        <v>128900.78999999994</v>
      </c>
      <c r="H119" s="733"/>
      <c r="I119" s="44">
        <f t="shared" si="1"/>
        <v>-128900.78999999994</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1396561.9199999999</v>
      </c>
      <c r="G154" s="578">
        <f t="shared" si="29"/>
        <v>5249485.169999999</v>
      </c>
      <c r="H154" s="578">
        <f t="shared" si="29"/>
        <v>0</v>
      </c>
      <c r="I154" s="578">
        <f>H154-G154</f>
        <v>-5249485.169999999</v>
      </c>
      <c r="J154" s="324" t="e">
        <f>IF(I154=0,"",I154/H154)</f>
        <v>#DIV/0!</v>
      </c>
      <c r="K154" s="580">
        <f>SUM(K155)</f>
        <v>0</v>
      </c>
    </row>
    <row r="155" spans="1:12" ht="12.75" customHeight="1" x14ac:dyDescent="0.25">
      <c r="A155" s="518" t="s">
        <v>1323</v>
      </c>
      <c r="B155" s="169"/>
      <c r="C155" s="748"/>
      <c r="D155" s="753"/>
      <c r="E155" s="733"/>
      <c r="F155" s="733">
        <v>1396561.9199999999</v>
      </c>
      <c r="G155" s="733">
        <v>5249485.169999999</v>
      </c>
      <c r="H155" s="733"/>
      <c r="I155" s="44">
        <f>H155-G155</f>
        <v>-5249485.169999999</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15108094.229999999</v>
      </c>
      <c r="G166" s="55">
        <f t="shared" si="33"/>
        <v>28295060.879999999</v>
      </c>
      <c r="H166" s="55">
        <f t="shared" si="33"/>
        <v>77767938.111956894</v>
      </c>
      <c r="I166" s="55">
        <f t="shared" si="1"/>
        <v>49472877.231956899</v>
      </c>
      <c r="J166" s="290">
        <f t="shared" si="2"/>
        <v>0.63616033076168699</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89" activePane="bottomRight" state="frozen"/>
      <selection pane="topRight"/>
      <selection pane="bottomLeft"/>
      <selection pane="bottomRight" activeCell="O152" sqref="O152"/>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"&amp;S71Sd&amp; " - "&amp;Head57</f>
        <v>KZN225 Msunduzi - Supporting Table SC13d Monthly Budget Statement - depreciation by asset class - M04 October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27227333.480000004</v>
      </c>
      <c r="G7" s="102">
        <f t="shared" si="0"/>
        <v>108031125.22999999</v>
      </c>
      <c r="H7" s="102">
        <f t="shared" si="0"/>
        <v>34061810.217654943</v>
      </c>
      <c r="I7" s="101">
        <f t="shared" ref="I7:I166" si="1">H7-G7</f>
        <v>-73969315.012345046</v>
      </c>
      <c r="J7" s="579">
        <f t="shared" ref="J7:J166" si="2">IF(I7=0,"",I7/H7)</f>
        <v>-2.1716201969208675</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10163034.480000002</v>
      </c>
      <c r="G8" s="608">
        <f t="shared" si="3"/>
        <v>40324299.18999999</v>
      </c>
      <c r="H8" s="608">
        <f t="shared" si="3"/>
        <v>4977873.3210497703</v>
      </c>
      <c r="I8" s="258">
        <f t="shared" si="1"/>
        <v>-35346425.868950218</v>
      </c>
      <c r="J8" s="575">
        <f t="shared" si="2"/>
        <v>-7.1007081918862704</v>
      </c>
      <c r="K8" s="610">
        <f>SUM(K9:K12)</f>
        <v>14933619.963149311</v>
      </c>
    </row>
    <row r="9" spans="1:11" ht="12.75" customHeight="1" x14ac:dyDescent="0.25">
      <c r="A9" s="574" t="s">
        <v>168</v>
      </c>
      <c r="B9" s="169"/>
      <c r="C9" s="748"/>
      <c r="D9" s="745">
        <v>14851561.889929518</v>
      </c>
      <c r="E9" s="733">
        <v>14851561.889929518</v>
      </c>
      <c r="F9" s="733">
        <v>10163034.480000002</v>
      </c>
      <c r="G9" s="733">
        <v>40324299.18999999</v>
      </c>
      <c r="H9" s="733">
        <f>E9/12*4</f>
        <v>4950520.6299765063</v>
      </c>
      <c r="I9" s="258">
        <f t="shared" si="1"/>
        <v>-35373778.560023487</v>
      </c>
      <c r="J9" s="575">
        <f t="shared" si="2"/>
        <v>-7.14546634667622</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E12/12*4</f>
        <v>27352.691073264035</v>
      </c>
      <c r="I12" s="258">
        <f t="shared" si="1"/>
        <v>27352.691073264035</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7998589.54</v>
      </c>
      <c r="G17" s="408">
        <f t="shared" si="5"/>
        <v>31736431.309999999</v>
      </c>
      <c r="H17" s="408">
        <f t="shared" si="5"/>
        <v>26948230.084831011</v>
      </c>
      <c r="I17" s="258">
        <f t="shared" si="1"/>
        <v>-4788201.2251689881</v>
      </c>
      <c r="J17" s="575">
        <f t="shared" si="2"/>
        <v>-0.17768147333224071</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E19/12*4</f>
        <v>13100260.727846229</v>
      </c>
      <c r="I19" s="258">
        <f t="shared" si="1"/>
        <v>13100260.727846229</v>
      </c>
      <c r="J19" s="575">
        <f t="shared" si="2"/>
        <v>1</v>
      </c>
      <c r="K19" s="735">
        <f t="shared" ref="K19:K22" si="7">E19</f>
        <v>39300782.18353869</v>
      </c>
    </row>
    <row r="20" spans="1:11" ht="12.75" customHeight="1" x14ac:dyDescent="0.25">
      <c r="A20" s="574" t="s">
        <v>1227</v>
      </c>
      <c r="B20" s="169"/>
      <c r="C20" s="748"/>
      <c r="D20" s="745">
        <v>30417611.026810348</v>
      </c>
      <c r="E20" s="733">
        <v>30417611.026810348</v>
      </c>
      <c r="F20" s="733">
        <v>350690.52</v>
      </c>
      <c r="G20" s="733">
        <v>1391448.6800000002</v>
      </c>
      <c r="H20" s="733">
        <f t="shared" si="6"/>
        <v>10139203.675603449</v>
      </c>
      <c r="I20" s="258">
        <f t="shared" si="1"/>
        <v>8747754.9956034496</v>
      </c>
      <c r="J20" s="575">
        <f t="shared" si="2"/>
        <v>0.86276548686480692</v>
      </c>
      <c r="K20" s="735">
        <f t="shared" si="7"/>
        <v>30417611.026810348</v>
      </c>
    </row>
    <row r="21" spans="1:11" ht="12.75" customHeight="1" x14ac:dyDescent="0.25">
      <c r="A21" s="574" t="s">
        <v>1228</v>
      </c>
      <c r="B21" s="169"/>
      <c r="C21" s="748"/>
      <c r="D21" s="745">
        <v>10972255.34036158</v>
      </c>
      <c r="E21" s="733">
        <v>10972255.34036158</v>
      </c>
      <c r="F21" s="733">
        <v>4482409.63</v>
      </c>
      <c r="G21" s="733">
        <v>17785044.59</v>
      </c>
      <c r="H21" s="733">
        <f t="shared" si="6"/>
        <v>3657418.4467871934</v>
      </c>
      <c r="I21" s="258">
        <f t="shared" si="1"/>
        <v>-14127626.143212806</v>
      </c>
      <c r="J21" s="575">
        <f t="shared" si="2"/>
        <v>-3.8627316914265077</v>
      </c>
      <c r="K21" s="735">
        <f t="shared" si="7"/>
        <v>10972255.34036158</v>
      </c>
    </row>
    <row r="22" spans="1:11" ht="12.75" customHeight="1" x14ac:dyDescent="0.25">
      <c r="A22" s="574" t="s">
        <v>1229</v>
      </c>
      <c r="B22" s="169"/>
      <c r="C22" s="748"/>
      <c r="D22" s="745">
        <v>154041.70378242273</v>
      </c>
      <c r="E22" s="733">
        <v>154041.70378242273</v>
      </c>
      <c r="F22" s="733">
        <v>2989479.35</v>
      </c>
      <c r="G22" s="733">
        <v>11861574.950000001</v>
      </c>
      <c r="H22" s="733">
        <f t="shared" si="6"/>
        <v>51347.234594140908</v>
      </c>
      <c r="I22" s="258">
        <f t="shared" si="1"/>
        <v>-11810227.715405861</v>
      </c>
      <c r="J22" s="575">
        <f t="shared" si="2"/>
        <v>-230.00708429103003</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v>176010.04</v>
      </c>
      <c r="G24" s="733">
        <v>698363.09</v>
      </c>
      <c r="H24" s="733"/>
      <c r="I24" s="258">
        <f t="shared" si="1"/>
        <v>-698363.09</v>
      </c>
      <c r="J24" s="575" t="e">
        <f t="shared" si="2"/>
        <v>#DIV/0!</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7225931.3200000003</v>
      </c>
      <c r="G27" s="408">
        <f t="shared" si="8"/>
        <v>28670630.280000005</v>
      </c>
      <c r="H27" s="408">
        <f t="shared" si="8"/>
        <v>2135706.8117741612</v>
      </c>
      <c r="I27" s="258">
        <f t="shared" si="1"/>
        <v>-26534923.468225844</v>
      </c>
      <c r="J27" s="575">
        <f t="shared" si="2"/>
        <v>-12.424422360756024</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v>7225931.3200000003</v>
      </c>
      <c r="G30" s="733">
        <v>28670630.280000005</v>
      </c>
      <c r="H30" s="733">
        <f>E30/12*4</f>
        <v>2135706.8117741612</v>
      </c>
      <c r="I30" s="258">
        <f t="shared" si="1"/>
        <v>-26534923.468225844</v>
      </c>
      <c r="J30" s="575">
        <f t="shared" si="2"/>
        <v>-12.424422360756024</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1711752.79</v>
      </c>
      <c r="G38" s="408">
        <f t="shared" si="9"/>
        <v>6791792.8800000008</v>
      </c>
      <c r="H38" s="408">
        <f t="shared" si="9"/>
        <v>0</v>
      </c>
      <c r="I38" s="258">
        <f t="shared" si="1"/>
        <v>-6791792.8800000008</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1711752.79</v>
      </c>
      <c r="G40" s="733">
        <v>6791792.8800000008</v>
      </c>
      <c r="H40" s="733"/>
      <c r="I40" s="258">
        <f t="shared" si="1"/>
        <v>-6791792.8800000008</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117892.12000000001</v>
      </c>
      <c r="G45" s="408">
        <f t="shared" si="10"/>
        <v>467765.53</v>
      </c>
      <c r="H45" s="408">
        <f t="shared" si="10"/>
        <v>0</v>
      </c>
      <c r="I45" s="258">
        <f t="shared" si="1"/>
        <v>-467765.53</v>
      </c>
      <c r="J45" s="575" t="e">
        <f t="shared" si="2"/>
        <v>#DIV/0!</v>
      </c>
      <c r="K45" s="642">
        <f>SUM(K46:K52)</f>
        <v>0</v>
      </c>
    </row>
    <row r="46" spans="1:11" ht="12.75" customHeight="1" x14ac:dyDescent="0.25">
      <c r="A46" s="574" t="s">
        <v>1249</v>
      </c>
      <c r="B46" s="169"/>
      <c r="C46" s="748"/>
      <c r="D46" s="745"/>
      <c r="E46" s="733"/>
      <c r="F46" s="733">
        <v>117892.12000000001</v>
      </c>
      <c r="G46" s="733">
        <v>467765.53</v>
      </c>
      <c r="H46" s="733"/>
      <c r="I46" s="258">
        <f t="shared" si="1"/>
        <v>-467765.53</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10133.23</v>
      </c>
      <c r="G53" s="408">
        <f t="shared" si="11"/>
        <v>40206.04</v>
      </c>
      <c r="H53" s="408">
        <f t="shared" si="11"/>
        <v>0</v>
      </c>
      <c r="I53" s="258">
        <f t="shared" si="1"/>
        <v>-40206.04</v>
      </c>
      <c r="J53" s="575" t="e">
        <f t="shared" si="2"/>
        <v>#DIV/0!</v>
      </c>
      <c r="K53" s="642">
        <f>SUM(K54:K62)</f>
        <v>0</v>
      </c>
    </row>
    <row r="54" spans="1:11" ht="12.75" customHeight="1" x14ac:dyDescent="0.25">
      <c r="A54" s="574" t="s">
        <v>1256</v>
      </c>
      <c r="B54" s="169"/>
      <c r="C54" s="748"/>
      <c r="D54" s="745"/>
      <c r="E54" s="733"/>
      <c r="F54" s="733">
        <v>10133.23</v>
      </c>
      <c r="G54" s="733">
        <v>40206.04</v>
      </c>
      <c r="H54" s="733"/>
      <c r="I54" s="258">
        <f t="shared" si="1"/>
        <v>-40206.04</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2540920.7199999997</v>
      </c>
      <c r="G75" s="578">
        <f t="shared" si="14"/>
        <v>10081717.5</v>
      </c>
      <c r="H75" s="578">
        <f t="shared" si="14"/>
        <v>12776737.242875542</v>
      </c>
      <c r="I75" s="578">
        <f t="shared" si="1"/>
        <v>2695019.7428755425</v>
      </c>
      <c r="J75" s="579">
        <f t="shared" si="2"/>
        <v>0.21093176541439146</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1400966.8600000003</v>
      </c>
      <c r="G76" s="408">
        <f t="shared" si="15"/>
        <v>5558674.7299999995</v>
      </c>
      <c r="H76" s="408">
        <f t="shared" si="15"/>
        <v>7404321.5345984446</v>
      </c>
      <c r="I76" s="258">
        <f t="shared" si="1"/>
        <v>1845646.8045984451</v>
      </c>
      <c r="J76" s="575">
        <f t="shared" si="2"/>
        <v>0.24926616111607575</v>
      </c>
      <c r="K76" s="642">
        <f>SUM(K77:K98)</f>
        <v>22212964.603795335</v>
      </c>
    </row>
    <row r="77" spans="1:11" ht="12.75" customHeight="1" x14ac:dyDescent="0.25">
      <c r="A77" s="574" t="s">
        <v>1269</v>
      </c>
      <c r="B77" s="169"/>
      <c r="C77" s="748"/>
      <c r="D77" s="753">
        <v>216338.10110699103</v>
      </c>
      <c r="E77" s="733">
        <v>216338.10110699103</v>
      </c>
      <c r="F77" s="733"/>
      <c r="G77" s="733"/>
      <c r="H77" s="733">
        <f>E77/12*4</f>
        <v>72112.700368997015</v>
      </c>
      <c r="I77" s="44">
        <f t="shared" si="1"/>
        <v>72112.700368997015</v>
      </c>
      <c r="J77" s="124">
        <f t="shared" si="2"/>
        <v>1</v>
      </c>
      <c r="K77" s="735">
        <f>E77</f>
        <v>216338.10110699103</v>
      </c>
    </row>
    <row r="78" spans="1:11" ht="12.75" customHeight="1" x14ac:dyDescent="0.25">
      <c r="A78" s="574" t="s">
        <v>1270</v>
      </c>
      <c r="B78" s="169"/>
      <c r="C78" s="748"/>
      <c r="D78" s="753"/>
      <c r="E78" s="733"/>
      <c r="F78" s="733">
        <v>303295.68</v>
      </c>
      <c r="G78" s="733">
        <v>1203398.9999999998</v>
      </c>
      <c r="H78" s="733"/>
      <c r="I78" s="44">
        <f t="shared" si="1"/>
        <v>-1203398.9999999998</v>
      </c>
      <c r="J78" s="124" t="e">
        <f t="shared" si="2"/>
        <v>#DIV/0!</v>
      </c>
      <c r="K78" s="735"/>
    </row>
    <row r="79" spans="1:11" ht="12.75" customHeight="1" x14ac:dyDescent="0.25">
      <c r="A79" s="574" t="s">
        <v>1271</v>
      </c>
      <c r="B79" s="169"/>
      <c r="C79" s="748"/>
      <c r="D79" s="753"/>
      <c r="E79" s="733"/>
      <c r="F79" s="733">
        <v>42468.74</v>
      </c>
      <c r="G79" s="733">
        <v>168505.04</v>
      </c>
      <c r="H79" s="733"/>
      <c r="I79" s="44">
        <f t="shared" si="1"/>
        <v>-168505.04</v>
      </c>
      <c r="J79" s="124" t="e">
        <f t="shared" si="2"/>
        <v>#DIV/0!</v>
      </c>
      <c r="K79" s="735"/>
    </row>
    <row r="80" spans="1:11" ht="12.75" customHeight="1" x14ac:dyDescent="0.25">
      <c r="A80" s="574" t="s">
        <v>1272</v>
      </c>
      <c r="B80" s="169"/>
      <c r="C80" s="748"/>
      <c r="D80" s="753">
        <v>11576837.362840936</v>
      </c>
      <c r="E80" s="733">
        <v>11576837.362840936</v>
      </c>
      <c r="F80" s="733">
        <v>59173.789999999994</v>
      </c>
      <c r="G80" s="733">
        <v>234786.25999999998</v>
      </c>
      <c r="H80" s="733">
        <f t="shared" ref="H80:H81" si="16">E80/12*4</f>
        <v>3858945.7876136452</v>
      </c>
      <c r="I80" s="44">
        <f t="shared" si="1"/>
        <v>3624159.5276136454</v>
      </c>
      <c r="J80" s="124">
        <f t="shared" si="2"/>
        <v>0.93915792734025672</v>
      </c>
      <c r="K80" s="735">
        <f t="shared" ref="K80:K81" si="17">E80</f>
        <v>11576837.362840936</v>
      </c>
    </row>
    <row r="81" spans="1:11" ht="12.75" customHeight="1" x14ac:dyDescent="0.25">
      <c r="A81" s="574" t="s">
        <v>1273</v>
      </c>
      <c r="B81" s="169"/>
      <c r="C81" s="748"/>
      <c r="D81" s="753">
        <v>4052316.8497124896</v>
      </c>
      <c r="E81" s="733">
        <v>4052316.8497124896</v>
      </c>
      <c r="F81" s="733">
        <v>52548.52</v>
      </c>
      <c r="G81" s="733">
        <v>208498.72</v>
      </c>
      <c r="H81" s="733">
        <f t="shared" si="16"/>
        <v>1350772.2832374966</v>
      </c>
      <c r="I81" s="44">
        <f t="shared" si="1"/>
        <v>1142273.5632374967</v>
      </c>
      <c r="J81" s="124">
        <f t="shared" si="2"/>
        <v>0.84564480439273193</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32249.21</v>
      </c>
      <c r="G85" s="733">
        <v>127956.59</v>
      </c>
      <c r="H85" s="733"/>
      <c r="I85" s="44">
        <f t="shared" si="1"/>
        <v>-127956.59</v>
      </c>
      <c r="J85" s="124" t="e">
        <f t="shared" si="2"/>
        <v>#DIV/0!</v>
      </c>
      <c r="K85" s="735"/>
    </row>
    <row r="86" spans="1:11" ht="12.75" customHeight="1" x14ac:dyDescent="0.25">
      <c r="A86" s="574" t="s">
        <v>553</v>
      </c>
      <c r="B86" s="169"/>
      <c r="C86" s="748"/>
      <c r="D86" s="753">
        <v>5202994.7779857824</v>
      </c>
      <c r="E86" s="733">
        <v>5202994.7779857824</v>
      </c>
      <c r="F86" s="733">
        <v>232523.85</v>
      </c>
      <c r="G86" s="733">
        <v>922594.62000000011</v>
      </c>
      <c r="H86" s="733">
        <f>E86/12*4</f>
        <v>1734331.5926619275</v>
      </c>
      <c r="I86" s="44">
        <f t="shared" si="1"/>
        <v>811736.97266192734</v>
      </c>
      <c r="J86" s="124">
        <f t="shared" si="2"/>
        <v>0.46804023872738093</v>
      </c>
      <c r="K86" s="735">
        <f>E86</f>
        <v>5202994.7779857824</v>
      </c>
    </row>
    <row r="87" spans="1:11" ht="12.75" customHeight="1" x14ac:dyDescent="0.25">
      <c r="A87" s="574" t="s">
        <v>1277</v>
      </c>
      <c r="B87" s="169"/>
      <c r="C87" s="748"/>
      <c r="D87" s="753"/>
      <c r="E87" s="733"/>
      <c r="F87" s="733">
        <v>37931.17</v>
      </c>
      <c r="G87" s="733">
        <v>150501.13</v>
      </c>
      <c r="H87" s="733"/>
      <c r="I87" s="44">
        <f t="shared" si="1"/>
        <v>-150501.13</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E89/12*4</f>
        <v>232364.91667160785</v>
      </c>
      <c r="I89" s="44">
        <f t="shared" si="1"/>
        <v>232364.91667160785</v>
      </c>
      <c r="J89" s="124">
        <f t="shared" si="2"/>
        <v>1</v>
      </c>
      <c r="K89" s="735">
        <f>E89</f>
        <v>697094.75001482351</v>
      </c>
    </row>
    <row r="90" spans="1:11" ht="12.75" customHeight="1" x14ac:dyDescent="0.25">
      <c r="A90" s="574" t="s">
        <v>1279</v>
      </c>
      <c r="B90" s="169"/>
      <c r="C90" s="748"/>
      <c r="D90" s="753"/>
      <c r="E90" s="733"/>
      <c r="F90" s="733">
        <v>8163.9</v>
      </c>
      <c r="G90" s="733">
        <v>32392.240000000002</v>
      </c>
      <c r="H90" s="733"/>
      <c r="I90" s="44">
        <f t="shared" si="1"/>
        <v>-32392.240000000002</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88003.05</v>
      </c>
      <c r="G92" s="733">
        <v>349173.36</v>
      </c>
      <c r="H92" s="733">
        <f>E92/12*4</f>
        <v>155794.25404477064</v>
      </c>
      <c r="I92" s="44">
        <f t="shared" si="1"/>
        <v>-193379.10595522934</v>
      </c>
      <c r="J92" s="124">
        <f t="shared" si="2"/>
        <v>-1.2412467143984522</v>
      </c>
      <c r="K92" s="735">
        <f>E92</f>
        <v>467382.76213431195</v>
      </c>
    </row>
    <row r="93" spans="1:11" ht="12.75" customHeight="1" x14ac:dyDescent="0.25">
      <c r="A93" s="574" t="s">
        <v>441</v>
      </c>
      <c r="B93" s="169"/>
      <c r="C93" s="748"/>
      <c r="D93" s="753"/>
      <c r="E93" s="733"/>
      <c r="F93" s="733">
        <v>488453.84</v>
      </c>
      <c r="G93" s="733">
        <v>1938058.81</v>
      </c>
      <c r="H93" s="733"/>
      <c r="I93" s="44">
        <f t="shared" si="1"/>
        <v>-1938058.81</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56155.11</v>
      </c>
      <c r="G96" s="733">
        <v>222808.96000000002</v>
      </c>
      <c r="H96" s="733"/>
      <c r="I96" s="44">
        <f t="shared" si="1"/>
        <v>-222808.96000000002</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1139953.8599999996</v>
      </c>
      <c r="G99" s="408">
        <f t="shared" si="18"/>
        <v>4523042.7700000005</v>
      </c>
      <c r="H99" s="408">
        <f t="shared" si="18"/>
        <v>5372415.7082770979</v>
      </c>
      <c r="I99" s="258">
        <f t="shared" si="1"/>
        <v>849372.93827709742</v>
      </c>
      <c r="J99" s="575">
        <f t="shared" si="2"/>
        <v>0.1580988859384983</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E100/12*4</f>
        <v>14488.326428346656</v>
      </c>
      <c r="I100" s="44">
        <f t="shared" si="1"/>
        <v>14488.326428346656</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1139953.8599999996</v>
      </c>
      <c r="G101" s="733">
        <v>4523042.7700000005</v>
      </c>
      <c r="H101" s="733">
        <f t="shared" si="19"/>
        <v>2889829.2748203999</v>
      </c>
      <c r="I101" s="44">
        <f>H101-G101</f>
        <v>-1633213.4951796005</v>
      </c>
      <c r="J101" s="124">
        <f>IF(I101=0,"",I101/H101)</f>
        <v>-0.565159163349227</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2468098.1070283512</v>
      </c>
      <c r="I102" s="44">
        <f t="shared" si="1"/>
        <v>2468098.1070283512</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2205713.4400000004</v>
      </c>
      <c r="G117" s="578">
        <f t="shared" si="25"/>
        <v>8751902.3300000038</v>
      </c>
      <c r="H117" s="578">
        <f t="shared" si="25"/>
        <v>54341323.189219922</v>
      </c>
      <c r="I117" s="578">
        <f t="shared" si="1"/>
        <v>45589420.859219916</v>
      </c>
      <c r="J117" s="579">
        <f t="shared" si="2"/>
        <v>0.83894572644973464</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2202715.9600000004</v>
      </c>
      <c r="G118" s="408">
        <f t="shared" si="26"/>
        <v>8740009.1400000043</v>
      </c>
      <c r="H118" s="408">
        <f t="shared" si="26"/>
        <v>54341323.189219922</v>
      </c>
      <c r="I118" s="258">
        <f t="shared" si="1"/>
        <v>45601314.049219921</v>
      </c>
      <c r="J118" s="575">
        <f t="shared" si="2"/>
        <v>0.83916458733316568</v>
      </c>
      <c r="K118" s="642">
        <f>SUM(K119:K129)</f>
        <v>163023969.56765977</v>
      </c>
    </row>
    <row r="119" spans="1:11" ht="12.75" customHeight="1" x14ac:dyDescent="0.25">
      <c r="A119" s="574" t="s">
        <v>1299</v>
      </c>
      <c r="B119" s="169"/>
      <c r="C119" s="748"/>
      <c r="D119" s="753">
        <v>108029891.92018634</v>
      </c>
      <c r="E119" s="733">
        <v>108029891.92018634</v>
      </c>
      <c r="F119" s="733">
        <v>2132320.5300000003</v>
      </c>
      <c r="G119" s="733">
        <v>8460698.3900000043</v>
      </c>
      <c r="H119" s="733">
        <f>E119/12*4</f>
        <v>36009963.973395444</v>
      </c>
      <c r="I119" s="44">
        <f t="shared" si="1"/>
        <v>27549265.58339544</v>
      </c>
      <c r="J119" s="124">
        <f t="shared" si="2"/>
        <v>0.76504563025248062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70395.429999999993</v>
      </c>
      <c r="G122" s="733">
        <v>279310.75</v>
      </c>
      <c r="H122" s="733">
        <f>E122/12*4</f>
        <v>576274.52585056354</v>
      </c>
      <c r="I122" s="44">
        <f t="shared" si="1"/>
        <v>296963.77585056354</v>
      </c>
      <c r="J122" s="124">
        <f t="shared" si="2"/>
        <v>0.51531650720158784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E129/12*4</f>
        <v>17755084.689973909</v>
      </c>
      <c r="I129" s="44">
        <f t="shared" si="1"/>
        <v>17755084.689973909</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2997.48</v>
      </c>
      <c r="G130" s="408">
        <f t="shared" si="27"/>
        <v>11893.189999999999</v>
      </c>
      <c r="H130" s="408">
        <f t="shared" si="27"/>
        <v>0</v>
      </c>
      <c r="I130" s="258">
        <f t="shared" si="1"/>
        <v>-11893.189999999999</v>
      </c>
      <c r="J130" s="575" t="e">
        <f t="shared" si="2"/>
        <v>#DIV/0!</v>
      </c>
      <c r="K130" s="642">
        <f>SUM(K131:K133)</f>
        <v>0</v>
      </c>
    </row>
    <row r="131" spans="1:11" ht="12.75" customHeight="1" x14ac:dyDescent="0.25">
      <c r="A131" s="574" t="s">
        <v>1309</v>
      </c>
      <c r="B131" s="169"/>
      <c r="C131" s="748"/>
      <c r="D131" s="753"/>
      <c r="E131" s="733"/>
      <c r="F131" s="733">
        <v>2997.48</v>
      </c>
      <c r="G131" s="733">
        <v>11893.189999999999</v>
      </c>
      <c r="H131" s="733"/>
      <c r="I131" s="44">
        <f t="shared" si="1"/>
        <v>-11893.189999999999</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889563.83000000007</v>
      </c>
      <c r="G138" s="942">
        <f t="shared" si="30"/>
        <v>3529559.7500000005</v>
      </c>
      <c r="H138" s="942">
        <f t="shared" si="30"/>
        <v>28298346.668062575</v>
      </c>
      <c r="I138" s="942">
        <f t="shared" ref="I138:I146" si="31">H138-G138</f>
        <v>24768786.918062575</v>
      </c>
      <c r="J138" s="324">
        <f t="shared" si="29"/>
        <v>0.87527328746794064</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889563.83000000007</v>
      </c>
      <c r="G140" s="408">
        <f t="shared" si="32"/>
        <v>3529559.7500000005</v>
      </c>
      <c r="H140" s="408">
        <f t="shared" si="32"/>
        <v>28298346.668062575</v>
      </c>
      <c r="I140" s="258">
        <f t="shared" si="31"/>
        <v>24768786.918062575</v>
      </c>
      <c r="J140" s="575">
        <f t="shared" si="29"/>
        <v>0.87527328746794064</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889563.83000000007</v>
      </c>
      <c r="G144" s="733">
        <v>3529559.7500000005</v>
      </c>
      <c r="H144" s="733">
        <f t="shared" ref="H144:H145" si="33">E144/12*4</f>
        <v>27707328.638185997</v>
      </c>
      <c r="I144" s="44">
        <f t="shared" si="31"/>
        <v>24177768.888185997</v>
      </c>
      <c r="J144" s="124">
        <f t="shared" si="29"/>
        <v>0.87261277346183452</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591018.02987658011</v>
      </c>
      <c r="I145" s="44">
        <f t="shared" si="31"/>
        <v>591018.02987658011</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0</v>
      </c>
      <c r="D148" s="577">
        <f t="shared" si="35"/>
        <v>65065902.198033363</v>
      </c>
      <c r="E148" s="578">
        <f t="shared" si="35"/>
        <v>57565902.473793715</v>
      </c>
      <c r="F148" s="578">
        <f t="shared" si="35"/>
        <v>867391.34999999986</v>
      </c>
      <c r="G148" s="578">
        <f t="shared" si="35"/>
        <v>3353602.950000003</v>
      </c>
      <c r="H148" s="578">
        <f t="shared" si="35"/>
        <v>19188634.157931238</v>
      </c>
      <c r="I148" s="578">
        <f>H148-G148</f>
        <v>15835031.207931235</v>
      </c>
      <c r="J148" s="324">
        <f>IF(I148=0,"",I148/H148)</f>
        <v>0.82522972076082557</v>
      </c>
      <c r="K148" s="580">
        <f>SUM(K149)</f>
        <v>57565902.473793715</v>
      </c>
    </row>
    <row r="149" spans="1:12" ht="12.75" customHeight="1" x14ac:dyDescent="0.25">
      <c r="A149" s="518" t="s">
        <v>1321</v>
      </c>
      <c r="B149" s="169"/>
      <c r="C149" s="748"/>
      <c r="D149" s="753">
        <v>65065902.198033363</v>
      </c>
      <c r="E149" s="733">
        <v>57565902.473793715</v>
      </c>
      <c r="F149" s="733">
        <v>867391.34999999986</v>
      </c>
      <c r="G149" s="733">
        <v>3353602.950000003</v>
      </c>
      <c r="H149" s="733">
        <f>E149/12*4</f>
        <v>19188634.157931238</v>
      </c>
      <c r="I149" s="44">
        <f>H149-G149</f>
        <v>15835031.207931235</v>
      </c>
      <c r="J149" s="124">
        <f>IF(I149=0,"",I149/H149)</f>
        <v>0.82522972076082557</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0</v>
      </c>
      <c r="D151" s="577">
        <f t="shared" si="36"/>
        <v>27965528.287261501</v>
      </c>
      <c r="E151" s="578">
        <f t="shared" si="36"/>
        <v>27965528.287261501</v>
      </c>
      <c r="F151" s="578">
        <f t="shared" si="36"/>
        <v>138723.44</v>
      </c>
      <c r="G151" s="578">
        <f t="shared" si="36"/>
        <v>550403.56999999995</v>
      </c>
      <c r="H151" s="578">
        <f t="shared" si="36"/>
        <v>9321842.7624204997</v>
      </c>
      <c r="I151" s="578">
        <f>H151-G151</f>
        <v>8771439.1924204994</v>
      </c>
      <c r="J151" s="324">
        <f>IF(I151=0,"",I151/H151)</f>
        <v>0.94095549731659678</v>
      </c>
      <c r="K151" s="580">
        <f>SUM(K152)</f>
        <v>27965528.287261501</v>
      </c>
    </row>
    <row r="152" spans="1:12" ht="12.75" customHeight="1" x14ac:dyDescent="0.25">
      <c r="A152" s="518" t="s">
        <v>1322</v>
      </c>
      <c r="B152" s="169"/>
      <c r="C152" s="748"/>
      <c r="D152" s="753">
        <v>27965528.287261501</v>
      </c>
      <c r="E152" s="733">
        <v>27965528.287261501</v>
      </c>
      <c r="F152" s="733">
        <v>138723.44</v>
      </c>
      <c r="G152" s="733">
        <v>550403.56999999995</v>
      </c>
      <c r="H152" s="733">
        <f>E152/12*4</f>
        <v>9321842.7624204997</v>
      </c>
      <c r="I152" s="44">
        <f>H152-G152</f>
        <v>8771439.1924204994</v>
      </c>
      <c r="J152" s="124">
        <f>IF(I152=0,"",I152/H152)</f>
        <v>0.94095549731659678</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0</v>
      </c>
      <c r="D154" s="577">
        <f t="shared" si="37"/>
        <v>7418705.5248501254</v>
      </c>
      <c r="E154" s="578">
        <f t="shared" si="37"/>
        <v>8368705.5248501254</v>
      </c>
      <c r="F154" s="578">
        <f t="shared" si="37"/>
        <v>684286.20000000054</v>
      </c>
      <c r="G154" s="578">
        <f t="shared" si="37"/>
        <v>2714224.2699999972</v>
      </c>
      <c r="H154" s="578">
        <f t="shared" si="37"/>
        <v>2789568.5082833753</v>
      </c>
      <c r="I154" s="578">
        <f>H154-G154</f>
        <v>75344.238283378072</v>
      </c>
      <c r="J154" s="324">
        <f>IF(I154=0,"",I154/H154)</f>
        <v>2.700928048895378E-2</v>
      </c>
      <c r="K154" s="580">
        <f>SUM(K155)</f>
        <v>8368705.5248501254</v>
      </c>
    </row>
    <row r="155" spans="1:12" ht="12.75" customHeight="1" x14ac:dyDescent="0.25">
      <c r="A155" s="518" t="s">
        <v>1323</v>
      </c>
      <c r="B155" s="169"/>
      <c r="C155" s="748"/>
      <c r="D155" s="753">
        <v>7418705.5248501254</v>
      </c>
      <c r="E155" s="733">
        <v>8368705.5248501254</v>
      </c>
      <c r="F155" s="733">
        <v>684286.20000000054</v>
      </c>
      <c r="G155" s="733">
        <v>2714224.2699999972</v>
      </c>
      <c r="H155" s="733">
        <f>E155/12*4</f>
        <v>2789568.5082833753</v>
      </c>
      <c r="I155" s="44">
        <f>H155-G155</f>
        <v>75344.238283378072</v>
      </c>
      <c r="J155" s="124">
        <f>IF(I155=0,"",I155/H155)</f>
        <v>2.700928048895378E-2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0</v>
      </c>
      <c r="D157" s="577">
        <f t="shared" si="38"/>
        <v>106660.31115601346</v>
      </c>
      <c r="E157" s="578">
        <f t="shared" si="38"/>
        <v>106660.31115601346</v>
      </c>
      <c r="F157" s="578">
        <f t="shared" si="38"/>
        <v>1213006.51</v>
      </c>
      <c r="G157" s="578">
        <f t="shared" si="38"/>
        <v>4792055.1400000006</v>
      </c>
      <c r="H157" s="578">
        <f t="shared" si="38"/>
        <v>35553.437052004483</v>
      </c>
      <c r="I157" s="578">
        <f>H157-G157</f>
        <v>-4756501.7029479966</v>
      </c>
      <c r="J157" s="324">
        <f>IF(I157=0,"",I157/H157)</f>
        <v>-133.78458167041904</v>
      </c>
      <c r="K157" s="580">
        <f>SUM(K158)</f>
        <v>106660.31115601346</v>
      </c>
    </row>
    <row r="158" spans="1:12" ht="12.75" customHeight="1" x14ac:dyDescent="0.25">
      <c r="A158" s="518" t="s">
        <v>1324</v>
      </c>
      <c r="B158" s="169"/>
      <c r="C158" s="748"/>
      <c r="D158" s="753">
        <v>106660.31115601346</v>
      </c>
      <c r="E158" s="733">
        <v>106660.31115601346</v>
      </c>
      <c r="F158" s="733">
        <v>1213006.51</v>
      </c>
      <c r="G158" s="733">
        <v>4792055.1400000006</v>
      </c>
      <c r="H158" s="733">
        <f>E158/12*4</f>
        <v>35553.437052004483</v>
      </c>
      <c r="I158" s="44">
        <f>H158-G158</f>
        <v>-4756501.7029479966</v>
      </c>
      <c r="J158" s="124">
        <f>IF(I158=0,"",I158/H158)</f>
        <v>-133.78458167041904</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0</v>
      </c>
      <c r="D166" s="271">
        <f t="shared" si="41"/>
        <v>488991448.27473986</v>
      </c>
      <c r="E166" s="55">
        <f t="shared" si="41"/>
        <v>482441448.55050027</v>
      </c>
      <c r="F166" s="55">
        <f t="shared" si="41"/>
        <v>35766938.970000006</v>
      </c>
      <c r="G166" s="55">
        <f t="shared" si="41"/>
        <v>141804590.74000001</v>
      </c>
      <c r="H166" s="55">
        <f t="shared" si="41"/>
        <v>160813816.18350011</v>
      </c>
      <c r="I166" s="55">
        <f t="shared" si="1"/>
        <v>19009225.443500102</v>
      </c>
      <c r="J166" s="290">
        <f t="shared" si="2"/>
        <v>0.11820641966365135</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31" activePane="bottomRight" state="frozen"/>
      <selection pane="topRight"/>
      <selection pane="bottomLeft"/>
      <selection pane="bottomRight" activeCell="H46" sqref="H4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"&amp;S71Se&amp; " - "&amp;Head57</f>
        <v>KZN225 Msunduzi - Supporting Table SC13e Monthly Budget Statement - capital expenditure on upgrading of existing assets by asset class - M04 October</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34546647.060000002</v>
      </c>
      <c r="G7" s="102">
        <f t="shared" si="0"/>
        <v>77474363.450000003</v>
      </c>
      <c r="H7" s="102">
        <f t="shared" si="0"/>
        <v>19010654.005878329</v>
      </c>
      <c r="I7" s="101">
        <f t="shared" ref="I7:I133" si="1">H7-G7</f>
        <v>-58463709.444121674</v>
      </c>
      <c r="J7" s="579">
        <f t="shared" ref="J7:J136" si="2">IF(I7=0,"",I7/H7)</f>
        <v>-3.0753128969705079</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20516532.380000003</v>
      </c>
      <c r="G8" s="608">
        <f t="shared" si="3"/>
        <v>46579414.539999999</v>
      </c>
      <c r="H8" s="608">
        <f t="shared" si="3"/>
        <v>10418438.243155543</v>
      </c>
      <c r="I8" s="258">
        <f t="shared" si="1"/>
        <v>-36160976.296844453</v>
      </c>
      <c r="J8" s="575">
        <f t="shared" si="2"/>
        <v>-3.4708634300923777</v>
      </c>
      <c r="K8" s="610">
        <f>SUM(K9:K12)</f>
        <v>31255314.729466628</v>
      </c>
    </row>
    <row r="9" spans="1:11" ht="12.75" customHeight="1" x14ac:dyDescent="0.25">
      <c r="A9" s="574" t="s">
        <v>168</v>
      </c>
      <c r="B9" s="169"/>
      <c r="C9" s="748"/>
      <c r="D9" s="745">
        <v>31255314.729466628</v>
      </c>
      <c r="E9" s="733">
        <v>31255314.729466628</v>
      </c>
      <c r="F9" s="733">
        <v>20516532.380000003</v>
      </c>
      <c r="G9" s="733">
        <v>46579414.539999999</v>
      </c>
      <c r="H9" s="733">
        <f>E9/12*4</f>
        <v>10418438.243155543</v>
      </c>
      <c r="I9" s="258">
        <f t="shared" si="1"/>
        <v>-36160976.296844453</v>
      </c>
      <c r="J9" s="575">
        <f t="shared" si="2"/>
        <v>-3.4708634300923777</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5395159.949854292</v>
      </c>
      <c r="I17" s="258">
        <f t="shared" si="1"/>
        <v>5395159.949854292</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E18/12*4</f>
        <v>5395159.949854292</v>
      </c>
      <c r="I18" s="258">
        <f t="shared" si="1"/>
        <v>5395159.949854292</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9990702.6899999995</v>
      </c>
      <c r="G27" s="408">
        <f t="shared" si="6"/>
        <v>12374886.5</v>
      </c>
      <c r="H27" s="408">
        <f t="shared" si="6"/>
        <v>1821070.1553958347</v>
      </c>
      <c r="I27" s="258">
        <f t="shared" si="1"/>
        <v>-10553816.344604164</v>
      </c>
      <c r="J27" s="575">
        <f t="shared" si="2"/>
        <v>-5.7953925132061412</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v>3571224.81</v>
      </c>
      <c r="G30" s="733">
        <v>4072063.11</v>
      </c>
      <c r="H30" s="733">
        <f>E30/12*4</f>
        <v>1821070.1553958347</v>
      </c>
      <c r="I30" s="258">
        <f t="shared" si="1"/>
        <v>-2250992.9546041652</v>
      </c>
      <c r="J30" s="575">
        <f t="shared" si="2"/>
        <v>-1.2360825023321964</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6419477.8799999999</v>
      </c>
      <c r="G34" s="733">
        <v>8302823.3900000006</v>
      </c>
      <c r="H34" s="733"/>
      <c r="I34" s="258">
        <f t="shared" si="1"/>
        <v>-8302823.3900000006</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4039411.99</v>
      </c>
      <c r="G38" s="408">
        <f t="shared" si="7"/>
        <v>16988054.760000002</v>
      </c>
      <c r="H38" s="408">
        <f t="shared" si="7"/>
        <v>0</v>
      </c>
      <c r="I38" s="258">
        <f t="shared" si="1"/>
        <v>-16988054.760000002</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4039411.99</v>
      </c>
      <c r="G40" s="733">
        <v>13775878.450000001</v>
      </c>
      <c r="H40" s="733"/>
      <c r="I40" s="258">
        <f t="shared" si="1"/>
        <v>-13775878.450000001</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v>3212176.3099999996</v>
      </c>
      <c r="H43" s="733"/>
      <c r="I43" s="258">
        <f t="shared" si="1"/>
        <v>-3212176.3099999996</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1532007.65</v>
      </c>
      <c r="H45" s="408">
        <f t="shared" si="8"/>
        <v>1375985.6574726589</v>
      </c>
      <c r="I45" s="258">
        <f t="shared" si="1"/>
        <v>-156021.992527341</v>
      </c>
      <c r="J45" s="575">
        <f t="shared" si="2"/>
        <v>-0.11338925786037213</v>
      </c>
      <c r="K45" s="642">
        <f>SUM(K46:K52)</f>
        <v>4127956.9724179767</v>
      </c>
    </row>
    <row r="46" spans="1:11" ht="12.75" customHeight="1" x14ac:dyDescent="0.25">
      <c r="A46" s="574" t="s">
        <v>1249</v>
      </c>
      <c r="B46" s="169"/>
      <c r="C46" s="748"/>
      <c r="D46" s="745">
        <v>4127956.9724179767</v>
      </c>
      <c r="E46" s="733">
        <v>4127956.9724179767</v>
      </c>
      <c r="F46" s="733"/>
      <c r="G46" s="733">
        <v>1532007.65</v>
      </c>
      <c r="H46" s="733">
        <f>E46/12*4</f>
        <v>1375985.6574726589</v>
      </c>
      <c r="I46" s="258">
        <f t="shared" si="1"/>
        <v>-156021.992527341</v>
      </c>
      <c r="J46" s="575">
        <f t="shared" si="2"/>
        <v>-0.11338925786037213</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0</v>
      </c>
      <c r="G75" s="578">
        <f t="shared" si="12"/>
        <v>0</v>
      </c>
      <c r="H75" s="578">
        <f t="shared" si="12"/>
        <v>3333333.3333333335</v>
      </c>
      <c r="I75" s="578">
        <f t="shared" si="1"/>
        <v>3333333.3333333335</v>
      </c>
      <c r="J75" s="579">
        <f t="shared" si="2"/>
        <v>1</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0</v>
      </c>
      <c r="G76" s="408">
        <f t="shared" si="13"/>
        <v>0</v>
      </c>
      <c r="H76" s="408">
        <f t="shared" si="13"/>
        <v>3333333.3333333335</v>
      </c>
      <c r="I76" s="258">
        <f t="shared" si="1"/>
        <v>3333333.3333333335</v>
      </c>
      <c r="J76" s="575">
        <f t="shared" si="2"/>
        <v>1</v>
      </c>
      <c r="K76" s="642">
        <f>SUM(K77:K98)</f>
        <v>10000000</v>
      </c>
    </row>
    <row r="77" spans="1:11" ht="12.75" customHeight="1" x14ac:dyDescent="0.25">
      <c r="A77" s="574" t="s">
        <v>1269</v>
      </c>
      <c r="B77" s="169"/>
      <c r="C77" s="748"/>
      <c r="D77" s="753"/>
      <c r="E77" s="733">
        <v>10000000</v>
      </c>
      <c r="F77" s="733"/>
      <c r="G77" s="733"/>
      <c r="H77" s="733">
        <f>E77/12*4</f>
        <v>3333333.3333333335</v>
      </c>
      <c r="I77" s="44">
        <f t="shared" si="1"/>
        <v>3333333.3333333335</v>
      </c>
      <c r="J77" s="124">
        <f t="shared" si="2"/>
        <v>1</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-1082623.3999999999</v>
      </c>
      <c r="H103" s="99">
        <f t="shared" si="15"/>
        <v>1355595.0390968944</v>
      </c>
      <c r="I103" s="99">
        <f t="shared" si="1"/>
        <v>2438218.4390968941</v>
      </c>
      <c r="J103" s="324">
        <f t="shared" si="2"/>
        <v>1.7986333446021239</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v>-1082623.3999999999</v>
      </c>
      <c r="H108" s="733">
        <f>E108/12*4</f>
        <v>1355595.0390968944</v>
      </c>
      <c r="I108" s="44">
        <f t="shared" si="1"/>
        <v>2438218.4390968941</v>
      </c>
      <c r="J108" s="124">
        <f t="shared" si="2"/>
        <v>1.7986333446021239</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v>-97000</v>
      </c>
      <c r="H144" s="733"/>
      <c r="I144" s="44">
        <f t="shared" si="25"/>
        <v>97000</v>
      </c>
      <c r="J144" s="124" t="e">
        <f t="shared" si="23"/>
        <v>#DIV/0!</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57507.478591447412</v>
      </c>
      <c r="I148" s="578">
        <f>H148-G148</f>
        <v>57507.478591447412</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E149/12*4</f>
        <v>57507.478591447412</v>
      </c>
      <c r="I149" s="44">
        <f>H149-G149</f>
        <v>57507.478591447412</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9584.5797652412366</v>
      </c>
      <c r="I151" s="578">
        <f>H151-G151</f>
        <v>9584.5797652412366</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E152/12*4</f>
        <v>9584.5797652412366</v>
      </c>
      <c r="I152" s="44">
        <f>H152-G152</f>
        <v>9584.5797652412366</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736833.28</v>
      </c>
      <c r="H157" s="578">
        <f t="shared" si="30"/>
        <v>16049992.230001425</v>
      </c>
      <c r="I157" s="578">
        <f>H157-G157</f>
        <v>15313158.950001426</v>
      </c>
      <c r="J157" s="324">
        <f>IF(I157=0,"",I157/H157)</f>
        <v>0.95409136219875079</v>
      </c>
      <c r="K157" s="580">
        <f>SUM(K158)</f>
        <v>48149976.690004274</v>
      </c>
    </row>
    <row r="158" spans="1:12" ht="12.75" customHeight="1" x14ac:dyDescent="0.25">
      <c r="A158" s="518" t="s">
        <v>1324</v>
      </c>
      <c r="B158" s="169"/>
      <c r="C158" s="748"/>
      <c r="D158" s="753">
        <v>48149976.690004274</v>
      </c>
      <c r="E158" s="733">
        <v>48149976.690004274</v>
      </c>
      <c r="F158" s="733"/>
      <c r="G158" s="733">
        <v>736833.28</v>
      </c>
      <c r="H158" s="733">
        <f>E158/12*4</f>
        <v>16049992.230001425</v>
      </c>
      <c r="I158" s="44">
        <f>H158-G158</f>
        <v>15313158.950001426</v>
      </c>
      <c r="J158" s="124">
        <f>IF(I158=0,"",I158/H158)</f>
        <v>0.95409136219875079</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34546647.060000002</v>
      </c>
      <c r="G166" s="55">
        <f t="shared" si="33"/>
        <v>77031573.329999998</v>
      </c>
      <c r="H166" s="55">
        <f t="shared" si="33"/>
        <v>39816666.666666672</v>
      </c>
      <c r="I166" s="55">
        <f>H166-G166</f>
        <v>-37214906.663333327</v>
      </c>
      <c r="J166" s="290">
        <f>IF(I166=0,"",I166/H166)</f>
        <v>-0.93465650891586405</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58" workbookViewId="0">
      <selection activeCell="B3" sqref="B3"/>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51590953.230000004</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0</v>
      </c>
      <c r="F7" s="43"/>
      <c r="G7" s="43"/>
      <c r="H7" s="43"/>
      <c r="I7" s="43"/>
      <c r="J7" s="43"/>
      <c r="K7" s="43"/>
    </row>
    <row r="8" spans="1:11" x14ac:dyDescent="0.25">
      <c r="A8" s="42" t="str">
        <f>LEFT('SC12'!A11,3)</f>
        <v>Dec</v>
      </c>
      <c r="B8" s="43">
        <f>'SC12'!B11</f>
        <v>66093583.333333336</v>
      </c>
      <c r="C8" s="43">
        <f>'SC12'!C11</f>
        <v>48407631.75</v>
      </c>
      <c r="D8" s="43">
        <f>'SC12'!D11</f>
        <v>0</v>
      </c>
      <c r="E8" s="45">
        <f>'SC12'!E11</f>
        <v>0</v>
      </c>
      <c r="F8" s="43"/>
      <c r="G8" s="43"/>
      <c r="H8" s="43"/>
      <c r="I8" s="43"/>
      <c r="J8" s="43"/>
      <c r="K8" s="43"/>
    </row>
    <row r="9" spans="1:11" x14ac:dyDescent="0.25">
      <c r="A9" s="42" t="str">
        <f>LEFT('SC12'!A12,3)</f>
        <v>Jan</v>
      </c>
      <c r="B9" s="43">
        <f>'SC12'!B12</f>
        <v>66093583.333333336</v>
      </c>
      <c r="C9" s="43">
        <f>'SC12'!C12</f>
        <v>48407631.75</v>
      </c>
      <c r="D9" s="43">
        <f>'SC12'!D12</f>
        <v>0</v>
      </c>
      <c r="E9" s="45">
        <f>'SC12'!E12</f>
        <v>0</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80820961.820000008</v>
      </c>
      <c r="C30" s="45">
        <f>'SC12'!G8</f>
        <v>145222895.25</v>
      </c>
      <c r="D30" s="43"/>
      <c r="E30" s="43"/>
      <c r="F30" s="43"/>
      <c r="G30" s="43"/>
      <c r="H30" s="43"/>
      <c r="I30" s="43"/>
    </row>
    <row r="31" spans="1:10" x14ac:dyDescent="0.25">
      <c r="A31" s="42" t="str">
        <f>LEFT('SC12'!A9,3)</f>
        <v>Oct</v>
      </c>
      <c r="B31" s="43">
        <f>'SC12'!F9</f>
        <v>115572623.26000001</v>
      </c>
      <c r="C31" s="45">
        <f>'SC12'!G9</f>
        <v>193630527</v>
      </c>
      <c r="D31" s="43"/>
      <c r="E31" s="43"/>
      <c r="F31" s="43"/>
      <c r="G31" s="43"/>
      <c r="H31" s="43"/>
      <c r="I31" s="43"/>
    </row>
    <row r="32" spans="1:10" x14ac:dyDescent="0.25">
      <c r="A32" s="42" t="str">
        <f>LEFT('SC12'!A10,3)</f>
        <v>Nov</v>
      </c>
      <c r="B32" s="43" t="str">
        <f>'SC12'!F10</f>
        <v/>
      </c>
      <c r="C32" s="45">
        <f>'SC12'!G10</f>
        <v>242038158.75</v>
      </c>
      <c r="D32" s="43"/>
      <c r="E32" s="43"/>
      <c r="F32" s="43"/>
      <c r="G32" s="43"/>
      <c r="H32" s="43"/>
      <c r="I32" s="43"/>
    </row>
    <row r="33" spans="1:9" x14ac:dyDescent="0.25">
      <c r="A33" s="42" t="str">
        <f>LEFT('SC12'!A11,3)</f>
        <v>Dec</v>
      </c>
      <c r="B33" s="43" t="str">
        <f>'SC12'!F11</f>
        <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656449561.10000002</v>
      </c>
      <c r="C53" s="43">
        <f>'SC3'!D14</f>
        <v>121132433.04000001</v>
      </c>
      <c r="D53" s="43">
        <f>'SC3'!E14</f>
        <v>129805622.16999999</v>
      </c>
      <c r="E53" s="43">
        <f>'SC3'!F14</f>
        <v>96785494.489999995</v>
      </c>
      <c r="F53" s="43">
        <f>'SC3'!G14</f>
        <v>87189202.5</v>
      </c>
      <c r="G53" s="43">
        <f>'SC3'!H14</f>
        <v>58787527.939999998</v>
      </c>
      <c r="H53" s="43">
        <f>'SC3'!I14</f>
        <v>524167804.82999998</v>
      </c>
      <c r="I53" s="43">
        <f>'SC3'!J14</f>
        <v>3047610173.7199998</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724436649.23709989</v>
      </c>
      <c r="C78" s="43">
        <f>'SC3'!K17</f>
        <v>746841906.42999995</v>
      </c>
      <c r="D78" s="43"/>
      <c r="E78" s="43"/>
      <c r="F78" s="43"/>
      <c r="G78" s="43"/>
      <c r="H78" s="43"/>
      <c r="I78" s="43"/>
      <c r="J78" s="43"/>
    </row>
    <row r="79" spans="1:10" x14ac:dyDescent="0.25">
      <c r="A79" s="61" t="str">
        <f>'SC3'!A18</f>
        <v>Commercial</v>
      </c>
      <c r="B79" s="43">
        <f>C79*0.97</f>
        <v>234401554.68099999</v>
      </c>
      <c r="C79" s="43">
        <f>'SC3'!K18</f>
        <v>241651087.30000001</v>
      </c>
      <c r="D79" s="43"/>
      <c r="E79" s="43"/>
      <c r="F79" s="43"/>
      <c r="G79" s="43"/>
      <c r="H79" s="43"/>
      <c r="I79" s="43"/>
      <c r="J79" s="43"/>
    </row>
    <row r="80" spans="1:10" x14ac:dyDescent="0.25">
      <c r="A80" s="61" t="str">
        <f>'SC3'!A19</f>
        <v>Households</v>
      </c>
      <c r="B80" s="43">
        <f>C80*0.97</f>
        <v>3390834382.6949</v>
      </c>
      <c r="C80" s="43">
        <f>'SC3'!K19</f>
        <v>3495705549.1700001</v>
      </c>
    </row>
    <row r="81" spans="1:3" x14ac:dyDescent="0.25">
      <c r="A81" s="61" t="str">
        <f>'SC3'!A20</f>
        <v>Other</v>
      </c>
      <c r="B81" s="43">
        <f>C81*0.97</f>
        <v>230597398.58329999</v>
      </c>
      <c r="C81" s="43">
        <f>'SC3'!K20</f>
        <v>237729276.88999999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127812382</v>
      </c>
      <c r="C103" s="405">
        <f>'SC4'!L7</f>
        <v>66804300</v>
      </c>
      <c r="D103" s="405">
        <f>'SC4'!L8</f>
        <v>0</v>
      </c>
      <c r="E103" s="405">
        <f>'SC4'!L9</f>
        <v>126815563</v>
      </c>
      <c r="F103" s="405">
        <f>'SC4'!L10</f>
        <v>0</v>
      </c>
      <c r="G103" s="405">
        <f>'SC4'!L11</f>
        <v>0</v>
      </c>
      <c r="H103" s="405">
        <f>'SC4'!L12</f>
        <v>48586959</v>
      </c>
      <c r="I103" s="405">
        <f>'SC4'!L13</f>
        <v>0</v>
      </c>
      <c r="J103" s="405">
        <f>'SC4'!L14</f>
        <v>365418249</v>
      </c>
    </row>
    <row r="104" spans="1:10" x14ac:dyDescent="0.25">
      <c r="A104" s="61" t="str">
        <f>A53</f>
        <v>Budget Year 2020/21</v>
      </c>
      <c r="B104" s="43">
        <f>'SC4'!K6</f>
        <v>246554554.86000001</v>
      </c>
      <c r="C104" s="43">
        <f>'SC4'!K7</f>
        <v>255506217.22999999</v>
      </c>
      <c r="D104" s="43">
        <f>'SC4'!K8</f>
        <v>0</v>
      </c>
      <c r="E104" s="43">
        <f>'SC4'!K9</f>
        <v>197756318.49999997</v>
      </c>
      <c r="F104" s="43">
        <f>'SC4'!K10</f>
        <v>0</v>
      </c>
      <c r="G104" s="43">
        <f>'SC4'!K11</f>
        <v>0</v>
      </c>
      <c r="H104" s="43">
        <f>'SC4'!K12</f>
        <v>83100843.930000007</v>
      </c>
      <c r="I104" s="43">
        <f>'SC4'!K13</f>
        <v>0</v>
      </c>
      <c r="J104" s="43">
        <f>'SC4'!K14</f>
        <v>367427070</v>
      </c>
    </row>
    <row r="106" spans="1:10" ht="12" customHeight="1" x14ac:dyDescent="0.25">
      <c r="A106" s="61"/>
      <c r="B106" s="43"/>
      <c r="C106" s="43"/>
    </row>
  </sheetData>
  <sheetProtection sheet="1" objects="1" scenarios="1"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94" workbookViewId="0">
      <selection activeCell="A140" sqref="A140"/>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6"/>
      <c r="D8" s="1016"/>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c r="C10" s="845"/>
      <c r="D10" s="846"/>
      <c r="F10" s="823"/>
      <c r="G10" s="822"/>
      <c r="H10" s="823"/>
      <c r="I10" s="823"/>
      <c r="J10" s="822"/>
      <c r="K10" s="824"/>
      <c r="L10" s="824"/>
      <c r="M10" s="824"/>
      <c r="N10" s="824"/>
      <c r="O10" s="824"/>
      <c r="P10" s="825"/>
      <c r="Q10" s="826"/>
    </row>
    <row r="11" spans="1:17" ht="13.5" customHeight="1" x14ac:dyDescent="0.2">
      <c r="A11" s="847"/>
      <c r="B11" s="848"/>
      <c r="C11" s="1017"/>
      <c r="D11" s="1018"/>
      <c r="F11" s="823"/>
      <c r="G11" s="822"/>
      <c r="H11" s="823"/>
      <c r="I11" s="823"/>
      <c r="J11" s="822"/>
      <c r="K11" s="824"/>
      <c r="L11" s="824"/>
      <c r="M11" s="824"/>
      <c r="N11" s="824"/>
      <c r="O11" s="824"/>
      <c r="P11" s="825"/>
      <c r="Q11" s="829"/>
    </row>
    <row r="12" spans="1:17" ht="13.5" customHeight="1" x14ac:dyDescent="0.2">
      <c r="A12" s="843" t="s">
        <v>344</v>
      </c>
      <c r="B12" s="849"/>
      <c r="C12" s="850"/>
      <c r="D12" s="850"/>
      <c r="F12" s="823"/>
      <c r="G12" s="823"/>
      <c r="H12" s="823"/>
      <c r="I12" s="823"/>
      <c r="J12" s="822"/>
      <c r="K12" s="824"/>
      <c r="L12" s="824"/>
      <c r="M12" s="824"/>
      <c r="N12" s="824"/>
      <c r="O12" s="824"/>
      <c r="P12" s="825"/>
      <c r="Q12" s="826"/>
    </row>
    <row r="13" spans="1:17" ht="13.5" customHeight="1" x14ac:dyDescent="0.2">
      <c r="A13" s="851"/>
      <c r="B13" s="852"/>
      <c r="C13" s="1019"/>
      <c r="D13" s="1019"/>
      <c r="F13" s="823"/>
      <c r="G13" s="823"/>
      <c r="H13" s="823"/>
      <c r="I13" s="853"/>
      <c r="J13" s="823"/>
      <c r="K13" s="824"/>
      <c r="L13" s="824"/>
      <c r="M13" s="824"/>
      <c r="N13" s="824"/>
      <c r="O13" s="824"/>
      <c r="P13" s="825"/>
    </row>
    <row r="14" spans="1:17" ht="13.5" customHeight="1" thickBot="1" x14ac:dyDescent="0.25">
      <c r="A14" s="1020" t="s">
        <v>345</v>
      </c>
      <c r="B14" s="1021"/>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c r="C16" s="812"/>
      <c r="D16" s="812"/>
      <c r="E16" s="834"/>
      <c r="F16" s="854"/>
      <c r="G16" s="853"/>
      <c r="H16" s="854"/>
      <c r="I16" s="854"/>
      <c r="J16" s="823"/>
      <c r="K16" s="824"/>
      <c r="L16" s="824"/>
      <c r="M16" s="824"/>
      <c r="N16" s="824"/>
      <c r="O16" s="824"/>
      <c r="P16" s="825"/>
      <c r="Q16" s="813"/>
    </row>
    <row r="17" spans="1:17" ht="13.5" customHeight="1" x14ac:dyDescent="0.2">
      <c r="A17" s="857" t="s">
        <v>348</v>
      </c>
      <c r="B17" s="858"/>
      <c r="F17" s="854"/>
      <c r="G17" s="854"/>
      <c r="H17" s="854"/>
      <c r="I17" s="854"/>
      <c r="J17" s="853"/>
      <c r="K17" s="824"/>
      <c r="L17" s="824"/>
      <c r="M17" s="824"/>
      <c r="N17" s="824"/>
      <c r="O17" s="824"/>
      <c r="P17" s="825"/>
    </row>
    <row r="18" spans="1:17" ht="13.5" customHeight="1" x14ac:dyDescent="0.2">
      <c r="A18" s="859" t="s">
        <v>349</v>
      </c>
      <c r="B18" s="860"/>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c r="F21" s="854"/>
      <c r="G21" s="854"/>
      <c r="H21" s="854"/>
      <c r="I21" s="854"/>
      <c r="J21" s="854"/>
      <c r="K21" s="824"/>
      <c r="L21" s="824"/>
      <c r="M21" s="824"/>
      <c r="N21" s="824"/>
      <c r="O21" s="824"/>
      <c r="P21" s="825"/>
    </row>
    <row r="22" spans="1:17" ht="13.5" customHeight="1" x14ac:dyDescent="0.2">
      <c r="A22" s="857" t="s">
        <v>352</v>
      </c>
      <c r="B22" s="858"/>
      <c r="F22" s="854"/>
      <c r="G22" s="854"/>
      <c r="H22" s="854"/>
      <c r="I22" s="854"/>
      <c r="J22" s="854"/>
      <c r="K22" s="824"/>
      <c r="L22" s="824"/>
      <c r="M22" s="824"/>
      <c r="N22" s="824"/>
      <c r="O22" s="824"/>
      <c r="P22" s="825"/>
    </row>
    <row r="23" spans="1:17" ht="13.5" customHeight="1" x14ac:dyDescent="0.2">
      <c r="A23" s="857" t="s">
        <v>348</v>
      </c>
      <c r="B23" s="858"/>
      <c r="F23" s="854"/>
      <c r="G23" s="854"/>
      <c r="H23" s="854"/>
      <c r="I23" s="854"/>
      <c r="J23" s="854"/>
      <c r="K23" s="824"/>
      <c r="L23" s="824"/>
      <c r="M23" s="824"/>
      <c r="N23" s="824"/>
      <c r="O23" s="824"/>
      <c r="P23" s="825"/>
    </row>
    <row r="24" spans="1:17" ht="13.5" customHeight="1" x14ac:dyDescent="0.2">
      <c r="A24" s="859" t="s">
        <v>349</v>
      </c>
      <c r="B24" s="860"/>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c r="F27" s="854"/>
      <c r="G27" s="854"/>
      <c r="H27" s="854"/>
      <c r="I27" s="854"/>
      <c r="J27" s="854"/>
      <c r="K27" s="824"/>
      <c r="L27" s="824"/>
      <c r="M27" s="824"/>
      <c r="N27" s="824"/>
      <c r="O27" s="824"/>
      <c r="P27" s="825"/>
    </row>
    <row r="28" spans="1:17" ht="13.5" customHeight="1" x14ac:dyDescent="0.2">
      <c r="A28" s="859" t="s">
        <v>355</v>
      </c>
      <c r="B28" s="867"/>
      <c r="J28" s="854"/>
      <c r="K28" s="854"/>
      <c r="L28" s="854"/>
      <c r="M28" s="854"/>
      <c r="N28" s="854"/>
      <c r="O28" s="854"/>
      <c r="P28" s="825"/>
    </row>
    <row r="29" spans="1:17" ht="13.5" customHeight="1" x14ac:dyDescent="0.2">
      <c r="A29" s="861"/>
      <c r="B29" s="868"/>
      <c r="P29" s="825"/>
    </row>
    <row r="30" spans="1:17" ht="13.5" customHeight="1" thickBot="1" x14ac:dyDescent="0.25">
      <c r="A30" s="1022" t="s">
        <v>356</v>
      </c>
      <c r="B30" s="1023"/>
      <c r="C30" s="1024"/>
      <c r="D30" s="1025"/>
      <c r="P30" s="825"/>
    </row>
    <row r="31" spans="1:17" ht="13.5" customHeight="1" thickTop="1" x14ac:dyDescent="0.2">
      <c r="A31" s="863" t="s">
        <v>357</v>
      </c>
      <c r="B31" s="864"/>
      <c r="C31" s="1026" t="s">
        <v>358</v>
      </c>
      <c r="D31" s="1030"/>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c r="P34" s="825"/>
    </row>
    <row r="35" spans="1:17" ht="13.5" customHeight="1" x14ac:dyDescent="0.2">
      <c r="A35" s="857" t="s">
        <v>354</v>
      </c>
      <c r="B35" s="869"/>
      <c r="C35" s="857" t="s">
        <v>354</v>
      </c>
      <c r="D35" s="869"/>
      <c r="F35" s="822"/>
      <c r="G35" s="824"/>
      <c r="P35" s="825"/>
    </row>
    <row r="36" spans="1:17" ht="13.5" customHeight="1" x14ac:dyDescent="0.2">
      <c r="A36" s="857" t="s">
        <v>360</v>
      </c>
      <c r="B36" s="869"/>
      <c r="C36" s="857" t="s">
        <v>360</v>
      </c>
      <c r="D36" s="869"/>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c r="F38" s="823"/>
      <c r="G38" s="824"/>
      <c r="P38" s="825"/>
    </row>
    <row r="39" spans="1:17" ht="13.5" customHeight="1" x14ac:dyDescent="0.2">
      <c r="A39" s="857"/>
      <c r="B39" s="869"/>
      <c r="C39" s="857"/>
      <c r="D39" s="869"/>
      <c r="F39" s="823"/>
      <c r="G39" s="824"/>
      <c r="P39" s="825"/>
    </row>
    <row r="40" spans="1:17" ht="13.5" customHeight="1" x14ac:dyDescent="0.2">
      <c r="A40" s="1028" t="s">
        <v>362</v>
      </c>
      <c r="B40" s="1031"/>
      <c r="C40" s="1028" t="s">
        <v>363</v>
      </c>
      <c r="D40" s="1031"/>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c r="C43" s="857" t="s">
        <v>359</v>
      </c>
      <c r="D43" s="858"/>
      <c r="F43" s="823"/>
      <c r="G43" s="824"/>
      <c r="P43" s="825"/>
    </row>
    <row r="44" spans="1:17" ht="13.5" customHeight="1" x14ac:dyDescent="0.2">
      <c r="A44" s="857" t="s">
        <v>354</v>
      </c>
      <c r="B44" s="858"/>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8" t="s">
        <v>364</v>
      </c>
      <c r="B49" s="1031"/>
      <c r="C49" s="1028" t="s">
        <v>365</v>
      </c>
      <c r="D49" s="1031"/>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c r="C52" s="857" t="s">
        <v>359</v>
      </c>
      <c r="D52" s="858"/>
      <c r="F52" s="854"/>
      <c r="G52" s="824"/>
      <c r="P52" s="825"/>
    </row>
    <row r="53" spans="1:17" ht="13.5" customHeight="1" x14ac:dyDescent="0.2">
      <c r="A53" s="857" t="s">
        <v>354</v>
      </c>
      <c r="B53" s="858"/>
      <c r="C53" s="857" t="s">
        <v>354</v>
      </c>
      <c r="D53" s="858"/>
      <c r="F53" s="854"/>
      <c r="G53" s="824"/>
      <c r="P53" s="825"/>
    </row>
    <row r="54" spans="1:17" ht="13.5" customHeight="1" x14ac:dyDescent="0.2">
      <c r="A54" s="857" t="s">
        <v>360</v>
      </c>
      <c r="B54" s="858"/>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2" t="s">
        <v>366</v>
      </c>
      <c r="B58" s="1033"/>
      <c r="C58" s="1024"/>
      <c r="D58" s="1034"/>
      <c r="E58" s="812"/>
      <c r="F58" s="854"/>
      <c r="G58" s="824"/>
      <c r="P58" s="825"/>
    </row>
    <row r="59" spans="1:17" s="874" customFormat="1" ht="13.5" customHeight="1" thickTop="1" x14ac:dyDescent="0.2">
      <c r="A59" s="863" t="s">
        <v>367</v>
      </c>
      <c r="B59" s="864"/>
      <c r="C59" s="1026" t="s">
        <v>368</v>
      </c>
      <c r="D59" s="1027"/>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8" t="s">
        <v>370</v>
      </c>
      <c r="D68" s="1029"/>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2" t="s">
        <v>371</v>
      </c>
      <c r="B77" s="1013"/>
      <c r="C77" s="1012" t="s">
        <v>371</v>
      </c>
      <c r="D77" s="1013"/>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2" t="s">
        <v>371</v>
      </c>
      <c r="B85" s="1013"/>
      <c r="C85" s="1012" t="s">
        <v>371</v>
      </c>
      <c r="D85" s="1013"/>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2" t="s">
        <v>371</v>
      </c>
      <c r="B93" s="1013"/>
      <c r="C93" s="1012" t="s">
        <v>371</v>
      </c>
      <c r="D93" s="1013"/>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2" t="s">
        <v>371</v>
      </c>
      <c r="B101" s="1013"/>
      <c r="C101" s="1012" t="s">
        <v>371</v>
      </c>
      <c r="D101" s="1013"/>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2" t="s">
        <v>371</v>
      </c>
      <c r="B109" s="1013"/>
      <c r="C109" s="1012" t="s">
        <v>371</v>
      </c>
      <c r="D109" s="1013"/>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2" t="s">
        <v>371</v>
      </c>
      <c r="B117" s="1013"/>
      <c r="C117" s="1012" t="s">
        <v>371</v>
      </c>
      <c r="D117" s="1013"/>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2" t="s">
        <v>371</v>
      </c>
      <c r="B125" s="1013"/>
      <c r="C125" s="1012" t="s">
        <v>371</v>
      </c>
      <c r="D125" s="1013"/>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2" t="s">
        <v>371</v>
      </c>
      <c r="B133" s="1013"/>
      <c r="C133" s="1014"/>
      <c r="D133" s="1015"/>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G14" sqref="G14"/>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M04 October</v>
      </c>
      <c r="B1" s="346"/>
      <c r="C1" s="346"/>
      <c r="D1" s="346"/>
      <c r="E1" s="346"/>
      <c r="F1" s="346"/>
      <c r="G1" s="346"/>
      <c r="H1" s="346"/>
      <c r="I1" s="346"/>
      <c r="J1" s="346"/>
    </row>
    <row r="2" spans="1:10" x14ac:dyDescent="0.25">
      <c r="A2" s="1036" t="str">
        <f>desc</f>
        <v>Description</v>
      </c>
      <c r="B2" s="158" t="str">
        <f>Head1</f>
        <v>2019/20</v>
      </c>
      <c r="C2" s="1038" t="str">
        <f>Head2</f>
        <v>Budget Year 2020/21</v>
      </c>
      <c r="D2" s="1039"/>
      <c r="E2" s="1039"/>
      <c r="F2" s="1039"/>
      <c r="G2" s="1039"/>
      <c r="H2" s="1039"/>
      <c r="I2" s="1039"/>
      <c r="J2" s="1040"/>
    </row>
    <row r="3" spans="1:10" ht="25.5" x14ac:dyDescent="0.25">
      <c r="A3" s="1037"/>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102857049.88999997</v>
      </c>
      <c r="F6" s="408">
        <f>SUM('C4-FinPerf RE'!G6:G6)</f>
        <v>410877976.39000005</v>
      </c>
      <c r="G6" s="650">
        <f>SUM('C4-FinPerf RE'!H6:H6)</f>
        <v>423264864.67393327</v>
      </c>
      <c r="H6" s="408">
        <f>F6-G6</f>
        <v>-12386888.283933222</v>
      </c>
      <c r="I6" s="591">
        <f>IF(H6=0,"",H6/G6)</f>
        <v>-2.92650992741285E-2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286204285.96999991</v>
      </c>
      <c r="F7" s="408">
        <f>SUM('C4-FinPerf RE'!G7:G10)</f>
        <v>1173812063.1499996</v>
      </c>
      <c r="G7" s="650">
        <f>SUM('C4-FinPerf RE'!H7:H10)</f>
        <v>1191921200.7643039</v>
      </c>
      <c r="H7" s="408">
        <f>F7-G7</f>
        <v>-18109137.614304304</v>
      </c>
      <c r="I7" s="207">
        <f>IF(H7=0,"",H7/G7)</f>
        <v>-1.5193233917386532E-2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786652.22999999986</v>
      </c>
      <c r="F8" s="408">
        <f>'C4-FinPerf RE'!G13</f>
        <v>2668685.9000000004</v>
      </c>
      <c r="G8" s="650">
        <f>'C4-FinPerf RE'!H13</f>
        <v>5086807.4757500002</v>
      </c>
      <c r="H8" s="408">
        <f>F8-G8</f>
        <v>-2418121.5757499998</v>
      </c>
      <c r="I8" s="207">
        <f>IF(H8=0,"",H8/G8)</f>
        <v>-0.47537116104310029</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7377564.3099999996</v>
      </c>
      <c r="F9" s="408">
        <f>'C4-FinPerf RE'!G19</f>
        <v>288267367.53000003</v>
      </c>
      <c r="G9" s="650">
        <f>'C4-FinPerf RE'!H19</f>
        <v>254827080</v>
      </c>
      <c r="H9" s="408">
        <f>F9-G9</f>
        <v>33440287.530000031</v>
      </c>
      <c r="I9" s="207">
        <f>IF(H9=0,"",H9/G9)</f>
        <v>0.13122737006600724</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64905379.359999985</v>
      </c>
      <c r="F10" s="409">
        <f>'C4-FinPerf RE'!G12+'C4-FinPerf RE'!G14+'C4-FinPerf RE'!G15+'C4-FinPerf RE'!G16+'C4-FinPerf RE'!G17+'C4-FinPerf RE'!G18+'C4-FinPerf RE'!G20+'C4-FinPerf RE'!G21</f>
        <v>114435060.32999998</v>
      </c>
      <c r="G10" s="653">
        <f>'C4-FinPerf RE'!H12+'C4-FinPerf RE'!H14+'C4-FinPerf RE'!H15+'C4-FinPerf RE'!H16+'C4-FinPerf RE'!H17+'C4-FinPerf RE'!H18+'C4-FinPerf RE'!H20+'C4-FinPerf RE'!H21</f>
        <v>127169466.37669998</v>
      </c>
      <c r="H10" s="409">
        <f>F10-G10</f>
        <v>-12734406.046700001</v>
      </c>
      <c r="I10" s="208">
        <f>IF(H10=0,"",H10/G10)</f>
        <v>-0.10013729246121301</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462130931.75999987</v>
      </c>
      <c r="F11" s="657">
        <f t="shared" si="0"/>
        <v>1990061153.2999997</v>
      </c>
      <c r="G11" s="658">
        <f t="shared" si="0"/>
        <v>2002269419.2906871</v>
      </c>
      <c r="H11" s="657">
        <f t="shared" ref="H11:H25" si="1">F11-G11</f>
        <v>-12208265.99068737</v>
      </c>
      <c r="I11" s="593">
        <f t="shared" ref="I11:I25" si="2">IF(H11=0,"",H11/G11)</f>
        <v>-6.0972144273232732E-3</v>
      </c>
      <c r="J11" s="659">
        <f t="shared" si="0"/>
        <v>6006808257.8720617</v>
      </c>
    </row>
    <row r="12" spans="1:10" ht="12.75" customHeight="1" x14ac:dyDescent="0.25">
      <c r="A12" s="152" t="s">
        <v>475</v>
      </c>
      <c r="B12" s="648">
        <f>'C4-FinPerf RE'!C25</f>
        <v>0</v>
      </c>
      <c r="C12" s="649">
        <f>'C4-FinPerf RE'!D25</f>
        <v>1467373084.0741799</v>
      </c>
      <c r="D12" s="408">
        <f>'C4-FinPerf RE'!E25</f>
        <v>1478324304.2495084</v>
      </c>
      <c r="E12" s="408">
        <f>'C4-FinPerf RE'!F25</f>
        <v>168003045.66000021</v>
      </c>
      <c r="F12" s="408">
        <f>'C4-FinPerf RE'!G25</f>
        <v>490803932.57999992</v>
      </c>
      <c r="G12" s="650">
        <f>'C4-FinPerf RE'!H25</f>
        <v>492774768.08316946</v>
      </c>
      <c r="H12" s="408">
        <f t="shared" si="1"/>
        <v>-1970835.5031695366</v>
      </c>
      <c r="I12" s="207">
        <f t="shared" si="2"/>
        <v>-3.9994651325915764E-3</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3988115.5100000007</v>
      </c>
      <c r="F13" s="408">
        <f>'C4-FinPerf RE'!G26</f>
        <v>17612493.200000007</v>
      </c>
      <c r="G13" s="650">
        <f>'C4-FinPerf RE'!H26</f>
        <v>17883467.146666665</v>
      </c>
      <c r="H13" s="408">
        <f t="shared" si="1"/>
        <v>-270973.94666665792</v>
      </c>
      <c r="I13" s="207">
        <f t="shared" si="2"/>
        <v>-1.5152204236702797E-2</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35766938.970000036</v>
      </c>
      <c r="F14" s="408">
        <f>'C4-FinPerf RE'!G28</f>
        <v>141804590.7400001</v>
      </c>
      <c r="G14" s="650">
        <f>'C4-FinPerf RE'!H28</f>
        <v>160497149.75824663</v>
      </c>
      <c r="H14" s="408">
        <f t="shared" si="1"/>
        <v>-18692559.018246531</v>
      </c>
      <c r="I14" s="207">
        <f t="shared" si="2"/>
        <v>-0.11646661044387846</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3064176.8</v>
      </c>
      <c r="F15" s="408">
        <f>'C4-FinPerf RE'!G29</f>
        <v>13473629.15</v>
      </c>
      <c r="G15" s="650">
        <f>'C4-FinPerf RE'!H29</f>
        <v>12168444.739999989</v>
      </c>
      <c r="H15" s="408">
        <f t="shared" si="1"/>
        <v>1305184.4100000113</v>
      </c>
      <c r="I15" s="207">
        <f t="shared" si="2"/>
        <v>0.1072597556949593</v>
      </c>
      <c r="J15" s="642">
        <f>'C4-FinPerf RE'!K29</f>
        <v>36505334.219999969</v>
      </c>
    </row>
    <row r="16" spans="1:10" ht="12.75" customHeight="1" x14ac:dyDescent="0.25">
      <c r="A16" s="152" t="s">
        <v>495</v>
      </c>
      <c r="B16" s="648">
        <f>SUM('C4-FinPerf RE'!C30:C31)</f>
        <v>0</v>
      </c>
      <c r="C16" s="649">
        <f>SUM('C4-FinPerf RE'!D30:D31)</f>
        <v>2654798900.5467896</v>
      </c>
      <c r="D16" s="408">
        <f>SUM('C4-FinPerf RE'!E30:E31)</f>
        <v>2671894291.5111384</v>
      </c>
      <c r="E16" s="408">
        <f>SUM('C4-FinPerf RE'!F30:F31)</f>
        <v>117808758.44999999</v>
      </c>
      <c r="F16" s="408">
        <f>SUM('C4-FinPerf RE'!G30:G31)</f>
        <v>987822455.50000012</v>
      </c>
      <c r="G16" s="650">
        <f>SUM('C4-FinPerf RE'!H30:H31)</f>
        <v>890631430.50371289</v>
      </c>
      <c r="H16" s="408">
        <f t="shared" si="1"/>
        <v>97191024.996287227</v>
      </c>
      <c r="I16" s="591">
        <f t="shared" si="2"/>
        <v>0.10912597699512924</v>
      </c>
      <c r="J16" s="642">
        <f>SUM('C4-FinPerf RE'!K30:K31)</f>
        <v>2671894291.5111384</v>
      </c>
    </row>
    <row r="17" spans="1:11" ht="12.75" customHeight="1" x14ac:dyDescent="0.25">
      <c r="A17" s="152" t="s">
        <v>1118</v>
      </c>
      <c r="B17" s="648">
        <f>'C4-FinPerf RE'!C33</f>
        <v>0</v>
      </c>
      <c r="C17" s="649">
        <f>'C4-FinPerf RE'!D33</f>
        <v>25080461.44304001</v>
      </c>
      <c r="D17" s="408">
        <f>'C4-FinPerf RE'!E33</f>
        <v>58680462</v>
      </c>
      <c r="E17" s="408">
        <f>'C4-FinPerf RE'!F33</f>
        <v>2787053.2900000005</v>
      </c>
      <c r="F17" s="408">
        <f>'C4-FinPerf RE'!G33</f>
        <v>15228378.359999996</v>
      </c>
      <c r="G17" s="650">
        <f>'C4-FinPerf RE'!H33</f>
        <v>19560154</v>
      </c>
      <c r="H17" s="408">
        <f t="shared" si="1"/>
        <v>-4331775.6400000043</v>
      </c>
      <c r="I17" s="207">
        <f t="shared" si="2"/>
        <v>-0.22145917869562809</v>
      </c>
      <c r="J17" s="642">
        <f>'C4-FinPerf RE'!K33</f>
        <v>58680462</v>
      </c>
    </row>
    <row r="18" spans="1:11" ht="12.75" customHeight="1" x14ac:dyDescent="0.25">
      <c r="A18" s="152" t="s">
        <v>434</v>
      </c>
      <c r="B18" s="648">
        <f>'C4-FinPerf RE'!C36-SUM('C1-Sum'!B12:B17)</f>
        <v>0</v>
      </c>
      <c r="C18" s="649">
        <f>'C4-FinPerf RE'!D36-SUM('C1-Sum'!C12:C17)</f>
        <v>780277054.35849857</v>
      </c>
      <c r="D18" s="408">
        <f>'C4-FinPerf RE'!E36-SUM('C1-Sum'!D12:D17)</f>
        <v>778981927.53540039</v>
      </c>
      <c r="E18" s="408">
        <f>'C4-FinPerf RE'!F36-SUM('C1-Sum'!E12:E17)</f>
        <v>63766851.00999999</v>
      </c>
      <c r="F18" s="408">
        <f>'C4-FinPerf RE'!G36-SUM('C1-Sum'!F12:F17)</f>
        <v>201573593.66000032</v>
      </c>
      <c r="G18" s="650">
        <f>'C4-FinPerf RE'!H36-SUM('C1-Sum'!G12:G17)</f>
        <v>259660642.51179981</v>
      </c>
      <c r="H18" s="408">
        <f t="shared" si="1"/>
        <v>-58087048.851799488</v>
      </c>
      <c r="I18" s="207">
        <f t="shared" si="2"/>
        <v>-0.22370370915630708</v>
      </c>
      <c r="J18" s="642">
        <f>'C4-FinPerf RE'!K36-SUM('C1-Sum'!J12:J17)</f>
        <v>778981927.53540039</v>
      </c>
    </row>
    <row r="19" spans="1:11" ht="12.75" customHeight="1" x14ac:dyDescent="0.25">
      <c r="A19" s="583" t="s">
        <v>488</v>
      </c>
      <c r="B19" s="660">
        <f t="shared" ref="B19:G19" si="3">SUM(B12:B18)</f>
        <v>0</v>
      </c>
      <c r="C19" s="661">
        <f t="shared" si="3"/>
        <v>5501964562.0327282</v>
      </c>
      <c r="D19" s="662">
        <f t="shared" si="3"/>
        <v>5559528170.2307873</v>
      </c>
      <c r="E19" s="662">
        <f t="shared" si="3"/>
        <v>395184939.69000024</v>
      </c>
      <c r="F19" s="662">
        <f t="shared" si="3"/>
        <v>1868319073.1900003</v>
      </c>
      <c r="G19" s="663">
        <f t="shared" si="3"/>
        <v>1853176056.7435956</v>
      </c>
      <c r="H19" s="662">
        <f t="shared" si="1"/>
        <v>15143016.446404696</v>
      </c>
      <c r="I19" s="382">
        <f t="shared" si="2"/>
        <v>8.1713857629987039E-3</v>
      </c>
      <c r="J19" s="664">
        <f>SUM(J12:J18)</f>
        <v>5559528170.2307873</v>
      </c>
    </row>
    <row r="20" spans="1:11" ht="12.75" customHeight="1" x14ac:dyDescent="0.25">
      <c r="A20" s="153" t="s">
        <v>489</v>
      </c>
      <c r="B20" s="665">
        <f t="shared" ref="B20:G20" si="4">B11-B19</f>
        <v>0</v>
      </c>
      <c r="C20" s="666">
        <f t="shared" si="4"/>
        <v>415845695.83933353</v>
      </c>
      <c r="D20" s="637">
        <f t="shared" si="4"/>
        <v>447280087.64127445</v>
      </c>
      <c r="E20" s="637">
        <f t="shared" si="4"/>
        <v>66945992.069999635</v>
      </c>
      <c r="F20" s="637">
        <f t="shared" si="4"/>
        <v>121742080.10999942</v>
      </c>
      <c r="G20" s="667">
        <f t="shared" si="4"/>
        <v>149093362.54709148</v>
      </c>
      <c r="H20" s="637">
        <f t="shared" si="1"/>
        <v>-27351282.437092066</v>
      </c>
      <c r="I20" s="206">
        <f t="shared" si="2"/>
        <v>-0.18345070477871273</v>
      </c>
      <c r="J20" s="641">
        <f>J11-J19</f>
        <v>447280087.64127445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43611708.060000002</v>
      </c>
      <c r="F21" s="983">
        <f>'C4-FinPerf RE'!G39</f>
        <v>119308719.88000003</v>
      </c>
      <c r="G21" s="984">
        <f>'C4-FinPerf RE'!H39</f>
        <v>175297193.6666666</v>
      </c>
      <c r="H21" s="983">
        <f t="shared" si="1"/>
        <v>-55988473.786666572</v>
      </c>
      <c r="I21" s="985">
        <f t="shared" si="2"/>
        <v>-0.31939172907200386</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973171668.64127421</v>
      </c>
      <c r="E23" s="657">
        <f t="shared" si="5"/>
        <v>110557700.12999964</v>
      </c>
      <c r="F23" s="657">
        <f t="shared" si="5"/>
        <v>241050799.98999944</v>
      </c>
      <c r="G23" s="658">
        <f t="shared" si="5"/>
        <v>324390556.21375811</v>
      </c>
      <c r="H23" s="657">
        <f t="shared" si="1"/>
        <v>-83339756.223758668</v>
      </c>
      <c r="I23" s="592">
        <f t="shared" si="2"/>
        <v>-0.25691178311874679</v>
      </c>
      <c r="J23" s="659">
        <f>J20+J21+J22</f>
        <v>973171668.64127421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973171668.64127421</v>
      </c>
      <c r="E25" s="637">
        <f t="shared" si="6"/>
        <v>110557700.12999964</v>
      </c>
      <c r="F25" s="637">
        <f t="shared" si="6"/>
        <v>241050799.98999944</v>
      </c>
      <c r="G25" s="667">
        <f t="shared" si="6"/>
        <v>324390556.21375811</v>
      </c>
      <c r="H25" s="637">
        <f t="shared" si="1"/>
        <v>-83339756.223758668</v>
      </c>
      <c r="I25" s="206">
        <f t="shared" si="2"/>
        <v>-0.25691178311874679</v>
      </c>
      <c r="J25" s="641">
        <f>J23+J24</f>
        <v>973171668.64127421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34751661.439999998</v>
      </c>
      <c r="F28" s="662">
        <f>'C5-Capex'!G40</f>
        <v>115572652.90000001</v>
      </c>
      <c r="G28" s="663">
        <f>'C5-Capex'!H40</f>
        <v>207330527</v>
      </c>
      <c r="H28" s="662">
        <f t="shared" ref="H28:H33" si="7">F28-G28</f>
        <v>-91757874.099999994</v>
      </c>
      <c r="I28" s="382">
        <f t="shared" ref="I28:I33" si="8">IF(H28=0,"",H28/G28)</f>
        <v>-0.44256808405257175</v>
      </c>
      <c r="J28" s="664">
        <f>'C5-Capex'!K40</f>
        <v>621991581</v>
      </c>
    </row>
    <row r="29" spans="1:11" ht="12.75" customHeight="1" x14ac:dyDescent="0.25">
      <c r="A29" s="152" t="s">
        <v>499</v>
      </c>
      <c r="B29" s="648">
        <f>'C5-Capex'!C70</f>
        <v>0</v>
      </c>
      <c r="C29" s="649">
        <f>'C5-Capex'!D70</f>
        <v>525891580.99999988</v>
      </c>
      <c r="D29" s="408">
        <f>'C5-Capex'!E70</f>
        <v>525891580.99999988</v>
      </c>
      <c r="E29" s="408">
        <f>'C5-Capex'!F70</f>
        <v>38261227.829999998</v>
      </c>
      <c r="F29" s="408">
        <f>'C5-Capex'!G70</f>
        <v>110043619.28999999</v>
      </c>
      <c r="G29" s="650">
        <f>'C5-Capex'!H70</f>
        <v>175297193.66666663</v>
      </c>
      <c r="H29" s="408">
        <f t="shared" si="7"/>
        <v>-65253574.376666635</v>
      </c>
      <c r="I29" s="591">
        <f t="shared" si="8"/>
        <v>-0.37224540228948816</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-3509566.39</v>
      </c>
      <c r="F32" s="662">
        <f>'C5-Capex'!G73</f>
        <v>5529033.6100000003</v>
      </c>
      <c r="G32" s="663">
        <f>'C5-Capex'!H73</f>
        <v>32033333.333333332</v>
      </c>
      <c r="H32" s="662">
        <f t="shared" si="7"/>
        <v>-26504299.723333333</v>
      </c>
      <c r="I32" s="382">
        <f t="shared" si="8"/>
        <v>-0.82739749396462015</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34751661.439999998</v>
      </c>
      <c r="F33" s="611">
        <f t="shared" si="9"/>
        <v>115572652.89999999</v>
      </c>
      <c r="G33" s="612">
        <f t="shared" si="9"/>
        <v>207330526.99999997</v>
      </c>
      <c r="H33" s="611">
        <f t="shared" si="7"/>
        <v>-91757874.099999979</v>
      </c>
      <c r="I33" s="594">
        <f t="shared" si="8"/>
        <v>-0.44256808405257175</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2873821177.5626497</v>
      </c>
      <c r="E36" s="408"/>
      <c r="F36" s="408">
        <f>'C6-FinPos'!F13</f>
        <v>3014025537.4699993</v>
      </c>
      <c r="G36" s="217"/>
      <c r="H36" s="217"/>
      <c r="I36" s="219"/>
      <c r="J36" s="642">
        <f>'C6-FinPos'!G13</f>
        <v>2873821177.5626497</v>
      </c>
    </row>
    <row r="37" spans="1:10" ht="12.75" customHeight="1" x14ac:dyDescent="0.25">
      <c r="A37" s="152" t="s">
        <v>631</v>
      </c>
      <c r="B37" s="648">
        <f>'C6-FinPos'!C25</f>
        <v>0</v>
      </c>
      <c r="C37" s="649">
        <f>'C6-FinPos'!D25</f>
        <v>8340425652.5764656</v>
      </c>
      <c r="D37" s="408">
        <f>'C6-FinPos'!E25</f>
        <v>8389025652.300705</v>
      </c>
      <c r="E37" s="408"/>
      <c r="F37" s="408">
        <f>'C6-FinPos'!F25</f>
        <v>7641784639.1200008</v>
      </c>
      <c r="G37" s="217"/>
      <c r="H37" s="217"/>
      <c r="I37" s="219"/>
      <c r="J37" s="642">
        <f>'C6-FinPos'!G25</f>
        <v>8389025652.300705</v>
      </c>
    </row>
    <row r="38" spans="1:10" ht="12.75" customHeight="1" x14ac:dyDescent="0.25">
      <c r="A38" s="152" t="s">
        <v>459</v>
      </c>
      <c r="B38" s="648">
        <f>'C6-FinPos'!C35</f>
        <v>0</v>
      </c>
      <c r="C38" s="649">
        <f>'C6-FinPos'!D35</f>
        <v>1441718351.4141357</v>
      </c>
      <c r="D38" s="408">
        <f>'C6-FinPos'!E35</f>
        <v>1345847464.4139848</v>
      </c>
      <c r="E38" s="408"/>
      <c r="F38" s="408">
        <f>'C6-FinPos'!F35</f>
        <v>1556406626.25</v>
      </c>
      <c r="G38" s="217"/>
      <c r="H38" s="217"/>
      <c r="I38" s="219"/>
      <c r="J38" s="642">
        <f>'C6-FinPos'!G35</f>
        <v>1345847464.4139848</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8825134413.5188026</v>
      </c>
      <c r="E40" s="408"/>
      <c r="F40" s="637">
        <f>'C6-FinPos'!F48</f>
        <v>8279313225.0500002</v>
      </c>
      <c r="G40" s="595"/>
      <c r="H40" s="595"/>
      <c r="I40" s="596"/>
      <c r="J40" s="641">
        <f>'C6-FinPos'!G48</f>
        <v>8825134413.5188026</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-109926365.29999995</v>
      </c>
      <c r="F43" s="408">
        <f>'C7-CFlow'!G18</f>
        <v>-59335435.979999781</v>
      </c>
      <c r="G43" s="650">
        <f>'C7-CFlow'!H18</f>
        <v>262473014.77524281</v>
      </c>
      <c r="H43" s="408">
        <f>G43-F43</f>
        <v>321808450.75524259</v>
      </c>
      <c r="I43" s="207">
        <f>IF(H43=0,"",H43/G43)</f>
        <v>1.2260629955837901</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-51590954.259999998</v>
      </c>
      <c r="F44" s="408">
        <f>'C7-CFlow'!G28</f>
        <v>-32309291.490000002</v>
      </c>
      <c r="G44" s="650">
        <f>'C7-CFlow'!H28</f>
        <v>-207330526.99999997</v>
      </c>
      <c r="H44" s="408">
        <f>G44-F44</f>
        <v>-175021235.50999996</v>
      </c>
      <c r="I44" s="207">
        <f>IF(H44=0,"",H44/G44)</f>
        <v>0.84416529510871297</v>
      </c>
      <c r="J44" s="642">
        <f>'C7-CFlow'!K28</f>
        <v>-621991580.99999988</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-26402000</v>
      </c>
      <c r="H45" s="408">
        <f>G45-F45</f>
        <v>-6145809.629999999</v>
      </c>
      <c r="I45" s="207">
        <f>IF(H45=0,"",H45/G45)</f>
        <v>0.23277818460722668</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358147331.16000021</v>
      </c>
      <c r="G46" s="667">
        <f>'C7-CFlow'!H41</f>
        <v>546349627.77524281</v>
      </c>
      <c r="H46" s="637">
        <f>G46-F46</f>
        <v>188202296.6152426</v>
      </c>
      <c r="I46" s="206">
        <f>IF(H46=0,"",H46/G46)</f>
        <v>0.34447227022302507</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656449561.10000002</v>
      </c>
      <c r="C50" s="649">
        <f>'SC3'!D14</f>
        <v>121132433.04000001</v>
      </c>
      <c r="D50" s="408">
        <f>'SC3'!E14</f>
        <v>129805622.16999999</v>
      </c>
      <c r="E50" s="408">
        <f>'SC3'!F14</f>
        <v>96785494.489999995</v>
      </c>
      <c r="F50" s="408">
        <f>'SC3'!G14</f>
        <v>87189202.5</v>
      </c>
      <c r="G50" s="650">
        <f>'SC3'!H14</f>
        <v>58787527.939999998</v>
      </c>
      <c r="H50" s="408">
        <f>'SC3'!I14</f>
        <v>524167804.82999998</v>
      </c>
      <c r="I50" s="650">
        <f>'SC3'!J14</f>
        <v>3047610173.7199998</v>
      </c>
      <c r="J50" s="642">
        <f>'SC3'!K14</f>
        <v>4721927819.79</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859265070.42000008</v>
      </c>
      <c r="C52" s="649">
        <f>'SC4'!D15</f>
        <v>77246862.719999999</v>
      </c>
      <c r="D52" s="408">
        <f>'SC4'!E15</f>
        <v>178755178.71999997</v>
      </c>
      <c r="E52" s="408">
        <f>'SC4'!F15</f>
        <v>454039.7</v>
      </c>
      <c r="F52" s="408">
        <f>'SC4'!G15</f>
        <v>19738233.940000001</v>
      </c>
      <c r="G52" s="650">
        <f>'SC4'!H15</f>
        <v>0</v>
      </c>
      <c r="H52" s="408">
        <f>'SC4'!I15</f>
        <v>29454.65</v>
      </c>
      <c r="I52" s="650">
        <f>'SC4'!J15</f>
        <v>14856164.369999999</v>
      </c>
      <c r="J52" s="642">
        <f>'SC4'!K15</f>
        <v>1150345004.52</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5"/>
      <c r="B55" s="1035"/>
      <c r="C55" s="1035"/>
      <c r="D55" s="1035"/>
      <c r="E55" s="1035"/>
      <c r="F55" s="1035"/>
      <c r="G55" s="1035"/>
      <c r="H55" s="1035"/>
      <c r="I55" s="1035"/>
      <c r="J55" s="1035"/>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17" activePane="bottomRight" state="frozen"/>
      <selection pane="topRight"/>
      <selection pane="bottomLeft"/>
      <selection pane="bottomRight" activeCell="A32" sqref="A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5" t="str">
        <f>muni&amp; " - "&amp;S71A&amp; " - "&amp;date</f>
        <v>KZN225 Msunduzi - Table C2 Monthly Budget Statement - Financial Performance (functional classification) - M04 October</v>
      </c>
      <c r="B1" s="1045"/>
      <c r="C1" s="1045"/>
      <c r="D1" s="1045"/>
      <c r="E1" s="1045"/>
      <c r="F1" s="1045"/>
      <c r="G1" s="1045"/>
      <c r="H1" s="1045"/>
      <c r="I1" s="1045"/>
      <c r="J1" s="1045"/>
      <c r="K1" s="1045"/>
    </row>
    <row r="2" spans="1:18" x14ac:dyDescent="0.25">
      <c r="A2" s="1043" t="str">
        <f>desc</f>
        <v>Description</v>
      </c>
      <c r="B2" s="1041" t="str">
        <f>head27</f>
        <v>Ref</v>
      </c>
      <c r="C2" s="24" t="str">
        <f>Head1</f>
        <v>2019/20</v>
      </c>
      <c r="D2" s="231" t="str">
        <f>Head2</f>
        <v>Budget Year 2020/21</v>
      </c>
      <c r="E2" s="229"/>
      <c r="F2" s="229"/>
      <c r="G2" s="229"/>
      <c r="H2" s="229"/>
      <c r="I2" s="229"/>
      <c r="J2" s="229"/>
      <c r="K2" s="230"/>
    </row>
    <row r="3" spans="1:18" ht="25.5" x14ac:dyDescent="0.25">
      <c r="A3" s="1044"/>
      <c r="B3" s="1042"/>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152487275.62999997</v>
      </c>
      <c r="G6" s="637">
        <f t="shared" si="0"/>
        <v>619155113.06999993</v>
      </c>
      <c r="H6" s="637">
        <f t="shared" si="0"/>
        <v>553778834.10583866</v>
      </c>
      <c r="I6" s="47">
        <f t="shared" ref="I6:I13" si="1">G6-H6</f>
        <v>65376278.964161277</v>
      </c>
      <c r="J6" s="200">
        <f>IF(I6=0,"",I6/H6)</f>
        <v>0.11805485319734432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0</v>
      </c>
      <c r="G7" s="408">
        <f>'C2C'!G7</f>
        <v>0</v>
      </c>
      <c r="H7" s="408">
        <f>'C2C'!H7</f>
        <v>1482510.0044666666</v>
      </c>
      <c r="I7" s="47">
        <f t="shared" si="1"/>
        <v>-1482510.0044666666</v>
      </c>
      <c r="J7" s="200">
        <f t="shared" ref="J7:J26" si="2">IF(I7=0,"",I7/H7)</f>
        <v>-1</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152487275.62999997</v>
      </c>
      <c r="G8" s="672">
        <f>'C2C'!G10</f>
        <v>619155113.06999993</v>
      </c>
      <c r="H8" s="672">
        <f>'C2C'!H10</f>
        <v>552296324.101372</v>
      </c>
      <c r="I8" s="47">
        <f t="shared" si="1"/>
        <v>66858788.96862793</v>
      </c>
      <c r="J8" s="200">
        <f t="shared" si="2"/>
        <v>0.12105600933957374</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7588146.6199999992</v>
      </c>
      <c r="G10" s="637">
        <f t="shared" si="3"/>
        <v>41054112.760000005</v>
      </c>
      <c r="H10" s="637">
        <f t="shared" si="3"/>
        <v>123083684.82573859</v>
      </c>
      <c r="I10" s="47">
        <f t="shared" si="1"/>
        <v>-82029572.065738589</v>
      </c>
      <c r="J10" s="200">
        <f t="shared" si="2"/>
        <v>-0.66645365859720351</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3132908.71</v>
      </c>
      <c r="G11" s="408">
        <f>'C2C'!G27</f>
        <v>9979277.089999998</v>
      </c>
      <c r="H11" s="408">
        <f>'C2C'!H27</f>
        <v>8747662.2275666669</v>
      </c>
      <c r="I11" s="47">
        <f t="shared" si="1"/>
        <v>1231614.8624333311</v>
      </c>
      <c r="J11" s="200">
        <f t="shared" si="2"/>
        <v>0.14079360066648675</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10344.83</v>
      </c>
      <c r="G12" s="408">
        <f>'C2C'!G49</f>
        <v>18352.189999999937</v>
      </c>
      <c r="H12" s="408">
        <f>'C2C'!H49</f>
        <v>3667351.5957561433</v>
      </c>
      <c r="I12" s="47">
        <f t="shared" si="1"/>
        <v>-3648999.4057561434</v>
      </c>
      <c r="J12" s="200">
        <f t="shared" si="2"/>
        <v>-0.99499579205297983</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28135.800000000003</v>
      </c>
      <c r="G13" s="408">
        <f>'C2C'!G55</f>
        <v>388411.07</v>
      </c>
      <c r="H13" s="408">
        <f>'C2C'!H55</f>
        <v>1256245.1546333334</v>
      </c>
      <c r="I13" s="47">
        <f t="shared" si="1"/>
        <v>-867834.08463333338</v>
      </c>
      <c r="J13" s="200">
        <f t="shared" si="2"/>
        <v>-0.69081586618069979</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4416757.2799999993</v>
      </c>
      <c r="G14" s="408">
        <f>'C2C'!G64</f>
        <v>30668072.410000004</v>
      </c>
      <c r="H14" s="408">
        <f>'C2C'!H64</f>
        <v>109412425.84778245</v>
      </c>
      <c r="I14" s="47">
        <f t="shared" ref="I14:I19" si="4">G14-H14</f>
        <v>-78744353.437782437</v>
      </c>
      <c r="J14" s="200">
        <f t="shared" ref="J14:J19" si="5">IF(I14=0,"",I14/H14)</f>
        <v>-0.71970210721160432</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26909652.289999999</v>
      </c>
      <c r="G16" s="637">
        <f t="shared" si="6"/>
        <v>55374899.710000008</v>
      </c>
      <c r="H16" s="637">
        <f t="shared" si="6"/>
        <v>35641144.791271731</v>
      </c>
      <c r="I16" s="47">
        <f t="shared" si="4"/>
        <v>19733754.918728277</v>
      </c>
      <c r="J16" s="200">
        <f t="shared" si="5"/>
        <v>0.55367904241843924</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284663.18</v>
      </c>
      <c r="G17" s="408">
        <f>'C2C'!G76</f>
        <v>-471259.82999999996</v>
      </c>
      <c r="H17" s="408">
        <f>'C2C'!H76</f>
        <v>13674095.719466666</v>
      </c>
      <c r="I17" s="47">
        <f t="shared" si="4"/>
        <v>-14145355.549466666</v>
      </c>
      <c r="J17" s="200">
        <f t="shared" si="5"/>
        <v>-1.0344636924933257</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26618239.109999999</v>
      </c>
      <c r="G18" s="408">
        <f>'C2C'!G87</f>
        <v>55830909.540000007</v>
      </c>
      <c r="H18" s="408">
        <f>'C2C'!H87</f>
        <v>21930933.251771733</v>
      </c>
      <c r="I18" s="47">
        <f t="shared" si="4"/>
        <v>33899976.288228273</v>
      </c>
      <c r="J18" s="200">
        <f t="shared" si="5"/>
        <v>1.5457607708276435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6750</v>
      </c>
      <c r="G19" s="408">
        <f>'C2C'!G92</f>
        <v>15250</v>
      </c>
      <c r="H19" s="408">
        <f>'C2C'!H92</f>
        <v>36115.82003333333</v>
      </c>
      <c r="I19" s="47">
        <f t="shared" si="4"/>
        <v>-20865.82003333333</v>
      </c>
      <c r="J19" s="200">
        <f t="shared" si="5"/>
        <v>-0.57774736982505415</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316984313.63</v>
      </c>
      <c r="G20" s="637">
        <f t="shared" si="7"/>
        <v>1385331516.3200002</v>
      </c>
      <c r="H20" s="637">
        <f t="shared" si="7"/>
        <v>1443859315.6725061</v>
      </c>
      <c r="I20" s="47">
        <f t="shared" si="7"/>
        <v>-58527799.352506012</v>
      </c>
      <c r="J20" s="200">
        <f t="shared" si="2"/>
        <v>-4.0535666264164751E-2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198132432.32999998</v>
      </c>
      <c r="G21" s="408">
        <f>'C2C'!G100</f>
        <v>843270681.35000002</v>
      </c>
      <c r="H21" s="408">
        <f>'C2C'!H100</f>
        <v>885000936.30689526</v>
      </c>
      <c r="I21" s="47">
        <f>G21-H21</f>
        <v>-41730254.956895232</v>
      </c>
      <c r="J21" s="200">
        <f t="shared" si="2"/>
        <v>-4.7152780573357797E-2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85101688.809999987</v>
      </c>
      <c r="G22" s="408">
        <f>'C2C'!G104</f>
        <v>399723222.58000004</v>
      </c>
      <c r="H22" s="408">
        <f>'C2C'!H104</f>
        <v>417724716.66705728</v>
      </c>
      <c r="I22" s="47">
        <f>G22-H22</f>
        <v>-18001494.087057233</v>
      </c>
      <c r="J22" s="200">
        <f t="shared" si="2"/>
        <v>-4.3094155956792758E-2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24682346.950000003</v>
      </c>
      <c r="G23" s="672">
        <f>'C2C'!G108</f>
        <v>94221266.390000001</v>
      </c>
      <c r="H23" s="672">
        <f>'C2C'!H108</f>
        <v>57847406.633941092</v>
      </c>
      <c r="I23" s="47">
        <f>G23-H23</f>
        <v>36373859.756058909</v>
      </c>
      <c r="J23" s="200">
        <f t="shared" si="2"/>
        <v>0.62878980878491264</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9067845.5399999991</v>
      </c>
      <c r="G24" s="408">
        <f>'C2C'!G113</f>
        <v>48116346.000000007</v>
      </c>
      <c r="H24" s="408">
        <f>'C2C'!H113</f>
        <v>83286256.064612463</v>
      </c>
      <c r="I24" s="47">
        <f>G24-H24</f>
        <v>-35169910.064612456</v>
      </c>
      <c r="J24" s="200">
        <f t="shared" si="2"/>
        <v>-0.42227747681836086</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1773251.65</v>
      </c>
      <c r="G25" s="637">
        <f>'C2C'!G118</f>
        <v>8454231.3200000003</v>
      </c>
      <c r="H25" s="637">
        <f>'C2C'!H118</f>
        <v>21203633.562000003</v>
      </c>
      <c r="I25" s="102">
        <f>G25-H25</f>
        <v>-12749402.242000002</v>
      </c>
      <c r="J25" s="713">
        <f t="shared" si="2"/>
        <v>-0.60128384150388203</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505742639.81999993</v>
      </c>
      <c r="G26" s="545">
        <f t="shared" si="8"/>
        <v>2109369873.1800001</v>
      </c>
      <c r="H26" s="545">
        <f t="shared" si="8"/>
        <v>2177566612.957355</v>
      </c>
      <c r="I26" s="545">
        <f t="shared" si="8"/>
        <v>-68196739.777355045</v>
      </c>
      <c r="J26" s="599">
        <f t="shared" si="2"/>
        <v>-3.1317866177575621E-2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99429673.409999996</v>
      </c>
      <c r="G29" s="637">
        <f t="shared" si="9"/>
        <v>287768518.92999989</v>
      </c>
      <c r="H29" s="637">
        <f t="shared" si="9"/>
        <v>453592921.34434569</v>
      </c>
      <c r="I29" s="47">
        <f t="shared" ref="I29:I48" si="10">G29-H29</f>
        <v>-165824402.4143458</v>
      </c>
      <c r="J29" s="200">
        <f>IF(I29=0,"",I29/H29)</f>
        <v>-0.36557978445272071</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8618487.6799999997</v>
      </c>
      <c r="G30" s="408">
        <f>'C2C'!G129</f>
        <v>35237947.5</v>
      </c>
      <c r="H30" s="408">
        <f>'C2C'!H129</f>
        <v>47870596.909284532</v>
      </c>
      <c r="I30" s="47">
        <f t="shared" si="10"/>
        <v>-12632649.409284532</v>
      </c>
      <c r="J30" s="200">
        <f t="shared" ref="J30:J49" si="11">IF(I30=0,"",I30/H30)</f>
        <v>-0.26389162084658324</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89691917.359999985</v>
      </c>
      <c r="G31" s="672">
        <f>'C2C'!G132</f>
        <v>248300490.60999992</v>
      </c>
      <c r="H31" s="672">
        <f>'C2C'!H132</f>
        <v>398393480.17336184</v>
      </c>
      <c r="I31" s="47">
        <f t="shared" si="10"/>
        <v>-150092989.56336191</v>
      </c>
      <c r="J31" s="200">
        <f t="shared" si="11"/>
        <v>-0.3767455970867008</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1119268.3700000001</v>
      </c>
      <c r="G32" s="408">
        <f>'C2C'!G146</f>
        <v>4230080.8200000012</v>
      </c>
      <c r="H32" s="408">
        <f>'C2C'!H146</f>
        <v>7328844.2616993329</v>
      </c>
      <c r="I32" s="47">
        <f t="shared" si="10"/>
        <v>-3098763.4416993316</v>
      </c>
      <c r="J32" s="200">
        <f t="shared" si="11"/>
        <v>-0.4228174772240042</v>
      </c>
      <c r="K32" s="642">
        <f>'C2C'!K146</f>
        <v>21986532.785097998</v>
      </c>
      <c r="L32" s="100"/>
      <c r="Q32" s="69"/>
    </row>
    <row r="33" spans="1:17" ht="12.75" customHeight="1" x14ac:dyDescent="0.25">
      <c r="A33" s="414" t="s">
        <v>109</v>
      </c>
      <c r="B33" s="428"/>
      <c r="C33" s="641">
        <f t="shared" ref="C33:H33" si="12">SUM(C34:C38)</f>
        <v>0</v>
      </c>
      <c r="D33" s="669">
        <f t="shared" si="12"/>
        <v>425554819.64787257</v>
      </c>
      <c r="E33" s="637">
        <f t="shared" si="12"/>
        <v>473667727.71673155</v>
      </c>
      <c r="F33" s="637">
        <f t="shared" si="12"/>
        <v>54642730.739999995</v>
      </c>
      <c r="G33" s="637">
        <f t="shared" si="12"/>
        <v>191981088.59</v>
      </c>
      <c r="H33" s="637">
        <f t="shared" si="12"/>
        <v>157889242.57224387</v>
      </c>
      <c r="I33" s="47">
        <f t="shared" si="10"/>
        <v>34091846.017756134</v>
      </c>
      <c r="J33" s="200">
        <f t="shared" si="11"/>
        <v>0.21592253824485258</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14811640.130000003</v>
      </c>
      <c r="G34" s="408">
        <f>'C2C'!G149</f>
        <v>59991866.450000003</v>
      </c>
      <c r="H34" s="408">
        <f>'C2C'!H149</f>
        <v>42791241.932952307</v>
      </c>
      <c r="I34" s="47">
        <f t="shared" si="10"/>
        <v>17200624.517047696</v>
      </c>
      <c r="J34" s="200">
        <f t="shared" si="11"/>
        <v>0.40196600379111663</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11818188.850000001</v>
      </c>
      <c r="G35" s="408">
        <f>'C2C'!G171</f>
        <v>40795909.650000006</v>
      </c>
      <c r="H35" s="408">
        <f>'C2C'!H171</f>
        <v>38139490.896320015</v>
      </c>
      <c r="I35" s="47">
        <f t="shared" si="10"/>
        <v>2656418.7536799908</v>
      </c>
      <c r="J35" s="200">
        <f t="shared" si="11"/>
        <v>6.9650084236869095E-2</v>
      </c>
      <c r="K35" s="642">
        <f>'C2C'!K171</f>
        <v>114418472.68896006</v>
      </c>
      <c r="L35" s="100"/>
      <c r="Q35" s="69"/>
    </row>
    <row r="36" spans="1:17" ht="12.75" customHeight="1" x14ac:dyDescent="0.25">
      <c r="A36" s="416" t="s">
        <v>112</v>
      </c>
      <c r="B36" s="426"/>
      <c r="C36" s="642">
        <f>'C2C'!C177</f>
        <v>0</v>
      </c>
      <c r="D36" s="670">
        <f>'C2C'!D177</f>
        <v>92358887.770319864</v>
      </c>
      <c r="E36" s="408">
        <f>'C2C'!E177</f>
        <v>140471795.83917889</v>
      </c>
      <c r="F36" s="408">
        <f>'C2C'!F177</f>
        <v>19752586.009999994</v>
      </c>
      <c r="G36" s="408">
        <f>'C2C'!G177</f>
        <v>64434470.709999979</v>
      </c>
      <c r="H36" s="408">
        <f>'C2C'!H177</f>
        <v>46823931.946392968</v>
      </c>
      <c r="I36" s="47">
        <f t="shared" si="10"/>
        <v>17610538.76360701</v>
      </c>
      <c r="J36" s="200">
        <f t="shared" si="11"/>
        <v>0.37610123779798504</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7021009.7199999969</v>
      </c>
      <c r="G37" s="408">
        <f>'C2C'!G186</f>
        <v>23286699.090000007</v>
      </c>
      <c r="H37" s="408">
        <f>'C2C'!H186</f>
        <v>30043282.787265975</v>
      </c>
      <c r="I37" s="47">
        <f t="shared" si="10"/>
        <v>-6756583.6972659677</v>
      </c>
      <c r="J37" s="200">
        <f t="shared" si="11"/>
        <v>-0.22489498717929007</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1239306.03</v>
      </c>
      <c r="G38" s="672">
        <f>'C2C'!G189</f>
        <v>3472142.69</v>
      </c>
      <c r="H38" s="672">
        <f>'C2C'!H189</f>
        <v>91295.009312591705</v>
      </c>
      <c r="I38" s="47">
        <f t="shared" si="10"/>
        <v>3380847.6806874084</v>
      </c>
      <c r="J38" s="200">
        <f t="shared" si="11"/>
        <v>37.032119347416625</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290734151.92154366</v>
      </c>
      <c r="F39" s="637">
        <f t="shared" si="13"/>
        <v>36962963.920000009</v>
      </c>
      <c r="G39" s="637">
        <f t="shared" si="13"/>
        <v>109863701.13</v>
      </c>
      <c r="H39" s="637">
        <f t="shared" si="13"/>
        <v>96911383.973847866</v>
      </c>
      <c r="I39" s="47">
        <f t="shared" si="10"/>
        <v>12952317.156152129</v>
      </c>
      <c r="J39" s="200">
        <f t="shared" si="11"/>
        <v>0.1336511421573279</v>
      </c>
      <c r="K39" s="641">
        <f>SUM(K40:K42)</f>
        <v>290734151.92154366</v>
      </c>
      <c r="L39" s="100"/>
      <c r="Q39" s="70"/>
    </row>
    <row r="40" spans="1:17" ht="12.75" customHeight="1" x14ac:dyDescent="0.25">
      <c r="A40" s="416" t="s">
        <v>114</v>
      </c>
      <c r="B40" s="426"/>
      <c r="C40" s="642">
        <f>'C2C'!C198</f>
        <v>0</v>
      </c>
      <c r="D40" s="670">
        <f>'C2C'!D198</f>
        <v>92239503.875528902</v>
      </c>
      <c r="E40" s="408">
        <f>'C2C'!E198</f>
        <v>92239503.875528902</v>
      </c>
      <c r="F40" s="408">
        <f>'C2C'!F198</f>
        <v>7622308.0599999987</v>
      </c>
      <c r="G40" s="408">
        <f>'C2C'!G198</f>
        <v>22268954.57</v>
      </c>
      <c r="H40" s="408">
        <f>'C2C'!H198</f>
        <v>30746501.291842964</v>
      </c>
      <c r="I40" s="47">
        <f t="shared" si="10"/>
        <v>-8477546.7218429632</v>
      </c>
      <c r="J40" s="200">
        <f t="shared" si="11"/>
        <v>-0.27572394795020316</v>
      </c>
      <c r="K40" s="642">
        <f>'C2C'!K198</f>
        <v>92239503.875528902</v>
      </c>
      <c r="L40" s="100"/>
      <c r="Q40" s="70"/>
    </row>
    <row r="41" spans="1:17" ht="12.75" customHeight="1" x14ac:dyDescent="0.25">
      <c r="A41" s="416" t="s">
        <v>115</v>
      </c>
      <c r="B41" s="426"/>
      <c r="C41" s="642">
        <f>'C2C'!C209</f>
        <v>0</v>
      </c>
      <c r="D41" s="670">
        <f>'C2C'!D209</f>
        <v>171068986.74871668</v>
      </c>
      <c r="E41" s="408">
        <f>'C2C'!E209</f>
        <v>173629823.08681485</v>
      </c>
      <c r="F41" s="408">
        <f>'C2C'!F209</f>
        <v>26950846.090000004</v>
      </c>
      <c r="G41" s="408">
        <f>'C2C'!G209</f>
        <v>80407196.719999984</v>
      </c>
      <c r="H41" s="408">
        <f>'C2C'!H209</f>
        <v>57876607.695604943</v>
      </c>
      <c r="I41" s="47">
        <f t="shared" si="10"/>
        <v>22530589.024395041</v>
      </c>
      <c r="J41" s="200">
        <f t="shared" si="11"/>
        <v>0.3892866206480512</v>
      </c>
      <c r="K41" s="642">
        <f>'C2C'!K209</f>
        <v>173629823.08681485</v>
      </c>
      <c r="L41" s="100"/>
      <c r="Q41" s="70"/>
    </row>
    <row r="42" spans="1:17" ht="12.75" customHeight="1" x14ac:dyDescent="0.25">
      <c r="A42" s="416" t="s">
        <v>116</v>
      </c>
      <c r="B42" s="426"/>
      <c r="C42" s="642">
        <f>'C2C'!C214</f>
        <v>0</v>
      </c>
      <c r="D42" s="670">
        <f>'C2C'!D214</f>
        <v>24864824.959199883</v>
      </c>
      <c r="E42" s="408">
        <f>'C2C'!E214</f>
        <v>24864824.959199883</v>
      </c>
      <c r="F42" s="408">
        <f>'C2C'!F214</f>
        <v>2389809.77</v>
      </c>
      <c r="G42" s="408">
        <f>'C2C'!G214</f>
        <v>7187549.839999998</v>
      </c>
      <c r="H42" s="408">
        <f>'C2C'!H214</f>
        <v>8288274.9863999616</v>
      </c>
      <c r="I42" s="47">
        <f t="shared" si="10"/>
        <v>-1100725.1463999636</v>
      </c>
      <c r="J42" s="200">
        <f t="shared" si="11"/>
        <v>-0.1328050949330371</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198922728.52000001</v>
      </c>
      <c r="G43" s="637">
        <f t="shared" si="14"/>
        <v>1257554899.9400001</v>
      </c>
      <c r="H43" s="637">
        <f t="shared" si="14"/>
        <v>1117682182.2258301</v>
      </c>
      <c r="I43" s="47">
        <f t="shared" si="14"/>
        <v>139872717.71416989</v>
      </c>
      <c r="J43" s="200">
        <f t="shared" si="11"/>
        <v>0.12514534090148743</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80129048.280000001</v>
      </c>
      <c r="G44" s="408">
        <f>'C2C'!G222</f>
        <v>842189544.27999997</v>
      </c>
      <c r="H44" s="408">
        <f>'C2C'!H222</f>
        <v>763777424.24125588</v>
      </c>
      <c r="I44" s="47">
        <f t="shared" si="10"/>
        <v>78412120.038744092</v>
      </c>
      <c r="J44" s="200">
        <f t="shared" si="11"/>
        <v>0.10266357390261892</v>
      </c>
      <c r="K44" s="642">
        <f>'C2C'!K222</f>
        <v>2291332272.7237678</v>
      </c>
      <c r="L44" s="100"/>
      <c r="Q44" s="70"/>
    </row>
    <row r="45" spans="1:17" ht="12.75" customHeight="1" x14ac:dyDescent="0.25">
      <c r="A45" s="416" t="s">
        <v>1195</v>
      </c>
      <c r="B45" s="426"/>
      <c r="C45" s="642">
        <f>'C2C'!C226</f>
        <v>0</v>
      </c>
      <c r="D45" s="670">
        <f>'C2C'!D226</f>
        <v>0</v>
      </c>
      <c r="E45" s="408">
        <f>'C2C'!E226</f>
        <v>0</v>
      </c>
      <c r="F45" s="408">
        <f>'C2C'!F226</f>
        <v>84075127.970000014</v>
      </c>
      <c r="G45" s="408">
        <f>'C2C'!G226</f>
        <v>295484556.66000003</v>
      </c>
      <c r="H45" s="408">
        <f>'C2C'!H226</f>
        <v>0</v>
      </c>
      <c r="I45" s="47">
        <f t="shared" si="10"/>
        <v>295484556.66000003</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20628430.059999999</v>
      </c>
      <c r="G46" s="672">
        <f>'C2C'!G230</f>
        <v>79911492.26000002</v>
      </c>
      <c r="H46" s="672">
        <f>'C2C'!H230</f>
        <v>310643289.67536557</v>
      </c>
      <c r="I46" s="47">
        <f t="shared" si="10"/>
        <v>-230731797.41536555</v>
      </c>
      <c r="J46" s="200">
        <f t="shared" si="11"/>
        <v>-0.74275480940370331</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14090122.209999995</v>
      </c>
      <c r="G47" s="408">
        <f>'C2C'!G235</f>
        <v>39969306.740000017</v>
      </c>
      <c r="H47" s="408">
        <f>'C2C'!H235</f>
        <v>43261468.309208706</v>
      </c>
      <c r="I47" s="47">
        <f t="shared" si="10"/>
        <v>-3292161.569208689</v>
      </c>
      <c r="J47" s="200">
        <f t="shared" si="11"/>
        <v>-7.6099163941412362E-2</v>
      </c>
      <c r="K47" s="642">
        <f>'C2C'!K235</f>
        <v>129784404.92762612</v>
      </c>
      <c r="L47" s="100"/>
      <c r="Q47" s="70"/>
    </row>
    <row r="48" spans="1:17" ht="12.75" customHeight="1" x14ac:dyDescent="0.25">
      <c r="A48" s="414" t="s">
        <v>718</v>
      </c>
      <c r="B48" s="426"/>
      <c r="C48" s="641">
        <f>'C2C'!C240</f>
        <v>0</v>
      </c>
      <c r="D48" s="669">
        <f>'C2C'!D240</f>
        <v>81300979.882271051</v>
      </c>
      <c r="E48" s="637">
        <f>'C2C'!E240</f>
        <v>81300979.881984949</v>
      </c>
      <c r="F48" s="637">
        <f>'C2C'!F240</f>
        <v>5226843.1000000006</v>
      </c>
      <c r="G48" s="637">
        <f>'C2C'!G240</f>
        <v>21150864.600000001</v>
      </c>
      <c r="H48" s="637">
        <f>'C2C'!H240</f>
        <v>27100326.627328321</v>
      </c>
      <c r="I48" s="102">
        <f t="shared" si="10"/>
        <v>-5949462.0273283198</v>
      </c>
      <c r="J48" s="713">
        <f t="shared" si="11"/>
        <v>-0.21953469820281815</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5559528170.2307873</v>
      </c>
      <c r="F49" s="545">
        <f t="shared" si="15"/>
        <v>395184939.69000006</v>
      </c>
      <c r="G49" s="545">
        <f t="shared" si="15"/>
        <v>1868319073.1899998</v>
      </c>
      <c r="H49" s="545">
        <f t="shared" si="15"/>
        <v>1853176056.7435958</v>
      </c>
      <c r="I49" s="545">
        <f t="shared" si="15"/>
        <v>15143016.446404032</v>
      </c>
      <c r="J49" s="599">
        <f t="shared" si="11"/>
        <v>8.1713857629983448E-3</v>
      </c>
      <c r="K49" s="720">
        <f>K29+K33+K39+K43+K48</f>
        <v>5559528170.2307873</v>
      </c>
      <c r="L49" s="100"/>
      <c r="Q49" s="75"/>
    </row>
    <row r="50" spans="1:17" ht="12.75" customHeight="1" x14ac:dyDescent="0.25">
      <c r="A50" s="94" t="s">
        <v>893</v>
      </c>
      <c r="B50" s="429"/>
      <c r="C50" s="540">
        <f t="shared" ref="C50:H50" si="16">C26-C49</f>
        <v>0</v>
      </c>
      <c r="D50" s="640">
        <f t="shared" si="16"/>
        <v>941737276.83932972</v>
      </c>
      <c r="E50" s="634">
        <f t="shared" si="16"/>
        <v>973171668.64127731</v>
      </c>
      <c r="F50" s="634">
        <f t="shared" si="16"/>
        <v>110557700.12999988</v>
      </c>
      <c r="G50" s="634">
        <f t="shared" si="16"/>
        <v>241050799.99000025</v>
      </c>
      <c r="H50" s="634">
        <f t="shared" si="16"/>
        <v>324390556.21375918</v>
      </c>
      <c r="I50" s="634">
        <f>I26-I49</f>
        <v>-83339756.223759085</v>
      </c>
      <c r="J50" s="638">
        <f>IF(I50=0,"",I50/H50)</f>
        <v>-0.25691178311874724</v>
      </c>
      <c r="K50" s="639">
        <f>K26-K49</f>
        <v>973171668.64127731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6" t="s">
        <v>1212</v>
      </c>
      <c r="B55" s="1046"/>
      <c r="C55" s="1046"/>
      <c r="D55" s="1046"/>
      <c r="E55" s="1046"/>
      <c r="F55" s="1046"/>
      <c r="G55" s="1046"/>
      <c r="H55" s="1046"/>
      <c r="I55" s="1046"/>
      <c r="J55" s="1046"/>
      <c r="K55" s="1046"/>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tabSelected="1" workbookViewId="0">
      <pane xSplit="2" ySplit="4" topLeftCell="D119" activePane="bottomRight" state="frozen"/>
      <selection pane="topRight"/>
      <selection pane="bottomLeft"/>
      <selection pane="bottomRight" activeCell="I256" sqref="I25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5" t="str">
        <f>muni&amp; " - "&amp;S71A&amp; " - "&amp;date</f>
        <v>KZN225 Msunduzi - Table C2 Monthly Budget Statement - Financial Performance (functional classification) - M04 October</v>
      </c>
      <c r="B1" s="1045"/>
      <c r="C1" s="1045"/>
      <c r="D1" s="1045"/>
      <c r="E1" s="1045"/>
      <c r="F1" s="1045"/>
      <c r="G1" s="1045"/>
      <c r="H1" s="1045"/>
      <c r="I1" s="1045"/>
      <c r="J1" s="1045"/>
      <c r="K1" s="1045"/>
    </row>
    <row r="2" spans="1:12" ht="13.5" customHeight="1" x14ac:dyDescent="0.25">
      <c r="A2" s="1043" t="str">
        <f>desc</f>
        <v>Description</v>
      </c>
      <c r="B2" s="1041" t="str">
        <f>head27</f>
        <v>Ref</v>
      </c>
      <c r="C2" s="24" t="str">
        <f>Head1</f>
        <v>2019/20</v>
      </c>
      <c r="D2" s="231" t="str">
        <f>Head2</f>
        <v>Budget Year 2020/21</v>
      </c>
      <c r="E2" s="229"/>
      <c r="F2" s="229"/>
      <c r="G2" s="229"/>
      <c r="H2" s="229"/>
      <c r="I2" s="229"/>
      <c r="J2" s="229"/>
      <c r="K2" s="230"/>
    </row>
    <row r="3" spans="1:12" ht="25.5" x14ac:dyDescent="0.25">
      <c r="A3" s="1044"/>
      <c r="B3" s="1042"/>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152487275.62999997</v>
      </c>
      <c r="G6" s="605">
        <f t="shared" si="0"/>
        <v>619155113.06999993</v>
      </c>
      <c r="H6" s="605">
        <f t="shared" si="0"/>
        <v>553778834.10583866</v>
      </c>
      <c r="I6" s="632">
        <f>G6-H6</f>
        <v>65376278.964161277</v>
      </c>
      <c r="J6" s="633">
        <f>IF(I6=0,"",I6/H6)</f>
        <v>0.11805485319734432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0</v>
      </c>
      <c r="G7" s="608">
        <f t="shared" si="1"/>
        <v>0</v>
      </c>
      <c r="H7" s="608">
        <f t="shared" si="1"/>
        <v>1482510.0044666666</v>
      </c>
      <c r="I7" s="608">
        <f t="shared" ref="I7:I123" si="2">G7-H7</f>
        <v>-1482510.0044666666</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c r="G9" s="733"/>
      <c r="H9" s="733">
        <f>E9/12*4</f>
        <v>1482510.0044666666</v>
      </c>
      <c r="I9" s="408">
        <f t="shared" si="2"/>
        <v>-1482510.0044666666</v>
      </c>
      <c r="J9" s="408">
        <f t="shared" si="3"/>
        <v>-1</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152487275.62999997</v>
      </c>
      <c r="G10" s="608">
        <f t="shared" si="4"/>
        <v>619155113.06999993</v>
      </c>
      <c r="H10" s="608">
        <f t="shared" si="4"/>
        <v>552296324.101372</v>
      </c>
      <c r="I10" s="608">
        <f t="shared" ref="I10:I15" si="5">G10-H10</f>
        <v>66858788.96862793</v>
      </c>
      <c r="J10" s="608">
        <f t="shared" ref="J10:J15" si="6">IF(I10=0,"",I10/H10)</f>
        <v>0.12105600933957374</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150833481.75</v>
      </c>
      <c r="G13" s="733">
        <v>618729200.21999991</v>
      </c>
      <c r="H13" s="733">
        <f>E13/12*4</f>
        <v>545883263.87253869</v>
      </c>
      <c r="I13" s="408">
        <f t="shared" si="5"/>
        <v>72845936.347461224</v>
      </c>
      <c r="J13" s="408">
        <f t="shared" si="6"/>
        <v>0.13344599691642209</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373480.13</v>
      </c>
      <c r="G15" s="733">
        <v>3226834.27</v>
      </c>
      <c r="H15" s="733">
        <f>E15/12*4</f>
        <v>6326686.2136333333</v>
      </c>
      <c r="I15" s="408">
        <f t="shared" si="5"/>
        <v>-3099851.9436333333</v>
      </c>
      <c r="J15" s="408">
        <f t="shared" si="6"/>
        <v>-0.48996454683551133</v>
      </c>
      <c r="K15" s="735">
        <f>E15</f>
        <v>18980058.640900001</v>
      </c>
      <c r="L15" s="100"/>
    </row>
    <row r="16" spans="1:12" x14ac:dyDescent="0.25">
      <c r="A16" s="695" t="s">
        <v>162</v>
      </c>
      <c r="B16" s="415"/>
      <c r="C16" s="733"/>
      <c r="D16" s="733">
        <v>2016.0139999999999</v>
      </c>
      <c r="E16" s="733">
        <v>2016.0139999999999</v>
      </c>
      <c r="F16" s="733">
        <v>58.26</v>
      </c>
      <c r="G16" s="733">
        <v>58.26</v>
      </c>
      <c r="H16" s="733">
        <f>E16/12*4</f>
        <v>672.00466666666659</v>
      </c>
      <c r="I16" s="408">
        <f t="shared" ref="I16:I23" si="7">G16-H16</f>
        <v>-613.7446666666666</v>
      </c>
      <c r="J16" s="408">
        <f t="shared" ref="J16:J23" si="8">IF(I16=0,"",I16/H16)</f>
        <v>-0.91330417348292225</v>
      </c>
      <c r="K16" s="735">
        <f>E16</f>
        <v>2016.0139999999999</v>
      </c>
      <c r="L16" s="100"/>
    </row>
    <row r="17" spans="1:12" x14ac:dyDescent="0.25">
      <c r="A17" s="695" t="s">
        <v>1128</v>
      </c>
      <c r="B17" s="415"/>
      <c r="C17" s="733"/>
      <c r="D17" s="733">
        <v>257106.03159999999</v>
      </c>
      <c r="E17" s="733">
        <v>257106.03159999999</v>
      </c>
      <c r="F17" s="733"/>
      <c r="G17" s="733"/>
      <c r="H17" s="733">
        <f>E17/12*4</f>
        <v>85702.010533333334</v>
      </c>
      <c r="I17" s="408">
        <f t="shared" si="7"/>
        <v>-85702.010533333334</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1259219.26</v>
      </c>
      <c r="G19" s="733">
        <v>-2845733.9299999997</v>
      </c>
      <c r="H19" s="733"/>
      <c r="I19" s="408">
        <f t="shared" si="7"/>
        <v>-2845733.9299999997</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21036.230000000003</v>
      </c>
      <c r="G22" s="733">
        <v>44754.25</v>
      </c>
      <c r="H22" s="733"/>
      <c r="I22" s="408">
        <f t="shared" si="7"/>
        <v>44754.25</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369251054.47721577</v>
      </c>
      <c r="F26" s="605">
        <f t="shared" si="10"/>
        <v>7588146.6199999992</v>
      </c>
      <c r="G26" s="605">
        <f t="shared" si="10"/>
        <v>41054112.760000005</v>
      </c>
      <c r="H26" s="605">
        <f t="shared" si="10"/>
        <v>123083684.82573859</v>
      </c>
      <c r="I26" s="605">
        <f t="shared" si="2"/>
        <v>-82029572.065738589</v>
      </c>
      <c r="J26" s="605">
        <f t="shared" si="3"/>
        <v>-0.66645365859720351</v>
      </c>
      <c r="K26" s="606">
        <f t="shared" si="10"/>
        <v>369251054.47721577</v>
      </c>
      <c r="L26" s="100"/>
    </row>
    <row r="27" spans="1:12" x14ac:dyDescent="0.25">
      <c r="A27" s="607" t="s">
        <v>110</v>
      </c>
      <c r="B27" s="415"/>
      <c r="C27" s="611">
        <f t="shared" ref="C27:H27" si="11">SUM(C28:C48)</f>
        <v>0</v>
      </c>
      <c r="D27" s="611">
        <f t="shared" si="11"/>
        <v>26242986.682700001</v>
      </c>
      <c r="E27" s="611">
        <f t="shared" si="11"/>
        <v>26242986.682700001</v>
      </c>
      <c r="F27" s="611">
        <f t="shared" si="11"/>
        <v>3132908.71</v>
      </c>
      <c r="G27" s="611">
        <f t="shared" si="11"/>
        <v>9979277.089999998</v>
      </c>
      <c r="H27" s="611">
        <f t="shared" si="11"/>
        <v>8747662.2275666669</v>
      </c>
      <c r="I27" s="611">
        <f t="shared" si="2"/>
        <v>1231614.8624333311</v>
      </c>
      <c r="J27" s="611">
        <f t="shared" si="3"/>
        <v>0.14079360066648675</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1580382.3099999998</v>
      </c>
      <c r="G31" s="733">
        <v>928931.92</v>
      </c>
      <c r="H31" s="733">
        <f>E31/12*4</f>
        <v>1174396.0939333332</v>
      </c>
      <c r="I31" s="408">
        <f t="shared" si="12"/>
        <v>-245464.17393333314</v>
      </c>
      <c r="J31" s="408">
        <f t="shared" si="13"/>
        <v>-0.20901310486414762</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33983.1</v>
      </c>
      <c r="G33" s="733">
        <v>1119092.6800000002</v>
      </c>
      <c r="H33" s="733">
        <f>E33/12*4</f>
        <v>348599.46696666663</v>
      </c>
      <c r="I33" s="408">
        <f t="shared" si="12"/>
        <v>770493.21303333354</v>
      </c>
      <c r="J33" s="408">
        <f t="shared" si="13"/>
        <v>2.2102535604479532</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1465756.93</v>
      </c>
      <c r="G41" s="733">
        <v>7878466.1199999992</v>
      </c>
      <c r="H41" s="733">
        <f>E41/12*4</f>
        <v>3658000</v>
      </c>
      <c r="I41" s="408">
        <f t="shared" si="2"/>
        <v>4220466.1199999992</v>
      </c>
      <c r="J41" s="408">
        <f t="shared" si="3"/>
        <v>1.153763291416074</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v>52786.37</v>
      </c>
      <c r="G44" s="733">
        <v>52786.37</v>
      </c>
      <c r="H44" s="733">
        <f>E44/12*4</f>
        <v>3566666.6666666665</v>
      </c>
      <c r="I44" s="408">
        <f t="shared" si="2"/>
        <v>-3513880.2966666664</v>
      </c>
      <c r="J44" s="408">
        <f t="shared" si="3"/>
        <v>-0.98520008317757002</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10344.83</v>
      </c>
      <c r="G49" s="611">
        <f t="shared" si="16"/>
        <v>18352.189999999937</v>
      </c>
      <c r="H49" s="611">
        <f t="shared" si="16"/>
        <v>3667351.5957561433</v>
      </c>
      <c r="I49" s="611">
        <f t="shared" ref="I49:I54" si="17">G49-H49</f>
        <v>-3648999.4057561434</v>
      </c>
      <c r="J49" s="611">
        <f t="shared" ref="J49:J54" si="18">IF(I49=0,"",I49/H49)</f>
        <v>-0.99499579205297983</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10344.83</v>
      </c>
      <c r="G53" s="733">
        <v>18352.189999999937</v>
      </c>
      <c r="H53" s="733">
        <f>E53/12*4</f>
        <v>3667351.5957561433</v>
      </c>
      <c r="I53" s="408">
        <f t="shared" si="17"/>
        <v>-3648999.4057561434</v>
      </c>
      <c r="J53" s="408">
        <f t="shared" si="18"/>
        <v>-0.99499579205297983</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28135.800000000003</v>
      </c>
      <c r="G55" s="611">
        <f t="shared" si="19"/>
        <v>388411.07</v>
      </c>
      <c r="H55" s="611">
        <f t="shared" si="19"/>
        <v>1256245.1546333334</v>
      </c>
      <c r="I55" s="611">
        <f t="shared" si="2"/>
        <v>-867834.08463333338</v>
      </c>
      <c r="J55" s="611">
        <f t="shared" si="3"/>
        <v>-0.69081586618069979</v>
      </c>
      <c r="K55" s="614">
        <f t="shared" si="19"/>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3183.17</v>
      </c>
      <c r="G60" s="733">
        <v>136748.24</v>
      </c>
      <c r="H60" s="733">
        <f>E60/12*4</f>
        <v>111423.17376666667</v>
      </c>
      <c r="I60" s="408">
        <f t="shared" si="2"/>
        <v>25325.066233333317</v>
      </c>
      <c r="J60" s="408">
        <f t="shared" si="3"/>
        <v>0.2272872453477856</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24952.63</v>
      </c>
      <c r="G62" s="733">
        <v>251662.83000000002</v>
      </c>
      <c r="H62" s="733">
        <f>E62/12*4</f>
        <v>1144821.9808666667</v>
      </c>
      <c r="I62" s="408">
        <f>G62-H62</f>
        <v>-893159.15086666658</v>
      </c>
      <c r="J62" s="408">
        <f>IF(I62=0,"",I62/H62)</f>
        <v>-0.7801729577121822</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328237277.54334736</v>
      </c>
      <c r="F64" s="611">
        <f t="shared" si="20"/>
        <v>4416757.2799999993</v>
      </c>
      <c r="G64" s="611">
        <f t="shared" si="20"/>
        <v>30668072.410000004</v>
      </c>
      <c r="H64" s="611">
        <f t="shared" si="20"/>
        <v>109412425.84778245</v>
      </c>
      <c r="I64" s="611">
        <f>G64-H64</f>
        <v>-78744353.437782437</v>
      </c>
      <c r="J64" s="611">
        <f>IF(I64=0,"",I64/H64)</f>
        <v>-0.71970210721160432</v>
      </c>
      <c r="K64" s="614">
        <f>SUM(K65:K66)</f>
        <v>328237277.54334736</v>
      </c>
      <c r="L64" s="100"/>
    </row>
    <row r="65" spans="1:12" x14ac:dyDescent="0.25">
      <c r="A65" s="695" t="s">
        <v>711</v>
      </c>
      <c r="B65" s="415"/>
      <c r="C65" s="733"/>
      <c r="D65" s="733">
        <v>328237277.54334736</v>
      </c>
      <c r="E65" s="733">
        <v>328237277.54334736</v>
      </c>
      <c r="F65" s="733">
        <v>4416757.2799999993</v>
      </c>
      <c r="G65" s="733">
        <v>30668072.410000004</v>
      </c>
      <c r="H65" s="733">
        <f>E65/12*4</f>
        <v>109412425.84778245</v>
      </c>
      <c r="I65" s="408">
        <f>G65-H65</f>
        <v>-78744353.437782437</v>
      </c>
      <c r="J65" s="408">
        <f>IF(I65=0,"",I65/H65)</f>
        <v>-0.71970210721160432</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106923434.37381519</v>
      </c>
      <c r="F75" s="605">
        <f t="shared" si="22"/>
        <v>26909652.289999999</v>
      </c>
      <c r="G75" s="605">
        <f t="shared" si="22"/>
        <v>55374899.710000008</v>
      </c>
      <c r="H75" s="605">
        <f t="shared" si="22"/>
        <v>35641144.791271731</v>
      </c>
      <c r="I75" s="605">
        <f t="shared" si="2"/>
        <v>19733754.918728277</v>
      </c>
      <c r="J75" s="605">
        <f t="shared" si="3"/>
        <v>0.55367904241843924</v>
      </c>
      <c r="K75" s="606">
        <f>K76+K87+K92</f>
        <v>106923434.37381519</v>
      </c>
      <c r="L75" s="100"/>
    </row>
    <row r="76" spans="1:12" x14ac:dyDescent="0.25">
      <c r="A76" s="607" t="s">
        <v>114</v>
      </c>
      <c r="B76" s="417"/>
      <c r="C76" s="611">
        <f t="shared" ref="C76:H76" si="23">SUM(C77:C86)</f>
        <v>0</v>
      </c>
      <c r="D76" s="611">
        <f t="shared" si="23"/>
        <v>41022287.158399999</v>
      </c>
      <c r="E76" s="611">
        <f t="shared" si="23"/>
        <v>41022287.158399999</v>
      </c>
      <c r="F76" s="611">
        <f t="shared" si="23"/>
        <v>284663.18</v>
      </c>
      <c r="G76" s="611">
        <f t="shared" si="23"/>
        <v>-471259.82999999996</v>
      </c>
      <c r="H76" s="611">
        <f t="shared" si="23"/>
        <v>13674095.719466666</v>
      </c>
      <c r="I76" s="611">
        <f t="shared" si="2"/>
        <v>-14145355.549466666</v>
      </c>
      <c r="J76" s="611">
        <f t="shared" si="3"/>
        <v>-1.0344636924933257</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284663.18</v>
      </c>
      <c r="G83" s="733">
        <v>-471259.82999999996</v>
      </c>
      <c r="H83" s="733">
        <f>E83/12*4</f>
        <v>13674095.719466666</v>
      </c>
      <c r="I83" s="408">
        <f>G83-H83</f>
        <v>-14145355.549466666</v>
      </c>
      <c r="J83" s="408">
        <f>IF(I83=0,"",I83/H83)</f>
        <v>-1.0344636924933257</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26618239.109999999</v>
      </c>
      <c r="G87" s="611">
        <f t="shared" si="24"/>
        <v>55830909.540000007</v>
      </c>
      <c r="H87" s="611">
        <f t="shared" si="24"/>
        <v>21930933.251771733</v>
      </c>
      <c r="I87" s="611">
        <f t="shared" si="2"/>
        <v>33899976.288228273</v>
      </c>
      <c r="J87" s="611">
        <f t="shared" si="3"/>
        <v>1.5457607708276435</v>
      </c>
      <c r="K87" s="614">
        <f>SUM(K88:K91)</f>
        <v>65792799.755315199</v>
      </c>
      <c r="L87" s="100"/>
    </row>
    <row r="88" spans="1:12" x14ac:dyDescent="0.25">
      <c r="A88" s="695" t="s">
        <v>1183</v>
      </c>
      <c r="B88" s="417"/>
      <c r="C88" s="733"/>
      <c r="D88" s="733">
        <v>65792799.755315199</v>
      </c>
      <c r="E88" s="733">
        <v>65792799.755315199</v>
      </c>
      <c r="F88" s="733">
        <v>21020079.710000001</v>
      </c>
      <c r="G88" s="733">
        <v>35677139.450000003</v>
      </c>
      <c r="H88" s="733">
        <f>E88/12*4</f>
        <v>21930933.251771733</v>
      </c>
      <c r="I88" s="408">
        <f t="shared" si="2"/>
        <v>13746206.19822827</v>
      </c>
      <c r="J88" s="408">
        <f t="shared" si="3"/>
        <v>0.6267953141993059</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5598159.4000000004</v>
      </c>
      <c r="G90" s="733">
        <v>20153770.090000004</v>
      </c>
      <c r="H90" s="733"/>
      <c r="I90" s="408">
        <f t="shared" si="2"/>
        <v>20153770.090000004</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6750</v>
      </c>
      <c r="G92" s="611">
        <f t="shared" si="25"/>
        <v>15250</v>
      </c>
      <c r="H92" s="611">
        <f t="shared" si="25"/>
        <v>36115.82003333333</v>
      </c>
      <c r="I92" s="611">
        <f t="shared" si="2"/>
        <v>-20865.82003333333</v>
      </c>
      <c r="J92" s="611">
        <f t="shared" si="3"/>
        <v>-0.57774736982505415</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6750</v>
      </c>
      <c r="G97" s="733">
        <v>15250</v>
      </c>
      <c r="H97" s="733">
        <f>E97/12*4</f>
        <v>36115.82003333333</v>
      </c>
      <c r="I97" s="408">
        <f t="shared" si="2"/>
        <v>-20865.82003333333</v>
      </c>
      <c r="J97" s="408">
        <f t="shared" si="3"/>
        <v>-0.57774736982505415</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316984313.63</v>
      </c>
      <c r="G99" s="605">
        <f t="shared" si="26"/>
        <v>1385331516.3200002</v>
      </c>
      <c r="H99" s="605">
        <f t="shared" si="26"/>
        <v>1443859315.6725061</v>
      </c>
      <c r="I99" s="605">
        <f t="shared" si="26"/>
        <v>-58527799.352506012</v>
      </c>
      <c r="J99" s="605">
        <f t="shared" si="3"/>
        <v>-4.0535666264164751E-2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198132432.32999998</v>
      </c>
      <c r="G100" s="611">
        <f t="shared" si="27"/>
        <v>843270681.35000002</v>
      </c>
      <c r="H100" s="611">
        <f t="shared" si="27"/>
        <v>885000936.30689526</v>
      </c>
      <c r="I100" s="611">
        <f t="shared" si="2"/>
        <v>-41730254.956895232</v>
      </c>
      <c r="J100" s="611">
        <f t="shared" si="3"/>
        <v>-4.7152780573357797E-2</v>
      </c>
      <c r="K100" s="614">
        <f t="shared" si="27"/>
        <v>2655002808.9206858</v>
      </c>
      <c r="L100" s="100"/>
    </row>
    <row r="101" spans="1:12" x14ac:dyDescent="0.25">
      <c r="A101" s="695" t="s">
        <v>1192</v>
      </c>
      <c r="B101" s="417"/>
      <c r="C101" s="733"/>
      <c r="D101" s="733">
        <v>2635365105.6563859</v>
      </c>
      <c r="E101" s="733">
        <v>2635365105.6563859</v>
      </c>
      <c r="F101" s="733">
        <v>198132432.32999998</v>
      </c>
      <c r="G101" s="733">
        <v>843270681.35000002</v>
      </c>
      <c r="H101" s="733">
        <f>E101/12*4</f>
        <v>878455035.2187953</v>
      </c>
      <c r="I101" s="408">
        <f t="shared" si="2"/>
        <v>-35184353.868795276</v>
      </c>
      <c r="J101" s="408">
        <f t="shared" si="3"/>
        <v>-4.0052538215609369E-2</v>
      </c>
      <c r="K101" s="735">
        <f t="shared" ref="K101:K102" si="28">E101</f>
        <v>2635365105.6563859</v>
      </c>
      <c r="L101" s="100"/>
    </row>
    <row r="102" spans="1:12" x14ac:dyDescent="0.25">
      <c r="A102" s="695" t="s">
        <v>1193</v>
      </c>
      <c r="B102" s="417"/>
      <c r="C102" s="733"/>
      <c r="D102" s="733">
        <v>19637703.2643</v>
      </c>
      <c r="E102" s="733">
        <v>19637703.2643</v>
      </c>
      <c r="F102" s="733"/>
      <c r="G102" s="733"/>
      <c r="H102" s="733">
        <f>E102/12*4</f>
        <v>6545901.0881000003</v>
      </c>
      <c r="I102" s="408">
        <f>G102-H102</f>
        <v>-6545901.0881000003</v>
      </c>
      <c r="J102" s="408">
        <f>IF(I102=0,"",I102/H102)</f>
        <v>-1</v>
      </c>
      <c r="K102" s="735">
        <f t="shared" si="28"/>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85101688.809999987</v>
      </c>
      <c r="G104" s="611">
        <f t="shared" si="29"/>
        <v>399723222.58000004</v>
      </c>
      <c r="H104" s="611">
        <f t="shared" si="29"/>
        <v>417724716.66705728</v>
      </c>
      <c r="I104" s="611">
        <f t="shared" si="2"/>
        <v>-18001494.087057233</v>
      </c>
      <c r="J104" s="611">
        <f t="shared" si="3"/>
        <v>-4.3094155956792758E-2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85101688.809999987</v>
      </c>
      <c r="G106" s="733">
        <v>399723222.58000004</v>
      </c>
      <c r="H106" s="733">
        <f>E106/12*4</f>
        <v>417724716.66705728</v>
      </c>
      <c r="I106" s="408">
        <f>G106-H106</f>
        <v>-18001494.087057233</v>
      </c>
      <c r="J106" s="408">
        <f>IF(I106=0,"",I106/H106)</f>
        <v>-4.3094155956792758E-2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24682346.950000003</v>
      </c>
      <c r="G108" s="611">
        <f t="shared" si="30"/>
        <v>94221266.390000001</v>
      </c>
      <c r="H108" s="611">
        <f t="shared" si="30"/>
        <v>57847406.633941092</v>
      </c>
      <c r="I108" s="611">
        <f t="shared" si="2"/>
        <v>36373859.756058909</v>
      </c>
      <c r="J108" s="611">
        <f t="shared" si="3"/>
        <v>0.62878980878491264</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24682346.950000003</v>
      </c>
      <c r="G110" s="733">
        <v>94221266.390000001</v>
      </c>
      <c r="H110" s="733">
        <f>E110/12*4</f>
        <v>57847406.633941092</v>
      </c>
      <c r="I110" s="408">
        <f t="shared" si="2"/>
        <v>36373859.756058909</v>
      </c>
      <c r="J110" s="408">
        <f t="shared" si="3"/>
        <v>0.62878980878491264</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9067845.5399999991</v>
      </c>
      <c r="G113" s="611">
        <f t="shared" si="31"/>
        <v>48116346.000000007</v>
      </c>
      <c r="H113" s="611">
        <f t="shared" si="31"/>
        <v>83286256.064612463</v>
      </c>
      <c r="I113" s="611">
        <f t="shared" si="2"/>
        <v>-35169910.064612456</v>
      </c>
      <c r="J113" s="611">
        <f t="shared" si="3"/>
        <v>-0.42227747681836086</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56177.47</v>
      </c>
      <c r="G115" s="733">
        <v>11535530.15</v>
      </c>
      <c r="H115" s="733">
        <f>E115/12*4</f>
        <v>83286256.064612463</v>
      </c>
      <c r="I115" s="408">
        <f>G115-H115</f>
        <v>-71750725.914612457</v>
      </c>
      <c r="J115" s="408">
        <f>IF(I115=0,"",I115/H115)</f>
        <v>-0.86149539317686608</v>
      </c>
      <c r="K115" s="735">
        <f>E115</f>
        <v>249858768.1938374</v>
      </c>
      <c r="L115" s="100"/>
    </row>
    <row r="116" spans="1:12" x14ac:dyDescent="0.25">
      <c r="A116" s="695" t="s">
        <v>1200</v>
      </c>
      <c r="B116" s="417"/>
      <c r="C116" s="733"/>
      <c r="D116" s="733"/>
      <c r="E116" s="733"/>
      <c r="F116" s="733">
        <v>9011668.0699999984</v>
      </c>
      <c r="G116" s="733">
        <v>36580815.850000009</v>
      </c>
      <c r="H116" s="733"/>
      <c r="I116" s="408">
        <f t="shared" si="2"/>
        <v>36580815.850000009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1773251.65</v>
      </c>
      <c r="G118" s="611">
        <f t="shared" si="32"/>
        <v>8454231.3200000003</v>
      </c>
      <c r="H118" s="611">
        <f t="shared" si="32"/>
        <v>21203633.562000003</v>
      </c>
      <c r="I118" s="611">
        <f t="shared" si="2"/>
        <v>-12749402.242000002</v>
      </c>
      <c r="J118" s="611">
        <f t="shared" si="3"/>
        <v>-0.60128384150388203</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84345.69</v>
      </c>
      <c r="G120" s="733">
        <v>515844.54</v>
      </c>
      <c r="H120" s="733">
        <f t="shared" ref="H120:H123" si="33">E120/12*4</f>
        <v>4163573.1983000003</v>
      </c>
      <c r="I120" s="408">
        <f t="shared" si="2"/>
        <v>-3647728.6583000002</v>
      </c>
      <c r="J120" s="408">
        <f t="shared" si="3"/>
        <v>-0.87610532697957111</v>
      </c>
      <c r="K120" s="735">
        <f t="shared" ref="K120:K121" si="34">E120</f>
        <v>12490719.594900001</v>
      </c>
      <c r="L120" s="100"/>
    </row>
    <row r="121" spans="1:12" x14ac:dyDescent="0.25">
      <c r="A121" s="607" t="s">
        <v>1202</v>
      </c>
      <c r="B121" s="417"/>
      <c r="C121" s="733"/>
      <c r="D121" s="733">
        <v>7663197.0931999991</v>
      </c>
      <c r="E121" s="733">
        <v>7663197.0931999991</v>
      </c>
      <c r="F121" s="733"/>
      <c r="G121" s="733">
        <v>700000</v>
      </c>
      <c r="H121" s="733">
        <f t="shared" si="33"/>
        <v>2554399.0310666664</v>
      </c>
      <c r="I121" s="408">
        <f>G121-H121</f>
        <v>-1854399.0310666664</v>
      </c>
      <c r="J121" s="408">
        <f>IF(I121=0,"",I121/H121)</f>
        <v>-0.72596294021154018</v>
      </c>
      <c r="K121" s="735">
        <f t="shared" si="34"/>
        <v>7663197.0931999991</v>
      </c>
      <c r="L121" s="100"/>
    </row>
    <row r="122" spans="1:12" x14ac:dyDescent="0.25">
      <c r="A122" s="607" t="s">
        <v>1203</v>
      </c>
      <c r="B122" s="417"/>
      <c r="C122" s="733"/>
      <c r="D122" s="733"/>
      <c r="E122" s="733"/>
      <c r="F122" s="733">
        <v>18018.73</v>
      </c>
      <c r="G122" s="733">
        <v>47024.090000000004</v>
      </c>
      <c r="H122" s="733"/>
      <c r="I122" s="408">
        <f t="shared" si="2"/>
        <v>47024.090000000004</v>
      </c>
      <c r="J122" s="408" t="e">
        <f t="shared" si="3"/>
        <v>#DIV/0!</v>
      </c>
      <c r="K122" s="735"/>
      <c r="L122" s="100"/>
    </row>
    <row r="123" spans="1:12" x14ac:dyDescent="0.25">
      <c r="A123" s="607" t="s">
        <v>441</v>
      </c>
      <c r="B123" s="415"/>
      <c r="C123" s="733"/>
      <c r="D123" s="733">
        <v>43456983.997900009</v>
      </c>
      <c r="E123" s="733">
        <v>43456983.997900009</v>
      </c>
      <c r="F123" s="733">
        <v>1670887.23</v>
      </c>
      <c r="G123" s="733">
        <v>7191362.6899999995</v>
      </c>
      <c r="H123" s="733">
        <f t="shared" si="33"/>
        <v>14485661.332633337</v>
      </c>
      <c r="I123" s="408">
        <f t="shared" si="2"/>
        <v>-7294298.6426333375</v>
      </c>
      <c r="J123" s="408">
        <f t="shared" si="3"/>
        <v>-0.50355302910476873</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6532699838.8720646</v>
      </c>
      <c r="F125" s="616">
        <f t="shared" si="35"/>
        <v>505742639.81999993</v>
      </c>
      <c r="G125" s="616">
        <f t="shared" si="35"/>
        <v>2109369873.1800001</v>
      </c>
      <c r="H125" s="616">
        <f t="shared" si="35"/>
        <v>2177566612.957355</v>
      </c>
      <c r="I125" s="616">
        <f>G125-H125</f>
        <v>-68196739.777354956</v>
      </c>
      <c r="J125" s="616">
        <f>IF(I125=0,"",I125/H125)</f>
        <v>-3.1317866177575579E-2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1360778764.0330372</v>
      </c>
      <c r="F128" s="605">
        <f t="shared" si="37"/>
        <v>99429673.409999996</v>
      </c>
      <c r="G128" s="605">
        <f t="shared" si="37"/>
        <v>287768518.92999989</v>
      </c>
      <c r="H128" s="605">
        <f t="shared" si="37"/>
        <v>453592921.34434569</v>
      </c>
      <c r="I128" s="605">
        <f t="shared" ref="I128:I244" si="38">G128-H128</f>
        <v>-165824402.4143458</v>
      </c>
      <c r="J128" s="605">
        <f t="shared" ref="J128:J244" si="39">IF(I128=0,"",I128/H128)</f>
        <v>-0.36557978445272071</v>
      </c>
      <c r="K128" s="606">
        <f>K129+K132+K146</f>
        <v>1360778764.0330372</v>
      </c>
      <c r="L128" s="100"/>
    </row>
    <row r="129" spans="1:12" x14ac:dyDescent="0.25">
      <c r="A129" s="607" t="str">
        <f t="shared" si="36"/>
        <v>Executive and council</v>
      </c>
      <c r="B129" s="620"/>
      <c r="C129" s="608">
        <f t="shared" ref="C129:K129" si="40">SUM(C130:C131)</f>
        <v>0</v>
      </c>
      <c r="D129" s="608">
        <f t="shared" si="40"/>
        <v>137732466.40184778</v>
      </c>
      <c r="E129" s="608">
        <f t="shared" si="40"/>
        <v>143611790.7278536</v>
      </c>
      <c r="F129" s="608">
        <f t="shared" si="40"/>
        <v>8618487.6799999997</v>
      </c>
      <c r="G129" s="608">
        <f t="shared" si="40"/>
        <v>35237947.5</v>
      </c>
      <c r="H129" s="608">
        <f t="shared" si="40"/>
        <v>47870596.909284532</v>
      </c>
      <c r="I129" s="608">
        <f t="shared" si="38"/>
        <v>-12632649.409284532</v>
      </c>
      <c r="J129" s="608">
        <f t="shared" si="39"/>
        <v>-0.26389162084658324</v>
      </c>
      <c r="K129" s="610">
        <f t="shared" si="40"/>
        <v>143611790.7278536</v>
      </c>
      <c r="L129" s="100"/>
    </row>
    <row r="130" spans="1:12" x14ac:dyDescent="0.25">
      <c r="A130" s="695" t="str">
        <f t="shared" si="36"/>
        <v>Mayor and Council</v>
      </c>
      <c r="B130" s="620"/>
      <c r="C130" s="733"/>
      <c r="D130" s="733">
        <v>86039675.165266603</v>
      </c>
      <c r="E130" s="733">
        <v>86039675.165266603</v>
      </c>
      <c r="F130" s="733">
        <v>5898992.8100000005</v>
      </c>
      <c r="G130" s="733">
        <v>27544954.330000002</v>
      </c>
      <c r="H130" s="733">
        <f t="shared" ref="H130:H131" si="41">E130/12*4</f>
        <v>28679891.721755534</v>
      </c>
      <c r="I130" s="408">
        <f t="shared" si="38"/>
        <v>-1134937.3917555325</v>
      </c>
      <c r="J130" s="408">
        <f t="shared" si="39"/>
        <v>-3.9572582866294774E-2</v>
      </c>
      <c r="K130" s="735">
        <f t="shared" ref="K130:K131" si="42">E130</f>
        <v>86039675.165266603</v>
      </c>
      <c r="L130" s="100"/>
    </row>
    <row r="131" spans="1:12" ht="18.600000000000001" customHeight="1" x14ac:dyDescent="0.25">
      <c r="A131" s="695" t="str">
        <f t="shared" si="36"/>
        <v>Municipal Manager, Town Secretary and Chief Executive</v>
      </c>
      <c r="B131" s="620"/>
      <c r="C131" s="733"/>
      <c r="D131" s="733">
        <v>51692791.236581177</v>
      </c>
      <c r="E131" s="733">
        <v>57572115.562586986</v>
      </c>
      <c r="F131" s="733">
        <v>2719494.87</v>
      </c>
      <c r="G131" s="733">
        <v>7692993.169999999</v>
      </c>
      <c r="H131" s="733">
        <f t="shared" si="41"/>
        <v>19190705.187528994</v>
      </c>
      <c r="I131" s="408">
        <f t="shared" si="38"/>
        <v>-11497712.017528996</v>
      </c>
      <c r="J131" s="408">
        <f t="shared" si="39"/>
        <v>-0.59912920891519605</v>
      </c>
      <c r="K131" s="735">
        <f t="shared" si="42"/>
        <v>57572115.562586986</v>
      </c>
      <c r="L131" s="100"/>
    </row>
    <row r="132" spans="1:12" x14ac:dyDescent="0.25">
      <c r="A132" s="607" t="str">
        <f t="shared" si="36"/>
        <v>Finance and administration</v>
      </c>
      <c r="B132" s="620"/>
      <c r="C132" s="608">
        <f t="shared" ref="C132:H132" si="43">SUM(C133:C145)</f>
        <v>0</v>
      </c>
      <c r="D132" s="608">
        <f t="shared" si="43"/>
        <v>1194545745.0547059</v>
      </c>
      <c r="E132" s="608">
        <f t="shared" si="43"/>
        <v>1195180440.5200856</v>
      </c>
      <c r="F132" s="608">
        <f t="shared" si="43"/>
        <v>89691917.359999985</v>
      </c>
      <c r="G132" s="608">
        <f t="shared" si="43"/>
        <v>248300490.60999992</v>
      </c>
      <c r="H132" s="608">
        <f t="shared" si="43"/>
        <v>398393480.17336184</v>
      </c>
      <c r="I132" s="608">
        <f t="shared" si="38"/>
        <v>-150092989.56336191</v>
      </c>
      <c r="J132" s="608">
        <f t="shared" si="39"/>
        <v>-0.3767455970867008</v>
      </c>
      <c r="K132" s="608">
        <f>SUM(K133:K145)</f>
        <v>1195180440.5200856</v>
      </c>
      <c r="L132" s="100"/>
    </row>
    <row r="133" spans="1:12" x14ac:dyDescent="0.25">
      <c r="A133" s="695" t="str">
        <f t="shared" si="36"/>
        <v>Administrative and Corporate Support</v>
      </c>
      <c r="B133" s="415"/>
      <c r="C133" s="733"/>
      <c r="D133" s="733">
        <v>63311187.597137183</v>
      </c>
      <c r="E133" s="733">
        <v>63311187.597137183</v>
      </c>
      <c r="F133" s="733">
        <v>6612468.8499999968</v>
      </c>
      <c r="G133" s="733">
        <v>18009276.699999992</v>
      </c>
      <c r="H133" s="733">
        <f t="shared" ref="H133:H135" si="44">E133/12*4</f>
        <v>21103729.199045729</v>
      </c>
      <c r="I133" s="408">
        <f t="shared" si="38"/>
        <v>-3094452.4990457371</v>
      </c>
      <c r="J133" s="408">
        <f t="shared" si="39"/>
        <v>-0.14663060115392604</v>
      </c>
      <c r="K133" s="735">
        <f t="shared" ref="K133:K135" si="45">E133</f>
        <v>63311187.597137183</v>
      </c>
      <c r="L133" s="100"/>
    </row>
    <row r="134" spans="1:12" x14ac:dyDescent="0.25">
      <c r="A134" s="695" t="str">
        <f t="shared" si="36"/>
        <v>Asset Management</v>
      </c>
      <c r="B134" s="415"/>
      <c r="C134" s="733"/>
      <c r="D134" s="733">
        <v>114851325.40861207</v>
      </c>
      <c r="E134" s="733">
        <v>114851325.40861207</v>
      </c>
      <c r="F134" s="733">
        <v>6640877.7000000002</v>
      </c>
      <c r="G134" s="733">
        <v>20400871.019999996</v>
      </c>
      <c r="H134" s="733">
        <f t="shared" si="44"/>
        <v>38283775.136204027</v>
      </c>
      <c r="I134" s="408">
        <f t="shared" si="38"/>
        <v>-17882904.116204031</v>
      </c>
      <c r="J134" s="408">
        <f t="shared" si="39"/>
        <v>-0.46711443823345955</v>
      </c>
      <c r="K134" s="735">
        <f t="shared" si="45"/>
        <v>114851325.40861207</v>
      </c>
      <c r="L134" s="100"/>
    </row>
    <row r="135" spans="1:12" x14ac:dyDescent="0.25">
      <c r="A135" s="695" t="str">
        <f t="shared" si="36"/>
        <v>Finance</v>
      </c>
      <c r="B135" s="415"/>
      <c r="C135" s="733"/>
      <c r="D135" s="733">
        <v>527291938.10809231</v>
      </c>
      <c r="E135" s="733">
        <v>538222483.81119955</v>
      </c>
      <c r="F135" s="733">
        <v>31871544.149999987</v>
      </c>
      <c r="G135" s="733">
        <v>70187817.399999946</v>
      </c>
      <c r="H135" s="733">
        <f t="shared" si="44"/>
        <v>179407494.60373318</v>
      </c>
      <c r="I135" s="408">
        <f t="shared" si="38"/>
        <v>-109219677.20373324</v>
      </c>
      <c r="J135" s="408">
        <f t="shared" si="39"/>
        <v>-0.60877990323075692</v>
      </c>
      <c r="K135" s="735">
        <f t="shared" si="45"/>
        <v>538222483.81119955</v>
      </c>
      <c r="L135" s="100"/>
    </row>
    <row r="136" spans="1:12" x14ac:dyDescent="0.25">
      <c r="A136" s="695" t="str">
        <f t="shared" si="36"/>
        <v>Fleet Management</v>
      </c>
      <c r="B136" s="415"/>
      <c r="C136" s="733"/>
      <c r="D136" s="733"/>
      <c r="E136" s="733"/>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167919299.40260589</v>
      </c>
      <c r="F137" s="733">
        <v>7869000.5699999984</v>
      </c>
      <c r="G137" s="733">
        <v>21733264.419999994</v>
      </c>
      <c r="H137" s="733">
        <f t="shared" ref="H137:H141" si="46">E137/12*4</f>
        <v>55973099.80086863</v>
      </c>
      <c r="I137" s="408">
        <f t="shared" si="38"/>
        <v>-34239835.380868636</v>
      </c>
      <c r="J137" s="408">
        <f t="shared" si="39"/>
        <v>-0.61171947779703417</v>
      </c>
      <c r="K137" s="735">
        <f t="shared" ref="K137:K141" si="47">E137</f>
        <v>167919299.40260589</v>
      </c>
      <c r="L137" s="100"/>
    </row>
    <row r="138" spans="1:12" x14ac:dyDescent="0.25">
      <c r="A138" s="695" t="str">
        <f t="shared" si="36"/>
        <v>Information Technology</v>
      </c>
      <c r="B138" s="415"/>
      <c r="C138" s="733"/>
      <c r="D138" s="733">
        <v>36645394.820353068</v>
      </c>
      <c r="E138" s="733">
        <v>36645394.820353068</v>
      </c>
      <c r="F138" s="733">
        <v>2862088.91</v>
      </c>
      <c r="G138" s="733">
        <v>12764703.91</v>
      </c>
      <c r="H138" s="733">
        <f t="shared" si="46"/>
        <v>12215131.606784357</v>
      </c>
      <c r="I138" s="408">
        <f t="shared" si="38"/>
        <v>549572.30321564339</v>
      </c>
      <c r="J138" s="408">
        <f t="shared" si="39"/>
        <v>4.4991107824856151E-2</v>
      </c>
      <c r="K138" s="735">
        <f t="shared" si="47"/>
        <v>36645394.820353068</v>
      </c>
      <c r="L138" s="100"/>
    </row>
    <row r="139" spans="1:12" x14ac:dyDescent="0.25">
      <c r="A139" s="695" t="str">
        <f t="shared" si="36"/>
        <v>Legal Services</v>
      </c>
      <c r="B139" s="415"/>
      <c r="C139" s="733"/>
      <c r="D139" s="733">
        <v>11011185.169427564</v>
      </c>
      <c r="E139" s="733">
        <v>11011185.169427564</v>
      </c>
      <c r="F139" s="733">
        <v>1245245.51</v>
      </c>
      <c r="G139" s="733">
        <v>3655613.54</v>
      </c>
      <c r="H139" s="733">
        <f t="shared" si="46"/>
        <v>3670395.0564758549</v>
      </c>
      <c r="I139" s="408">
        <f t="shared" si="38"/>
        <v>-14781.516475854907</v>
      </c>
      <c r="J139" s="408">
        <f t="shared" si="39"/>
        <v>-4.0272276549019334E-3</v>
      </c>
      <c r="K139" s="735">
        <f t="shared" si="47"/>
        <v>11011185.169427564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2065656.9800000002</v>
      </c>
      <c r="G140" s="733">
        <v>6021833.9100000011</v>
      </c>
      <c r="H140" s="733">
        <f t="shared" si="46"/>
        <v>6946088.774782666</v>
      </c>
      <c r="I140" s="408">
        <f t="shared" si="38"/>
        <v>-924254.86478266492</v>
      </c>
      <c r="J140" s="408">
        <f t="shared" si="39"/>
        <v>-0.13306119382437401</v>
      </c>
      <c r="K140" s="735">
        <f t="shared" si="47"/>
        <v>20838266.324347999</v>
      </c>
      <c r="L140" s="100"/>
    </row>
    <row r="141" spans="1:12" x14ac:dyDescent="0.25">
      <c r="A141" s="695" t="str">
        <f t="shared" si="36"/>
        <v>Property Services</v>
      </c>
      <c r="B141" s="415"/>
      <c r="C141" s="733"/>
      <c r="D141" s="733">
        <v>57794332.631016083</v>
      </c>
      <c r="E141" s="733">
        <v>57794332.631016083</v>
      </c>
      <c r="F141" s="733">
        <v>7151382.759999997</v>
      </c>
      <c r="G141" s="733">
        <v>20079861.049999997</v>
      </c>
      <c r="H141" s="733">
        <f t="shared" si="46"/>
        <v>19264777.543672029</v>
      </c>
      <c r="I141" s="408">
        <f t="shared" si="38"/>
        <v>815083.50632796809</v>
      </c>
      <c r="J141" s="408">
        <f t="shared" si="39"/>
        <v>4.2309520807090842E-2</v>
      </c>
      <c r="K141" s="735">
        <f t="shared" si="47"/>
        <v>57794332.631016083</v>
      </c>
      <c r="L141" s="100"/>
    </row>
    <row r="142" spans="1:12" x14ac:dyDescent="0.25">
      <c r="A142" s="695" t="str">
        <f t="shared" si="36"/>
        <v>Risk Management</v>
      </c>
      <c r="B142" s="415"/>
      <c r="C142" s="733"/>
      <c r="D142" s="733"/>
      <c r="E142" s="733"/>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103844216.00984205</v>
      </c>
      <c r="F143" s="733">
        <v>17071716.239999998</v>
      </c>
      <c r="G143" s="733">
        <v>61845882.789999999</v>
      </c>
      <c r="H143" s="733">
        <f t="shared" ref="H143:H144" si="48">E143/12*4</f>
        <v>34614738.669947349</v>
      </c>
      <c r="I143" s="408">
        <f t="shared" si="38"/>
        <v>27231144.120052651</v>
      </c>
      <c r="J143" s="408">
        <f t="shared" si="39"/>
        <v>0.78669217698571958</v>
      </c>
      <c r="K143" s="735">
        <f t="shared" ref="K143:K144" si="49">E143</f>
        <v>103844216.00984205</v>
      </c>
      <c r="L143" s="100"/>
    </row>
    <row r="144" spans="1:12" x14ac:dyDescent="0.25">
      <c r="A144" s="695" t="str">
        <f t="shared" si="36"/>
        <v xml:space="preserve">Supply Chain Management </v>
      </c>
      <c r="B144" s="415"/>
      <c r="C144" s="733"/>
      <c r="D144" s="733">
        <v>63645857.888706505</v>
      </c>
      <c r="E144" s="733">
        <v>80742749.34554404</v>
      </c>
      <c r="F144" s="733">
        <v>6301935.6900000013</v>
      </c>
      <c r="G144" s="733">
        <v>13601365.869999995</v>
      </c>
      <c r="H144" s="733">
        <f t="shared" si="48"/>
        <v>26914249.781848013</v>
      </c>
      <c r="I144" s="408">
        <f t="shared" si="38"/>
        <v>-13312883.911848018</v>
      </c>
      <c r="J144" s="408">
        <f t="shared" si="39"/>
        <v>-0.49464072079864285</v>
      </c>
      <c r="K144" s="735">
        <f t="shared" si="49"/>
        <v>80742749.34554404</v>
      </c>
      <c r="L144" s="100"/>
    </row>
    <row r="145" spans="1:12" x14ac:dyDescent="0.25">
      <c r="A145" s="695" t="str">
        <f t="shared" si="36"/>
        <v>Valuation Service</v>
      </c>
      <c r="B145" s="415"/>
      <c r="C145" s="733"/>
      <c r="D145" s="733"/>
      <c r="E145" s="733"/>
      <c r="F145" s="733"/>
      <c r="G145" s="733"/>
      <c r="H145" s="733"/>
      <c r="I145" s="408">
        <f t="shared" si="38"/>
        <v>0</v>
      </c>
      <c r="J145" s="408" t="str">
        <f t="shared" si="39"/>
        <v/>
      </c>
      <c r="K145" s="735"/>
      <c r="L145" s="100"/>
    </row>
    <row r="146" spans="1:12" x14ac:dyDescent="0.25">
      <c r="A146" s="607" t="str">
        <f t="shared" si="36"/>
        <v>Internal audit</v>
      </c>
      <c r="B146" s="620"/>
      <c r="C146" s="608">
        <f t="shared" ref="C146:H146" si="50">SUM(C147:C147)</f>
        <v>0</v>
      </c>
      <c r="D146" s="608">
        <f t="shared" si="50"/>
        <v>21986532.785097998</v>
      </c>
      <c r="E146" s="608">
        <f t="shared" si="50"/>
        <v>21986532.785097998</v>
      </c>
      <c r="F146" s="608">
        <f t="shared" si="50"/>
        <v>1119268.3700000001</v>
      </c>
      <c r="G146" s="608">
        <f t="shared" si="50"/>
        <v>4230080.8200000012</v>
      </c>
      <c r="H146" s="608">
        <f t="shared" si="50"/>
        <v>7328844.2616993329</v>
      </c>
      <c r="I146" s="608">
        <f t="shared" si="38"/>
        <v>-3098763.4416993316</v>
      </c>
      <c r="J146" s="608">
        <f t="shared" si="39"/>
        <v>-0.4228174772240042</v>
      </c>
      <c r="K146" s="610">
        <f>SUM(K147:K147)</f>
        <v>21986532.785097998</v>
      </c>
      <c r="L146" s="100"/>
    </row>
    <row r="147" spans="1:12" x14ac:dyDescent="0.25">
      <c r="A147" s="695" t="str">
        <f t="shared" si="36"/>
        <v>Governance Function</v>
      </c>
      <c r="B147" s="620"/>
      <c r="C147" s="733"/>
      <c r="D147" s="733">
        <v>21986532.785097998</v>
      </c>
      <c r="E147" s="733">
        <v>21986532.785097998</v>
      </c>
      <c r="F147" s="733">
        <v>1119268.3700000001</v>
      </c>
      <c r="G147" s="733">
        <v>4230080.8200000012</v>
      </c>
      <c r="H147" s="733">
        <f t="shared" ref="H147" si="51">E147/12*4</f>
        <v>7328844.2616993329</v>
      </c>
      <c r="I147" s="408">
        <f t="shared" si="38"/>
        <v>-3098763.4416993316</v>
      </c>
      <c r="J147" s="408">
        <f t="shared" si="39"/>
        <v>-0.4228174772240042</v>
      </c>
      <c r="K147" s="735">
        <f>E147</f>
        <v>21986532.785097998</v>
      </c>
      <c r="L147" s="100"/>
    </row>
    <row r="148" spans="1:12" x14ac:dyDescent="0.25">
      <c r="A148" s="414" t="str">
        <f t="shared" si="36"/>
        <v>Community and public safety</v>
      </c>
      <c r="B148" s="620"/>
      <c r="C148" s="605">
        <f t="shared" ref="C148:H148" si="52">C149+C171+C177+C186+C189</f>
        <v>0</v>
      </c>
      <c r="D148" s="605">
        <f t="shared" si="52"/>
        <v>425554819.64787257</v>
      </c>
      <c r="E148" s="605">
        <f t="shared" si="52"/>
        <v>473667727.71673155</v>
      </c>
      <c r="F148" s="605">
        <f t="shared" si="52"/>
        <v>54642730.739999995</v>
      </c>
      <c r="G148" s="605">
        <f t="shared" si="52"/>
        <v>191981088.59</v>
      </c>
      <c r="H148" s="605">
        <f t="shared" si="52"/>
        <v>157889242.57224387</v>
      </c>
      <c r="I148" s="605">
        <f t="shared" si="38"/>
        <v>34091846.017756134</v>
      </c>
      <c r="J148" s="605">
        <f t="shared" si="39"/>
        <v>0.21592253824485258</v>
      </c>
      <c r="K148" s="606">
        <f>K149+K171+K177+K186+K189</f>
        <v>473667727.71673155</v>
      </c>
      <c r="L148" s="100"/>
    </row>
    <row r="149" spans="1:12" x14ac:dyDescent="0.25">
      <c r="A149" s="607" t="str">
        <f t="shared" si="36"/>
        <v>Community and social services</v>
      </c>
      <c r="B149" s="620"/>
      <c r="C149" s="611">
        <f t="shared" ref="C149:H149" si="53">SUM(C150:C170)</f>
        <v>0</v>
      </c>
      <c r="D149" s="611">
        <f t="shared" si="53"/>
        <v>128373725.79885694</v>
      </c>
      <c r="E149" s="611">
        <f t="shared" si="53"/>
        <v>128373725.79885694</v>
      </c>
      <c r="F149" s="611">
        <f t="shared" si="53"/>
        <v>14811640.130000003</v>
      </c>
      <c r="G149" s="611">
        <f t="shared" si="53"/>
        <v>59991866.450000003</v>
      </c>
      <c r="H149" s="611">
        <f t="shared" si="53"/>
        <v>42791241.932952307</v>
      </c>
      <c r="I149" s="611">
        <f t="shared" si="38"/>
        <v>17200624.517047696</v>
      </c>
      <c r="J149" s="611">
        <f t="shared" si="39"/>
        <v>0.40196600379111663</v>
      </c>
      <c r="K149" s="614">
        <f>SUM(K150:K170)</f>
        <v>128373725.79885694</v>
      </c>
      <c r="L149" s="100"/>
    </row>
    <row r="150" spans="1:12" x14ac:dyDescent="0.25">
      <c r="A150" s="695" t="str">
        <f t="shared" si="36"/>
        <v>Aged Care</v>
      </c>
      <c r="B150" s="620"/>
      <c r="C150" s="733"/>
      <c r="D150" s="733">
        <v>4431.0612499999997</v>
      </c>
      <c r="E150" s="733">
        <v>4431.0612499999997</v>
      </c>
      <c r="F150" s="733">
        <v>48.699999999999996</v>
      </c>
      <c r="G150" s="733">
        <v>193.16</v>
      </c>
      <c r="H150" s="733">
        <f t="shared" ref="H150" si="54">E150/12*4</f>
        <v>1477.0204166666665</v>
      </c>
      <c r="I150" s="408">
        <f t="shared" si="38"/>
        <v>-1283.8604166666664</v>
      </c>
      <c r="J150" s="408">
        <f t="shared" si="39"/>
        <v>-0.86922320245516793</v>
      </c>
      <c r="K150" s="735">
        <f>E150</f>
        <v>4431.0612499999997</v>
      </c>
      <c r="L150" s="100"/>
    </row>
    <row r="151" spans="1:12" x14ac:dyDescent="0.25">
      <c r="A151" s="695" t="str">
        <f t="shared" si="36"/>
        <v>Agricultural</v>
      </c>
      <c r="B151" s="620"/>
      <c r="C151" s="733"/>
      <c r="D151" s="733"/>
      <c r="E151" s="733"/>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v>230045.76</v>
      </c>
      <c r="G152" s="733">
        <v>453499.64</v>
      </c>
      <c r="H152" s="733">
        <f t="shared" ref="H152:H153" si="55">E152/12*4</f>
        <v>327646.82</v>
      </c>
      <c r="I152" s="408">
        <f t="shared" si="38"/>
        <v>125852.82</v>
      </c>
      <c r="J152" s="408">
        <f t="shared" si="39"/>
        <v>0.38411122073457027</v>
      </c>
      <c r="K152" s="735">
        <f>E152</f>
        <v>982940.46</v>
      </c>
      <c r="L152" s="100"/>
    </row>
    <row r="153" spans="1:12" ht="22.5" x14ac:dyDescent="0.25">
      <c r="A153" s="695" t="str">
        <f t="shared" si="36"/>
        <v>Cemeteries, Funeral Parlours and Crematoriums</v>
      </c>
      <c r="B153" s="620"/>
      <c r="C153" s="733"/>
      <c r="D153" s="733">
        <v>26579168.830668706</v>
      </c>
      <c r="E153" s="733">
        <v>26579168.830668706</v>
      </c>
      <c r="F153" s="733">
        <v>3353680.8699999992</v>
      </c>
      <c r="G153" s="733">
        <v>9370209.8499999978</v>
      </c>
      <c r="H153" s="733">
        <f t="shared" si="55"/>
        <v>8859722.9435562361</v>
      </c>
      <c r="I153" s="408">
        <f t="shared" si="38"/>
        <v>510486.90644376166</v>
      </c>
      <c r="J153" s="408">
        <f t="shared" si="39"/>
        <v>5.7618834098536208E-2</v>
      </c>
      <c r="K153" s="735">
        <f>E153</f>
        <v>26579168.830668706</v>
      </c>
      <c r="L153" s="100"/>
    </row>
    <row r="154" spans="1:12" x14ac:dyDescent="0.25">
      <c r="A154" s="695" t="str">
        <f t="shared" si="36"/>
        <v>Child Care Facilities</v>
      </c>
      <c r="B154" s="620"/>
      <c r="C154" s="733"/>
      <c r="D154" s="733"/>
      <c r="E154" s="733"/>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2215980.86</v>
      </c>
      <c r="G155" s="733">
        <v>23835872.040000003</v>
      </c>
      <c r="H155" s="733">
        <f t="shared" ref="H155" si="56">E155/12*4</f>
        <v>5248987.3216113346</v>
      </c>
      <c r="I155" s="408">
        <f t="shared" si="38"/>
        <v>18586884.718388669</v>
      </c>
      <c r="J155" s="408">
        <f t="shared" si="39"/>
        <v>3.5410420295476852</v>
      </c>
      <c r="K155" s="735">
        <f>E155</f>
        <v>15746961.964834005</v>
      </c>
      <c r="L155" s="100"/>
    </row>
    <row r="156" spans="1:12" x14ac:dyDescent="0.25">
      <c r="A156" s="695" t="str">
        <f t="shared" si="36"/>
        <v>Consumer Protection</v>
      </c>
      <c r="B156" s="620"/>
      <c r="C156" s="733"/>
      <c r="D156" s="733"/>
      <c r="E156" s="733"/>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6"/>
        <v>Education</v>
      </c>
      <c r="B159" s="620"/>
      <c r="C159" s="733"/>
      <c r="D159" s="733"/>
      <c r="E159" s="733"/>
      <c r="F159" s="733"/>
      <c r="G159" s="733"/>
      <c r="H159" s="733"/>
      <c r="I159" s="408">
        <f t="shared" ref="I159:I164" si="57">G159-H159</f>
        <v>0</v>
      </c>
      <c r="J159" s="408" t="str">
        <f t="shared" ref="J159:J164" si="58">IF(I159=0,"",I159/H159)</f>
        <v/>
      </c>
      <c r="K159" s="735"/>
      <c r="L159" s="100"/>
    </row>
    <row r="160" spans="1:12" x14ac:dyDescent="0.25">
      <c r="A160" s="695" t="str">
        <f t="shared" ref="A160:A191" si="59">A38</f>
        <v>Indigenous and Customary Law</v>
      </c>
      <c r="B160" s="620"/>
      <c r="C160" s="733"/>
      <c r="D160" s="733"/>
      <c r="E160" s="733"/>
      <c r="F160" s="733"/>
      <c r="G160" s="733"/>
      <c r="H160" s="733"/>
      <c r="I160" s="408">
        <f t="shared" si="57"/>
        <v>0</v>
      </c>
      <c r="J160" s="408" t="str">
        <f t="shared" si="58"/>
        <v/>
      </c>
      <c r="K160" s="735"/>
      <c r="L160" s="100"/>
    </row>
    <row r="161" spans="1:12" x14ac:dyDescent="0.25">
      <c r="A161" s="695" t="str">
        <f t="shared" si="59"/>
        <v>Industrial Promotion</v>
      </c>
      <c r="B161" s="620"/>
      <c r="C161" s="733"/>
      <c r="D161" s="733"/>
      <c r="E161" s="733"/>
      <c r="F161" s="733"/>
      <c r="G161" s="733"/>
      <c r="H161" s="733"/>
      <c r="I161" s="408">
        <f t="shared" si="57"/>
        <v>0</v>
      </c>
      <c r="J161" s="408" t="str">
        <f t="shared" si="58"/>
        <v/>
      </c>
      <c r="K161" s="735"/>
      <c r="L161" s="100"/>
    </row>
    <row r="162" spans="1:12" x14ac:dyDescent="0.25">
      <c r="A162" s="695" t="str">
        <f t="shared" si="59"/>
        <v>Language Policy</v>
      </c>
      <c r="B162" s="620"/>
      <c r="C162" s="733"/>
      <c r="D162" s="733"/>
      <c r="E162" s="733"/>
      <c r="F162" s="733"/>
      <c r="G162" s="733"/>
      <c r="H162" s="733"/>
      <c r="I162" s="408">
        <f t="shared" si="57"/>
        <v>0</v>
      </c>
      <c r="J162" s="408" t="str">
        <f t="shared" si="58"/>
        <v/>
      </c>
      <c r="K162" s="735"/>
      <c r="L162" s="100"/>
    </row>
    <row r="163" spans="1:12" x14ac:dyDescent="0.25">
      <c r="A163" s="695" t="str">
        <f t="shared" si="59"/>
        <v>Libraries and Archives</v>
      </c>
      <c r="B163" s="620"/>
      <c r="C163" s="733"/>
      <c r="D163" s="733">
        <v>68987451.478751421</v>
      </c>
      <c r="E163" s="733">
        <v>68987451.478751421</v>
      </c>
      <c r="F163" s="733">
        <v>7881340.9400000023</v>
      </c>
      <c r="G163" s="733">
        <v>22438306.25</v>
      </c>
      <c r="H163" s="733">
        <f t="shared" ref="H163" si="60">E163/12*4</f>
        <v>22995817.159583807</v>
      </c>
      <c r="I163" s="408">
        <f t="shared" si="57"/>
        <v>-557510.90958380699</v>
      </c>
      <c r="J163" s="408">
        <f t="shared" si="58"/>
        <v>-2.4244013844555077E-2</v>
      </c>
      <c r="K163" s="735">
        <f>E163</f>
        <v>68987451.478751421</v>
      </c>
      <c r="L163" s="100"/>
    </row>
    <row r="164" spans="1:12" x14ac:dyDescent="0.25">
      <c r="A164" s="695" t="str">
        <f t="shared" si="59"/>
        <v>Literacy Programmes</v>
      </c>
      <c r="B164" s="620"/>
      <c r="C164" s="733"/>
      <c r="D164" s="733"/>
      <c r="E164" s="733"/>
      <c r="F164" s="733"/>
      <c r="G164" s="733"/>
      <c r="H164" s="733"/>
      <c r="I164" s="408">
        <f t="shared" si="57"/>
        <v>0</v>
      </c>
      <c r="J164" s="408" t="str">
        <f t="shared" si="58"/>
        <v/>
      </c>
      <c r="K164" s="735"/>
      <c r="L164" s="100"/>
    </row>
    <row r="165" spans="1:12" x14ac:dyDescent="0.25">
      <c r="A165" s="695" t="str">
        <f t="shared" si="59"/>
        <v>Media Services</v>
      </c>
      <c r="B165" s="620"/>
      <c r="C165" s="733"/>
      <c r="D165" s="733"/>
      <c r="E165" s="733"/>
      <c r="F165" s="733"/>
      <c r="G165" s="733"/>
      <c r="H165" s="733"/>
      <c r="I165" s="408">
        <f t="shared" si="38"/>
        <v>0</v>
      </c>
      <c r="J165" s="408" t="str">
        <f t="shared" si="39"/>
        <v/>
      </c>
      <c r="K165" s="735"/>
      <c r="L165" s="100"/>
    </row>
    <row r="166" spans="1:12" x14ac:dyDescent="0.25">
      <c r="A166" s="695" t="str">
        <f t="shared" si="59"/>
        <v>Museums and Art Galleries</v>
      </c>
      <c r="B166" s="620"/>
      <c r="C166" s="733"/>
      <c r="D166" s="733">
        <v>7907722.2016169671</v>
      </c>
      <c r="E166" s="733">
        <v>7907722.2016169671</v>
      </c>
      <c r="F166" s="733">
        <v>514533.42000000016</v>
      </c>
      <c r="G166" s="733">
        <v>2037037.4899999995</v>
      </c>
      <c r="H166" s="733">
        <f t="shared" ref="H166:H167" si="61">E166/12*4</f>
        <v>2635907.4005389889</v>
      </c>
      <c r="I166" s="408">
        <f t="shared" si="38"/>
        <v>-598869.91053898935</v>
      </c>
      <c r="J166" s="408">
        <f t="shared" si="39"/>
        <v>-0.22719686982043935</v>
      </c>
      <c r="K166" s="735">
        <f t="shared" ref="K166:K167" si="62">E166</f>
        <v>7907722.2016169671</v>
      </c>
      <c r="L166" s="100"/>
    </row>
    <row r="167" spans="1:12" x14ac:dyDescent="0.25">
      <c r="A167" s="695" t="str">
        <f t="shared" si="59"/>
        <v>Population Development</v>
      </c>
      <c r="B167" s="620"/>
      <c r="C167" s="733"/>
      <c r="D167" s="733">
        <v>8165049.8017358435</v>
      </c>
      <c r="E167" s="733">
        <v>8165049.8017358435</v>
      </c>
      <c r="F167" s="733">
        <v>615472.26</v>
      </c>
      <c r="G167" s="733">
        <v>1854598.7400000005</v>
      </c>
      <c r="H167" s="733">
        <f t="shared" si="61"/>
        <v>2721683.267245281</v>
      </c>
      <c r="I167" s="408">
        <f t="shared" si="38"/>
        <v>-867084.52724528057</v>
      </c>
      <c r="J167" s="408">
        <f t="shared" si="39"/>
        <v>-0.31858392109045436</v>
      </c>
      <c r="K167" s="735">
        <f t="shared" si="62"/>
        <v>8165049.8017358435</v>
      </c>
      <c r="L167" s="100"/>
    </row>
    <row r="168" spans="1:12" x14ac:dyDescent="0.25">
      <c r="A168" s="695" t="str">
        <f t="shared" si="59"/>
        <v>Provincial Cultural Matters</v>
      </c>
      <c r="B168" s="620"/>
      <c r="C168" s="733"/>
      <c r="D168" s="733"/>
      <c r="E168" s="733"/>
      <c r="F168" s="733"/>
      <c r="G168" s="733"/>
      <c r="H168" s="733"/>
      <c r="I168" s="408">
        <f t="shared" si="38"/>
        <v>0</v>
      </c>
      <c r="J168" s="408" t="str">
        <f t="shared" si="39"/>
        <v/>
      </c>
      <c r="K168" s="735"/>
      <c r="L168" s="100"/>
    </row>
    <row r="169" spans="1:12" x14ac:dyDescent="0.25">
      <c r="A169" s="695" t="str">
        <f t="shared" si="59"/>
        <v>Theatres</v>
      </c>
      <c r="B169" s="620"/>
      <c r="C169" s="733"/>
      <c r="D169" s="733"/>
      <c r="E169" s="733"/>
      <c r="F169" s="733">
        <v>537.32000000000005</v>
      </c>
      <c r="G169" s="733">
        <v>2149.2800000000002</v>
      </c>
      <c r="H169" s="733"/>
      <c r="I169" s="408">
        <f t="shared" si="38"/>
        <v>2149.2800000000002</v>
      </c>
      <c r="J169" s="408" t="e">
        <f t="shared" si="39"/>
        <v>#DIV/0!</v>
      </c>
      <c r="K169" s="735"/>
      <c r="L169" s="100"/>
    </row>
    <row r="170" spans="1:12" x14ac:dyDescent="0.25">
      <c r="A170" s="695" t="str">
        <f t="shared" si="59"/>
        <v>Zoo's</v>
      </c>
      <c r="B170" s="620"/>
      <c r="C170" s="733"/>
      <c r="D170" s="733"/>
      <c r="E170" s="733"/>
      <c r="F170" s="733"/>
      <c r="G170" s="733"/>
      <c r="H170" s="733"/>
      <c r="I170" s="408">
        <f t="shared" si="38"/>
        <v>0</v>
      </c>
      <c r="J170" s="408" t="str">
        <f t="shared" si="39"/>
        <v/>
      </c>
      <c r="K170" s="735"/>
      <c r="L170" s="100"/>
    </row>
    <row r="171" spans="1:12" x14ac:dyDescent="0.25">
      <c r="A171" s="607" t="str">
        <f t="shared" si="59"/>
        <v>Sport and recreation</v>
      </c>
      <c r="B171" s="620"/>
      <c r="C171" s="611">
        <f t="shared" ref="C171:K171" si="63">SUM(C172:C176)</f>
        <v>0</v>
      </c>
      <c r="D171" s="611">
        <f t="shared" si="63"/>
        <v>114418472.68896006</v>
      </c>
      <c r="E171" s="611">
        <f t="shared" si="63"/>
        <v>114418472.68896006</v>
      </c>
      <c r="F171" s="611">
        <f t="shared" si="63"/>
        <v>11818188.850000001</v>
      </c>
      <c r="G171" s="611">
        <f t="shared" si="63"/>
        <v>40795909.650000006</v>
      </c>
      <c r="H171" s="611">
        <f t="shared" si="63"/>
        <v>38139490.896320015</v>
      </c>
      <c r="I171" s="611">
        <f t="shared" ref="I171:I176" si="64">G171-H171</f>
        <v>2656418.7536799908</v>
      </c>
      <c r="J171" s="611">
        <f t="shared" ref="J171:J176" si="65">IF(I171=0,"",I171/H171)</f>
        <v>6.9650084236869095E-2</v>
      </c>
      <c r="K171" s="614">
        <f t="shared" si="63"/>
        <v>114418472.68896006</v>
      </c>
      <c r="L171" s="100"/>
    </row>
    <row r="172" spans="1:12" x14ac:dyDescent="0.25">
      <c r="A172" s="695" t="str">
        <f t="shared" si="59"/>
        <v xml:space="preserve">Beaches and Jetties </v>
      </c>
      <c r="B172" s="620"/>
      <c r="C172" s="733"/>
      <c r="D172" s="733"/>
      <c r="E172" s="733"/>
      <c r="F172" s="733"/>
      <c r="G172" s="733"/>
      <c r="H172" s="733"/>
      <c r="I172" s="408">
        <f t="shared" si="64"/>
        <v>0</v>
      </c>
      <c r="J172" s="408" t="str">
        <f t="shared" si="65"/>
        <v/>
      </c>
      <c r="K172" s="735"/>
      <c r="L172" s="100"/>
    </row>
    <row r="173" spans="1:12" x14ac:dyDescent="0.25">
      <c r="A173" s="695" t="str">
        <f t="shared" si="59"/>
        <v>Casinos, Racing, Gambling, Wagering</v>
      </c>
      <c r="B173" s="620"/>
      <c r="C173" s="733"/>
      <c r="D173" s="733"/>
      <c r="E173" s="733"/>
      <c r="F173" s="733"/>
      <c r="G173" s="733"/>
      <c r="H173" s="733"/>
      <c r="I173" s="408">
        <f t="shared" si="64"/>
        <v>0</v>
      </c>
      <c r="J173" s="408" t="str">
        <f t="shared" si="65"/>
        <v/>
      </c>
      <c r="K173" s="735"/>
      <c r="L173" s="100"/>
    </row>
    <row r="174" spans="1:12" x14ac:dyDescent="0.25">
      <c r="A174" s="695" t="str">
        <f t="shared" si="59"/>
        <v>Community Parks (including Nurseries)</v>
      </c>
      <c r="B174" s="620"/>
      <c r="C174" s="733"/>
      <c r="D174" s="733">
        <v>48114791.713263765</v>
      </c>
      <c r="E174" s="733">
        <v>48114791.713263765</v>
      </c>
      <c r="F174" s="733">
        <v>4862912.3600000003</v>
      </c>
      <c r="G174" s="733">
        <v>16751262.469999999</v>
      </c>
      <c r="H174" s="733">
        <f t="shared" ref="H174:H175" si="66">E174/12*4</f>
        <v>16038263.904421255</v>
      </c>
      <c r="I174" s="408">
        <f t="shared" si="64"/>
        <v>712998.56557874382</v>
      </c>
      <c r="J174" s="408">
        <f t="shared" si="65"/>
        <v>4.4456093865757634E-2</v>
      </c>
      <c r="K174" s="735">
        <f t="shared" ref="K174:K175" si="67">E174</f>
        <v>48114791.713263765</v>
      </c>
      <c r="L174" s="100"/>
    </row>
    <row r="175" spans="1:12" x14ac:dyDescent="0.25">
      <c r="A175" s="695" t="str">
        <f t="shared" si="59"/>
        <v>Recreational Facilities</v>
      </c>
      <c r="B175" s="620"/>
      <c r="C175" s="733"/>
      <c r="D175" s="733">
        <v>66303680.975696295</v>
      </c>
      <c r="E175" s="733">
        <v>66303680.975696295</v>
      </c>
      <c r="F175" s="733">
        <v>6955276.4900000021</v>
      </c>
      <c r="G175" s="733">
        <v>24044647.180000003</v>
      </c>
      <c r="H175" s="733">
        <f t="shared" si="66"/>
        <v>22101226.991898764</v>
      </c>
      <c r="I175" s="408">
        <f t="shared" si="64"/>
        <v>1943420.1881012395</v>
      </c>
      <c r="J175" s="408">
        <f t="shared" si="65"/>
        <v>8.7932683050294128E-2</v>
      </c>
      <c r="K175" s="735">
        <f t="shared" si="67"/>
        <v>66303680.975696295</v>
      </c>
      <c r="L175" s="100"/>
    </row>
    <row r="176" spans="1:12" x14ac:dyDescent="0.25">
      <c r="A176" s="695" t="str">
        <f t="shared" si="59"/>
        <v>Sports Grounds and Stadiums</v>
      </c>
      <c r="B176" s="620"/>
      <c r="C176" s="733"/>
      <c r="D176" s="733"/>
      <c r="E176" s="733"/>
      <c r="F176" s="733"/>
      <c r="G176" s="733"/>
      <c r="H176" s="733"/>
      <c r="I176" s="408">
        <f t="shared" si="64"/>
        <v>0</v>
      </c>
      <c r="J176" s="408" t="str">
        <f t="shared" si="65"/>
        <v/>
      </c>
      <c r="K176" s="735"/>
      <c r="L176" s="100"/>
    </row>
    <row r="177" spans="1:12" x14ac:dyDescent="0.25">
      <c r="A177" s="607" t="str">
        <f t="shared" si="59"/>
        <v>Public safety</v>
      </c>
      <c r="B177" s="620"/>
      <c r="C177" s="611">
        <f t="shared" ref="C177:K177" si="68">SUM(C178:C185)</f>
        <v>0</v>
      </c>
      <c r="D177" s="611">
        <f t="shared" si="68"/>
        <v>92358887.770319864</v>
      </c>
      <c r="E177" s="611">
        <f t="shared" si="68"/>
        <v>140471795.83917889</v>
      </c>
      <c r="F177" s="611">
        <f t="shared" si="68"/>
        <v>19752586.009999994</v>
      </c>
      <c r="G177" s="611">
        <f t="shared" si="68"/>
        <v>64434470.709999979</v>
      </c>
      <c r="H177" s="611">
        <f t="shared" si="68"/>
        <v>46823931.946392968</v>
      </c>
      <c r="I177" s="611">
        <f t="shared" si="38"/>
        <v>17610538.76360701</v>
      </c>
      <c r="J177" s="611">
        <f t="shared" si="39"/>
        <v>0.37610123779798504</v>
      </c>
      <c r="K177" s="614">
        <f t="shared" si="68"/>
        <v>140471795.83917889</v>
      </c>
      <c r="L177" s="100"/>
    </row>
    <row r="178" spans="1:12" x14ac:dyDescent="0.25">
      <c r="A178" s="695" t="str">
        <f t="shared" si="59"/>
        <v>Civil Defence</v>
      </c>
      <c r="B178" s="620"/>
      <c r="C178" s="733"/>
      <c r="D178" s="733">
        <v>12197113.976451974</v>
      </c>
      <c r="E178" s="733">
        <v>12197113.976451974</v>
      </c>
      <c r="F178" s="733">
        <v>144711.51999999999</v>
      </c>
      <c r="G178" s="733">
        <v>3325826.17</v>
      </c>
      <c r="H178" s="733">
        <f t="shared" ref="H178" si="69">E178/12*4</f>
        <v>4065704.6588173248</v>
      </c>
      <c r="I178" s="408">
        <f t="shared" si="38"/>
        <v>-739878.48881732486</v>
      </c>
      <c r="J178" s="408">
        <f t="shared" si="39"/>
        <v>-0.18198038246893924</v>
      </c>
      <c r="K178" s="735">
        <f>E178</f>
        <v>12197113.976451974</v>
      </c>
      <c r="L178" s="100"/>
    </row>
    <row r="179" spans="1:12" x14ac:dyDescent="0.25">
      <c r="A179" s="695" t="str">
        <f t="shared" si="59"/>
        <v>Cleansing</v>
      </c>
      <c r="B179" s="620"/>
      <c r="C179" s="733"/>
      <c r="D179" s="733"/>
      <c r="E179" s="733"/>
      <c r="F179" s="733"/>
      <c r="G179" s="733"/>
      <c r="H179" s="733"/>
      <c r="I179" s="408">
        <f t="shared" si="38"/>
        <v>0</v>
      </c>
      <c r="J179" s="408" t="str">
        <f t="shared" si="39"/>
        <v/>
      </c>
      <c r="K179" s="735"/>
      <c r="L179" s="100"/>
    </row>
    <row r="180" spans="1:12" x14ac:dyDescent="0.25">
      <c r="A180" s="695" t="str">
        <f t="shared" si="59"/>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9"/>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9"/>
        <v>Fire Fighting and Protection</v>
      </c>
      <c r="B182" s="620"/>
      <c r="C182" s="733"/>
      <c r="D182" s="733">
        <v>80161773.793867886</v>
      </c>
      <c r="E182" s="733">
        <v>128274681.86272691</v>
      </c>
      <c r="F182" s="733">
        <v>11466505.119999994</v>
      </c>
      <c r="G182" s="733">
        <v>35742152.079999976</v>
      </c>
      <c r="H182" s="733">
        <f t="shared" ref="H182" si="70">E182/12*4</f>
        <v>42758227.28757564</v>
      </c>
      <c r="I182" s="408">
        <f t="shared" si="38"/>
        <v>-7016075.2075756639</v>
      </c>
      <c r="J182" s="408">
        <f t="shared" si="39"/>
        <v>-0.1640871395436532</v>
      </c>
      <c r="K182" s="735">
        <f>E182</f>
        <v>128274681.86272691</v>
      </c>
      <c r="L182" s="100"/>
    </row>
    <row r="183" spans="1:12" x14ac:dyDescent="0.25">
      <c r="A183" s="695" t="str">
        <f t="shared" si="59"/>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9"/>
        <v>Police Forces, Traffic and Street Parking Control</v>
      </c>
      <c r="B184" s="620"/>
      <c r="C184" s="733"/>
      <c r="D184" s="733"/>
      <c r="E184" s="733"/>
      <c r="F184" s="733">
        <v>8141369.370000001</v>
      </c>
      <c r="G184" s="733">
        <v>25366492.460000001</v>
      </c>
      <c r="H184" s="733"/>
      <c r="I184" s="408">
        <f>G184-H184</f>
        <v>25366492.460000001</v>
      </c>
      <c r="J184" s="408" t="e">
        <f>IF(I184=0,"",I184/H184)</f>
        <v>#DIV/0!</v>
      </c>
      <c r="K184" s="735"/>
      <c r="L184" s="100"/>
    </row>
    <row r="185" spans="1:12" x14ac:dyDescent="0.25">
      <c r="A185" s="695" t="str">
        <f t="shared" si="59"/>
        <v>Pounds</v>
      </c>
      <c r="B185" s="620"/>
      <c r="C185" s="733"/>
      <c r="D185" s="733"/>
      <c r="E185" s="733"/>
      <c r="F185" s="733"/>
      <c r="G185" s="733"/>
      <c r="H185" s="733"/>
      <c r="I185" s="408">
        <f t="shared" si="38"/>
        <v>0</v>
      </c>
      <c r="J185" s="408" t="str">
        <f t="shared" si="39"/>
        <v/>
      </c>
      <c r="K185" s="735"/>
      <c r="L185" s="100"/>
    </row>
    <row r="186" spans="1:12" x14ac:dyDescent="0.25">
      <c r="A186" s="607" t="str">
        <f t="shared" si="59"/>
        <v>Housing</v>
      </c>
      <c r="B186" s="620"/>
      <c r="C186" s="611">
        <f t="shared" ref="C186:H186" si="71">SUM(C187:C188)</f>
        <v>0</v>
      </c>
      <c r="D186" s="611">
        <f t="shared" si="71"/>
        <v>90129848.361797929</v>
      </c>
      <c r="E186" s="611">
        <f t="shared" si="71"/>
        <v>90129848.361797929</v>
      </c>
      <c r="F186" s="611">
        <f t="shared" si="71"/>
        <v>7021009.7199999969</v>
      </c>
      <c r="G186" s="611">
        <f t="shared" si="71"/>
        <v>23286699.090000007</v>
      </c>
      <c r="H186" s="611">
        <f t="shared" si="71"/>
        <v>30043282.787265975</v>
      </c>
      <c r="I186" s="611">
        <f>G186-H186</f>
        <v>-6756583.6972659677</v>
      </c>
      <c r="J186" s="611">
        <f>IF(I186=0,"",I186/H186)</f>
        <v>-0.22489498717929007</v>
      </c>
      <c r="K186" s="611">
        <f>SUM(K187:K188)</f>
        <v>90129848.361797929</v>
      </c>
      <c r="L186" s="100"/>
    </row>
    <row r="187" spans="1:12" x14ac:dyDescent="0.25">
      <c r="A187" s="695" t="str">
        <f t="shared" si="59"/>
        <v>Housing</v>
      </c>
      <c r="B187" s="620"/>
      <c r="C187" s="733"/>
      <c r="D187" s="733">
        <v>90129848.361797929</v>
      </c>
      <c r="E187" s="733">
        <v>90129848.361797929</v>
      </c>
      <c r="F187" s="733">
        <v>7021009.7199999969</v>
      </c>
      <c r="G187" s="733">
        <v>23286699.090000007</v>
      </c>
      <c r="H187" s="733">
        <f t="shared" ref="H187" si="72">E187/12*4</f>
        <v>30043282.787265975</v>
      </c>
      <c r="I187" s="408">
        <f>G187-H187</f>
        <v>-6756583.6972659677</v>
      </c>
      <c r="J187" s="408">
        <f>IF(I187=0,"",I187/H187)</f>
        <v>-0.22489498717929007</v>
      </c>
      <c r="K187" s="735">
        <f>E187</f>
        <v>90129848.361797929</v>
      </c>
      <c r="L187" s="100"/>
    </row>
    <row r="188" spans="1:12" x14ac:dyDescent="0.25">
      <c r="A188" s="695" t="str">
        <f t="shared" si="59"/>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9"/>
        <v>Health</v>
      </c>
      <c r="B189" s="620"/>
      <c r="C189" s="611">
        <f t="shared" ref="C189:K189" si="73">SUM(C190:C196)</f>
        <v>0</v>
      </c>
      <c r="D189" s="611">
        <f t="shared" si="73"/>
        <v>273885.02793777513</v>
      </c>
      <c r="E189" s="611">
        <f t="shared" si="73"/>
        <v>273885.02793777513</v>
      </c>
      <c r="F189" s="611">
        <f t="shared" si="73"/>
        <v>1239306.03</v>
      </c>
      <c r="G189" s="611">
        <f t="shared" si="73"/>
        <v>3472142.69</v>
      </c>
      <c r="H189" s="611">
        <f t="shared" si="73"/>
        <v>91295.009312591705</v>
      </c>
      <c r="I189" s="611">
        <f t="shared" si="38"/>
        <v>3380847.6806874084</v>
      </c>
      <c r="J189" s="611">
        <f t="shared" si="39"/>
        <v>37.032119347416625</v>
      </c>
      <c r="K189" s="614">
        <f t="shared" si="73"/>
        <v>273885.02793777513</v>
      </c>
      <c r="L189" s="100"/>
    </row>
    <row r="190" spans="1:12" x14ac:dyDescent="0.25">
      <c r="A190" s="695" t="str">
        <f t="shared" si="59"/>
        <v>Ambulance</v>
      </c>
      <c r="B190" s="620"/>
      <c r="C190" s="733"/>
      <c r="D190" s="733"/>
      <c r="E190" s="733"/>
      <c r="F190" s="733"/>
      <c r="G190" s="733"/>
      <c r="H190" s="733"/>
      <c r="I190" s="408">
        <f t="shared" si="38"/>
        <v>0</v>
      </c>
      <c r="J190" s="408" t="str">
        <f t="shared" si="39"/>
        <v/>
      </c>
      <c r="K190" s="735"/>
      <c r="L190" s="100"/>
    </row>
    <row r="191" spans="1:12" x14ac:dyDescent="0.25">
      <c r="A191" s="695" t="str">
        <f t="shared" si="59"/>
        <v>Health Services</v>
      </c>
      <c r="B191" s="620"/>
      <c r="C191" s="733"/>
      <c r="D191" s="733">
        <v>273885.02793777513</v>
      </c>
      <c r="E191" s="733">
        <v>273885.02793777513</v>
      </c>
      <c r="F191" s="733">
        <v>1239306.03</v>
      </c>
      <c r="G191" s="733">
        <v>3472142.69</v>
      </c>
      <c r="H191" s="733">
        <f t="shared" ref="H191" si="74">E191/12*4</f>
        <v>91295.009312591705</v>
      </c>
      <c r="I191" s="408">
        <f t="shared" si="38"/>
        <v>3380847.6806874084</v>
      </c>
      <c r="J191" s="408">
        <f t="shared" si="39"/>
        <v>37.032119347416625</v>
      </c>
      <c r="K191" s="735">
        <f>E191</f>
        <v>273885.02793777513</v>
      </c>
      <c r="L191" s="100"/>
    </row>
    <row r="192" spans="1:12" x14ac:dyDescent="0.25">
      <c r="A192" s="695" t="str">
        <f t="shared" ref="A192:A223" si="75">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75"/>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5"/>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5"/>
        <v>Vector Control</v>
      </c>
      <c r="B195" s="620"/>
      <c r="C195" s="733"/>
      <c r="D195" s="733"/>
      <c r="E195" s="733"/>
      <c r="F195" s="733"/>
      <c r="G195" s="733"/>
      <c r="H195" s="733"/>
      <c r="I195" s="408">
        <f t="shared" si="38"/>
        <v>0</v>
      </c>
      <c r="J195" s="408" t="str">
        <f t="shared" si="39"/>
        <v/>
      </c>
      <c r="K195" s="735"/>
      <c r="L195" s="100"/>
    </row>
    <row r="196" spans="1:12" x14ac:dyDescent="0.25">
      <c r="A196" s="695" t="str">
        <f t="shared" si="75"/>
        <v>Chemical Safety</v>
      </c>
      <c r="B196" s="620"/>
      <c r="C196" s="733"/>
      <c r="D196" s="733"/>
      <c r="E196" s="733"/>
      <c r="F196" s="733"/>
      <c r="G196" s="733"/>
      <c r="H196" s="733"/>
      <c r="I196" s="408">
        <f t="shared" si="38"/>
        <v>0</v>
      </c>
      <c r="J196" s="408" t="str">
        <f t="shared" si="39"/>
        <v/>
      </c>
      <c r="K196" s="735"/>
      <c r="L196" s="100"/>
    </row>
    <row r="197" spans="1:12" x14ac:dyDescent="0.25">
      <c r="A197" s="414" t="str">
        <f t="shared" si="75"/>
        <v>Economic and environmental services</v>
      </c>
      <c r="B197" s="620"/>
      <c r="C197" s="605">
        <f t="shared" ref="C197:H197" si="76">C198+C209+C214</f>
        <v>0</v>
      </c>
      <c r="D197" s="605">
        <f t="shared" si="76"/>
        <v>288173315.58344549</v>
      </c>
      <c r="E197" s="605">
        <f t="shared" si="76"/>
        <v>290734151.92154366</v>
      </c>
      <c r="F197" s="605">
        <f t="shared" si="76"/>
        <v>36962963.920000009</v>
      </c>
      <c r="G197" s="605">
        <f t="shared" si="76"/>
        <v>109863701.13</v>
      </c>
      <c r="H197" s="605">
        <f t="shared" si="76"/>
        <v>96911383.973847866</v>
      </c>
      <c r="I197" s="605">
        <f t="shared" si="38"/>
        <v>12952317.156152129</v>
      </c>
      <c r="J197" s="605">
        <f t="shared" si="39"/>
        <v>0.1336511421573279</v>
      </c>
      <c r="K197" s="606">
        <f>K198+K209+K214</f>
        <v>290734151.92154366</v>
      </c>
      <c r="L197" s="100"/>
    </row>
    <row r="198" spans="1:12" x14ac:dyDescent="0.25">
      <c r="A198" s="607" t="str">
        <f t="shared" si="75"/>
        <v>Planning and development</v>
      </c>
      <c r="B198" s="620"/>
      <c r="C198" s="611">
        <f t="shared" ref="C198:K198" si="77">SUM(C199:C208)</f>
        <v>0</v>
      </c>
      <c r="D198" s="611">
        <f t="shared" si="77"/>
        <v>92239503.875528902</v>
      </c>
      <c r="E198" s="611">
        <f t="shared" si="77"/>
        <v>92239503.875528902</v>
      </c>
      <c r="F198" s="611">
        <f t="shared" si="77"/>
        <v>7622308.0599999987</v>
      </c>
      <c r="G198" s="611">
        <f t="shared" si="77"/>
        <v>22268954.57</v>
      </c>
      <c r="H198" s="611">
        <f t="shared" si="77"/>
        <v>30746501.291842964</v>
      </c>
      <c r="I198" s="611">
        <f t="shared" si="38"/>
        <v>-8477546.7218429632</v>
      </c>
      <c r="J198" s="611">
        <f t="shared" si="39"/>
        <v>-0.27572394795020316</v>
      </c>
      <c r="K198" s="614">
        <f t="shared" si="77"/>
        <v>92239503.875528902</v>
      </c>
      <c r="L198" s="100"/>
    </row>
    <row r="199" spans="1:12" x14ac:dyDescent="0.25">
      <c r="A199" s="695" t="str">
        <f t="shared" si="75"/>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75"/>
        <v>Corporate Wide Strategic Planning (IDPs, LEDs)</v>
      </c>
      <c r="B200" s="620"/>
      <c r="C200" s="733"/>
      <c r="D200" s="733">
        <v>12848610.792359998</v>
      </c>
      <c r="E200" s="733">
        <v>12848610.792359998</v>
      </c>
      <c r="F200" s="733">
        <v>783131.14</v>
      </c>
      <c r="G200" s="733">
        <v>2162167.2800000003</v>
      </c>
      <c r="H200" s="733">
        <f t="shared" ref="H200" si="78">E200/12*4</f>
        <v>4282870.2641199995</v>
      </c>
      <c r="I200" s="408">
        <f t="shared" si="38"/>
        <v>-2120702.9841199992</v>
      </c>
      <c r="J200" s="408">
        <f t="shared" si="39"/>
        <v>-0.49515928649212532</v>
      </c>
      <c r="K200" s="735">
        <f>E200</f>
        <v>12848610.792359998</v>
      </c>
      <c r="L200" s="100"/>
    </row>
    <row r="201" spans="1:12" x14ac:dyDescent="0.25">
      <c r="A201" s="695" t="str">
        <f t="shared" si="75"/>
        <v>Central City Improvement District</v>
      </c>
      <c r="B201" s="620"/>
      <c r="C201" s="733"/>
      <c r="D201" s="733"/>
      <c r="E201" s="733"/>
      <c r="F201" s="733"/>
      <c r="G201" s="733"/>
      <c r="H201" s="733"/>
      <c r="I201" s="408">
        <f t="shared" si="38"/>
        <v>0</v>
      </c>
      <c r="J201" s="408" t="str">
        <f t="shared" si="39"/>
        <v/>
      </c>
      <c r="K201" s="735"/>
      <c r="L201" s="100"/>
    </row>
    <row r="202" spans="1:12" x14ac:dyDescent="0.25">
      <c r="A202" s="695" t="str">
        <f t="shared" si="75"/>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75"/>
        <v>Economic Development/Planning</v>
      </c>
      <c r="B203" s="620"/>
      <c r="C203" s="733"/>
      <c r="D203" s="733">
        <v>12958288.606480801</v>
      </c>
      <c r="E203" s="733">
        <v>12958288.606480801</v>
      </c>
      <c r="F203" s="733">
        <v>779971.83</v>
      </c>
      <c r="G203" s="733">
        <v>2631480.8600000003</v>
      </c>
      <c r="H203" s="733">
        <f t="shared" ref="H203" si="79">E203/12*4</f>
        <v>4319429.5354936002</v>
      </c>
      <c r="I203" s="408">
        <f>G203-H203</f>
        <v>-1687948.6754935998</v>
      </c>
      <c r="J203" s="408">
        <f>IF(I203=0,"",I203/H203)</f>
        <v>-0.39078046339763023</v>
      </c>
      <c r="K203" s="735">
        <f>E203</f>
        <v>12958288.606480801</v>
      </c>
      <c r="L203" s="100"/>
    </row>
    <row r="204" spans="1:12" x14ac:dyDescent="0.25">
      <c r="A204" s="695" t="str">
        <f t="shared" si="75"/>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75"/>
        <v>Town Planning, Building Regulations and Enforcement, and City Engineer</v>
      </c>
      <c r="B205" s="620"/>
      <c r="C205" s="733"/>
      <c r="D205" s="733">
        <v>66432604.476688094</v>
      </c>
      <c r="E205" s="733">
        <v>66432604.476688094</v>
      </c>
      <c r="F205" s="733">
        <v>6059205.0899999989</v>
      </c>
      <c r="G205" s="733">
        <v>17475306.43</v>
      </c>
      <c r="H205" s="733">
        <f t="shared" ref="H205" si="80">E205/12*4</f>
        <v>22144201.492229365</v>
      </c>
      <c r="I205" s="408">
        <f>G205-H205</f>
        <v>-4668895.0622293651</v>
      </c>
      <c r="J205" s="408">
        <f>IF(I205=0,"",I205/H205)</f>
        <v>-0.21084052472462056</v>
      </c>
      <c r="K205" s="735">
        <f>E205</f>
        <v>66432604.476688094</v>
      </c>
      <c r="L205" s="100"/>
    </row>
    <row r="206" spans="1:12" x14ac:dyDescent="0.25">
      <c r="A206" s="695" t="str">
        <f t="shared" si="75"/>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5"/>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75"/>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75"/>
        <v>Road transport</v>
      </c>
      <c r="B209" s="620"/>
      <c r="C209" s="611">
        <f t="shared" ref="C209:H209" si="81">SUM(C210:C213)</f>
        <v>0</v>
      </c>
      <c r="D209" s="611">
        <f t="shared" si="81"/>
        <v>171068986.74871668</v>
      </c>
      <c r="E209" s="611">
        <f t="shared" si="81"/>
        <v>173629823.08681485</v>
      </c>
      <c r="F209" s="611">
        <f t="shared" si="81"/>
        <v>26950846.090000004</v>
      </c>
      <c r="G209" s="611">
        <f t="shared" si="81"/>
        <v>80407196.719999984</v>
      </c>
      <c r="H209" s="611">
        <f t="shared" si="81"/>
        <v>57876607.695604943</v>
      </c>
      <c r="I209" s="611">
        <f t="shared" si="38"/>
        <v>22530589.024395041</v>
      </c>
      <c r="J209" s="611">
        <f t="shared" si="39"/>
        <v>0.3892866206480512</v>
      </c>
      <c r="K209" s="614">
        <f>SUM(K210:K213)</f>
        <v>173629823.08681485</v>
      </c>
      <c r="L209" s="100"/>
    </row>
    <row r="210" spans="1:12" x14ac:dyDescent="0.25">
      <c r="A210" s="695" t="str">
        <f t="shared" si="75"/>
        <v>Public Transport</v>
      </c>
      <c r="B210" s="620"/>
      <c r="C210" s="733"/>
      <c r="D210" s="733">
        <v>6112737.5899952119</v>
      </c>
      <c r="E210" s="733">
        <v>12235262.624093361</v>
      </c>
      <c r="F210" s="733">
        <v>491927.2900000001</v>
      </c>
      <c r="G210" s="733">
        <v>2095581.31</v>
      </c>
      <c r="H210" s="733">
        <f t="shared" ref="H210:H213" si="82">E210/12*4</f>
        <v>4078420.8746977872</v>
      </c>
      <c r="I210" s="408">
        <f t="shared" si="38"/>
        <v>-1982839.5646977872</v>
      </c>
      <c r="J210" s="408">
        <f t="shared" si="39"/>
        <v>-0.48617826007099291</v>
      </c>
      <c r="K210" s="735">
        <f t="shared" ref="K210:K213" si="83">E210</f>
        <v>12235262.624093361</v>
      </c>
      <c r="L210" s="100"/>
    </row>
    <row r="211" spans="1:12" x14ac:dyDescent="0.25">
      <c r="A211" s="695" t="str">
        <f t="shared" si="75"/>
        <v>Road and Traffic Regulation</v>
      </c>
      <c r="B211" s="620"/>
      <c r="C211" s="733"/>
      <c r="D211" s="733">
        <v>75071897.514813796</v>
      </c>
      <c r="E211" s="733">
        <v>75071897.514813796</v>
      </c>
      <c r="F211" s="733"/>
      <c r="G211" s="733"/>
      <c r="H211" s="733">
        <f t="shared" si="82"/>
        <v>25023965.838271264</v>
      </c>
      <c r="I211" s="408">
        <f>G211-H211</f>
        <v>-25023965.838271264</v>
      </c>
      <c r="J211" s="408">
        <f>IF(I211=0,"",I211/H211)</f>
        <v>-1</v>
      </c>
      <c r="K211" s="735">
        <f t="shared" si="83"/>
        <v>75071897.514813796</v>
      </c>
      <c r="L211" s="100"/>
    </row>
    <row r="212" spans="1:12" x14ac:dyDescent="0.25">
      <c r="A212" s="695" t="str">
        <f t="shared" si="75"/>
        <v>Roads</v>
      </c>
      <c r="B212" s="620"/>
      <c r="C212" s="733"/>
      <c r="D212" s="733">
        <v>86766270.60115768</v>
      </c>
      <c r="E212" s="733">
        <v>83204581.905157685</v>
      </c>
      <c r="F212" s="733">
        <v>26370549.400000006</v>
      </c>
      <c r="G212" s="733">
        <v>77834276.559999987</v>
      </c>
      <c r="H212" s="733">
        <f t="shared" si="82"/>
        <v>27734860.635052562</v>
      </c>
      <c r="I212" s="408">
        <f t="shared" si="38"/>
        <v>50099415.924947426</v>
      </c>
      <c r="J212" s="408">
        <f t="shared" si="39"/>
        <v>1.8063698456674246</v>
      </c>
      <c r="K212" s="735">
        <f t="shared" si="83"/>
        <v>83204581.905157685</v>
      </c>
      <c r="L212" s="100"/>
    </row>
    <row r="213" spans="1:12" x14ac:dyDescent="0.25">
      <c r="A213" s="695" t="str">
        <f t="shared" si="75"/>
        <v>Taxi Ranks</v>
      </c>
      <c r="B213" s="620"/>
      <c r="C213" s="733"/>
      <c r="D213" s="733">
        <v>3118081.04275</v>
      </c>
      <c r="E213" s="733">
        <v>3118081.04275</v>
      </c>
      <c r="F213" s="733">
        <v>88369.400000000009</v>
      </c>
      <c r="G213" s="733">
        <v>477338.85</v>
      </c>
      <c r="H213" s="733">
        <f t="shared" si="82"/>
        <v>1039360.3475833334</v>
      </c>
      <c r="I213" s="408">
        <f t="shared" si="38"/>
        <v>-562021.4975833334</v>
      </c>
      <c r="J213" s="408">
        <f t="shared" si="39"/>
        <v>-0.54073786717967121</v>
      </c>
      <c r="K213" s="735">
        <f t="shared" si="83"/>
        <v>3118081.04275</v>
      </c>
      <c r="L213" s="100"/>
    </row>
    <row r="214" spans="1:12" x14ac:dyDescent="0.25">
      <c r="A214" s="607" t="str">
        <f t="shared" si="75"/>
        <v>Environmental protection</v>
      </c>
      <c r="B214" s="620"/>
      <c r="C214" s="611">
        <f t="shared" ref="C214:K214" si="84">SUM(C215:C220)</f>
        <v>0</v>
      </c>
      <c r="D214" s="611">
        <f t="shared" si="84"/>
        <v>24864824.959199883</v>
      </c>
      <c r="E214" s="611">
        <f t="shared" si="84"/>
        <v>24864824.959199883</v>
      </c>
      <c r="F214" s="611">
        <f t="shared" si="84"/>
        <v>2389809.77</v>
      </c>
      <c r="G214" s="611">
        <f t="shared" si="84"/>
        <v>7187549.839999998</v>
      </c>
      <c r="H214" s="611">
        <f t="shared" si="84"/>
        <v>8288274.9863999616</v>
      </c>
      <c r="I214" s="611">
        <f t="shared" si="38"/>
        <v>-1100725.1463999636</v>
      </c>
      <c r="J214" s="611">
        <f t="shared" si="39"/>
        <v>-0.1328050949330371</v>
      </c>
      <c r="K214" s="614">
        <f t="shared" si="84"/>
        <v>24864824.959199883</v>
      </c>
      <c r="L214" s="100"/>
    </row>
    <row r="215" spans="1:12" x14ac:dyDescent="0.25">
      <c r="A215" s="695" t="str">
        <f t="shared" si="75"/>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75"/>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75"/>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75"/>
        <v>Nature Conservation</v>
      </c>
      <c r="B218" s="620"/>
      <c r="C218" s="733"/>
      <c r="D218" s="733">
        <v>7953351.9763347059</v>
      </c>
      <c r="E218" s="733">
        <v>7953351.9763347059</v>
      </c>
      <c r="F218" s="733">
        <v>541763.4600000002</v>
      </c>
      <c r="G218" s="733">
        <v>1500695.4000000001</v>
      </c>
      <c r="H218" s="733">
        <f t="shared" ref="H218:H219" si="85">E218/12*4</f>
        <v>2651117.3254449018</v>
      </c>
      <c r="I218" s="408">
        <f>G218-H218</f>
        <v>-1150421.9254449017</v>
      </c>
      <c r="J218" s="408">
        <f>IF(I218=0,"",I218/H218)</f>
        <v>-0.43393851882878914</v>
      </c>
      <c r="K218" s="735">
        <f t="shared" ref="K218:K219" si="86">E218</f>
        <v>7953351.9763347059</v>
      </c>
      <c r="L218" s="100"/>
    </row>
    <row r="219" spans="1:12" x14ac:dyDescent="0.25">
      <c r="A219" s="695" t="str">
        <f t="shared" si="75"/>
        <v>Pollution Control</v>
      </c>
      <c r="B219" s="620"/>
      <c r="C219" s="733"/>
      <c r="D219" s="733">
        <v>16911472.982865177</v>
      </c>
      <c r="E219" s="733">
        <v>16911472.982865177</v>
      </c>
      <c r="F219" s="733">
        <v>1848046.3099999998</v>
      </c>
      <c r="G219" s="733">
        <v>5686854.4399999976</v>
      </c>
      <c r="H219" s="733">
        <f t="shared" si="85"/>
        <v>5637157.6609550593</v>
      </c>
      <c r="I219" s="408">
        <f>G219-H219</f>
        <v>49696.779044938274</v>
      </c>
      <c r="J219" s="408">
        <f>IF(I219=0,"",I219/H219)</f>
        <v>8.8159285288676031E-3</v>
      </c>
      <c r="K219" s="735">
        <f t="shared" si="86"/>
        <v>16911472.982865177</v>
      </c>
      <c r="L219" s="100"/>
    </row>
    <row r="220" spans="1:12" x14ac:dyDescent="0.25">
      <c r="A220" s="695" t="str">
        <f t="shared" si="75"/>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75"/>
        <v>Trading services</v>
      </c>
      <c r="B221" s="620"/>
      <c r="C221" s="605">
        <f>C222+C226+C230+C235</f>
        <v>0</v>
      </c>
      <c r="D221" s="605">
        <f t="shared" ref="D221:I221" si="87">D222+D226+D230+D235</f>
        <v>3353046546.6774907</v>
      </c>
      <c r="E221" s="605">
        <f t="shared" si="87"/>
        <v>3353046546.6774907</v>
      </c>
      <c r="F221" s="605">
        <f t="shared" si="87"/>
        <v>198922728.52000001</v>
      </c>
      <c r="G221" s="605">
        <f t="shared" si="87"/>
        <v>1257554899.9400001</v>
      </c>
      <c r="H221" s="605">
        <f t="shared" si="87"/>
        <v>1117682182.2258301</v>
      </c>
      <c r="I221" s="605">
        <f t="shared" si="87"/>
        <v>139872717.71416989</v>
      </c>
      <c r="J221" s="605">
        <f t="shared" si="39"/>
        <v>0.12514534090148743</v>
      </c>
      <c r="K221" s="606">
        <f>K222+K226+K230+K235</f>
        <v>3353046546.6774907</v>
      </c>
      <c r="L221" s="100"/>
    </row>
    <row r="222" spans="1:12" x14ac:dyDescent="0.25">
      <c r="A222" s="607" t="str">
        <f t="shared" si="75"/>
        <v>Energy sources</v>
      </c>
      <c r="B222" s="620"/>
      <c r="C222" s="611">
        <f t="shared" ref="C222:K222" si="88">SUM(C223:C225)</f>
        <v>0</v>
      </c>
      <c r="D222" s="611">
        <f t="shared" si="88"/>
        <v>2291332272.7237678</v>
      </c>
      <c r="E222" s="611">
        <f t="shared" si="88"/>
        <v>2291332272.7237678</v>
      </c>
      <c r="F222" s="611">
        <f t="shared" si="88"/>
        <v>80129048.280000001</v>
      </c>
      <c r="G222" s="611">
        <f t="shared" si="88"/>
        <v>842189544.27999997</v>
      </c>
      <c r="H222" s="611">
        <f t="shared" si="88"/>
        <v>763777424.24125588</v>
      </c>
      <c r="I222" s="611">
        <f t="shared" si="38"/>
        <v>78412120.038744092</v>
      </c>
      <c r="J222" s="611">
        <f t="shared" si="39"/>
        <v>0.10266357390261892</v>
      </c>
      <c r="K222" s="614">
        <f t="shared" si="88"/>
        <v>2291332272.7237678</v>
      </c>
      <c r="L222" s="100"/>
    </row>
    <row r="223" spans="1:12" x14ac:dyDescent="0.25">
      <c r="A223" s="695" t="str">
        <f t="shared" si="75"/>
        <v xml:space="preserve">Electricity </v>
      </c>
      <c r="B223" s="620"/>
      <c r="C223" s="733"/>
      <c r="D223" s="733">
        <v>2270836245.4232864</v>
      </c>
      <c r="E223" s="733">
        <v>2270836245.4232864</v>
      </c>
      <c r="F223" s="733">
        <v>76338648.599999994</v>
      </c>
      <c r="G223" s="733">
        <v>832668004.53999996</v>
      </c>
      <c r="H223" s="733">
        <f t="shared" ref="H223:H224" si="89">E223/12*4</f>
        <v>756945415.14109552</v>
      </c>
      <c r="I223" s="408">
        <f t="shared" si="38"/>
        <v>75722589.398904443</v>
      </c>
      <c r="J223" s="408">
        <f t="shared" si="39"/>
        <v>0.10003705403881687</v>
      </c>
      <c r="K223" s="735">
        <f t="shared" ref="K223:K224" si="90">E223</f>
        <v>2270836245.4232864</v>
      </c>
      <c r="L223" s="100"/>
    </row>
    <row r="224" spans="1:12" x14ac:dyDescent="0.25">
      <c r="A224" s="695" t="str">
        <f t="shared" ref="A224:A246" si="91">A102</f>
        <v>Street Lighting and Signal Systems</v>
      </c>
      <c r="B224" s="620"/>
      <c r="C224" s="733"/>
      <c r="D224" s="733">
        <v>20496027.300481234</v>
      </c>
      <c r="E224" s="733">
        <v>20496027.300481234</v>
      </c>
      <c r="F224" s="733">
        <v>3790399.6799999997</v>
      </c>
      <c r="G224" s="733">
        <v>9521539.7399999984</v>
      </c>
      <c r="H224" s="733">
        <f t="shared" si="89"/>
        <v>6832009.1001604116</v>
      </c>
      <c r="I224" s="408">
        <f>G224-H224</f>
        <v>2689530.6398395868</v>
      </c>
      <c r="J224" s="408">
        <f>IF(I224=0,"",I224/H224)</f>
        <v>0.39366613838035408</v>
      </c>
      <c r="K224" s="735">
        <f t="shared" si="90"/>
        <v>20496027.300481234</v>
      </c>
      <c r="L224" s="100"/>
    </row>
    <row r="225" spans="1:12" x14ac:dyDescent="0.25">
      <c r="A225" s="695" t="str">
        <f t="shared" si="91"/>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91"/>
        <v>Water management</v>
      </c>
      <c r="B226" s="620"/>
      <c r="C226" s="611">
        <f t="shared" ref="C226:K226" si="92">SUM(C227:C229)</f>
        <v>0</v>
      </c>
      <c r="D226" s="611">
        <f t="shared" si="92"/>
        <v>0</v>
      </c>
      <c r="E226" s="611">
        <f t="shared" si="92"/>
        <v>0</v>
      </c>
      <c r="F226" s="611">
        <f t="shared" si="92"/>
        <v>84075127.970000014</v>
      </c>
      <c r="G226" s="611">
        <f t="shared" si="92"/>
        <v>295484556.66000003</v>
      </c>
      <c r="H226" s="611">
        <f t="shared" si="92"/>
        <v>0</v>
      </c>
      <c r="I226" s="611">
        <f t="shared" si="38"/>
        <v>295484556.66000003</v>
      </c>
      <c r="J226" s="611" t="e">
        <f t="shared" si="39"/>
        <v>#DIV/0!</v>
      </c>
      <c r="K226" s="614">
        <f t="shared" si="92"/>
        <v>0</v>
      </c>
      <c r="L226" s="100"/>
    </row>
    <row r="227" spans="1:12" x14ac:dyDescent="0.25">
      <c r="A227" s="695" t="str">
        <f t="shared" si="91"/>
        <v>Water Treatment</v>
      </c>
      <c r="B227" s="620"/>
      <c r="C227" s="733"/>
      <c r="D227" s="733"/>
      <c r="E227" s="733"/>
      <c r="F227" s="733"/>
      <c r="G227" s="733"/>
      <c r="H227" s="733"/>
      <c r="I227" s="408">
        <f t="shared" si="38"/>
        <v>0</v>
      </c>
      <c r="J227" s="408" t="str">
        <f t="shared" si="39"/>
        <v/>
      </c>
      <c r="K227" s="735"/>
      <c r="L227" s="100"/>
    </row>
    <row r="228" spans="1:12" x14ac:dyDescent="0.25">
      <c r="A228" s="695" t="str">
        <f t="shared" si="91"/>
        <v>Water Distribution</v>
      </c>
      <c r="B228" s="620"/>
      <c r="C228" s="733"/>
      <c r="D228" s="733"/>
      <c r="E228" s="733"/>
      <c r="F228" s="733">
        <v>84075127.970000014</v>
      </c>
      <c r="G228" s="733">
        <v>295484556.66000003</v>
      </c>
      <c r="H228" s="733"/>
      <c r="I228" s="408">
        <f>G228-H228</f>
        <v>295484556.66000003</v>
      </c>
      <c r="J228" s="408" t="e">
        <f>IF(I228=0,"",I228/H228)</f>
        <v>#DIV/0!</v>
      </c>
      <c r="K228" s="735"/>
      <c r="L228" s="100"/>
    </row>
    <row r="229" spans="1:12" x14ac:dyDescent="0.25">
      <c r="A229" s="695" t="str">
        <f t="shared" si="91"/>
        <v>Water Storage</v>
      </c>
      <c r="B229" s="620"/>
      <c r="C229" s="733"/>
      <c r="D229" s="733"/>
      <c r="E229" s="733"/>
      <c r="F229" s="733"/>
      <c r="G229" s="733"/>
      <c r="H229" s="733"/>
      <c r="I229" s="408">
        <f t="shared" si="38"/>
        <v>0</v>
      </c>
      <c r="J229" s="408" t="str">
        <f t="shared" si="39"/>
        <v/>
      </c>
      <c r="K229" s="735"/>
      <c r="L229" s="100"/>
    </row>
    <row r="230" spans="1:12" x14ac:dyDescent="0.25">
      <c r="A230" s="607" t="str">
        <f t="shared" si="91"/>
        <v>Waste water management</v>
      </c>
      <c r="B230" s="620"/>
      <c r="C230" s="611">
        <f t="shared" ref="C230:K230" si="93">SUM(C231:C234)</f>
        <v>0</v>
      </c>
      <c r="D230" s="611">
        <f t="shared" si="93"/>
        <v>931929869.0260967</v>
      </c>
      <c r="E230" s="611">
        <f t="shared" si="93"/>
        <v>931929869.0260967</v>
      </c>
      <c r="F230" s="611">
        <f t="shared" si="93"/>
        <v>20628430.059999999</v>
      </c>
      <c r="G230" s="611">
        <f t="shared" si="93"/>
        <v>79911492.26000002</v>
      </c>
      <c r="H230" s="611">
        <f t="shared" si="93"/>
        <v>310643289.67536557</v>
      </c>
      <c r="I230" s="611">
        <f t="shared" si="38"/>
        <v>-230731797.41536555</v>
      </c>
      <c r="J230" s="611">
        <f t="shared" si="39"/>
        <v>-0.74275480940370331</v>
      </c>
      <c r="K230" s="614">
        <f t="shared" si="93"/>
        <v>931929869.0260967</v>
      </c>
      <c r="L230" s="100"/>
    </row>
    <row r="231" spans="1:12" x14ac:dyDescent="0.25">
      <c r="A231" s="695" t="str">
        <f t="shared" si="91"/>
        <v>Public Toilets</v>
      </c>
      <c r="B231" s="620"/>
      <c r="C231" s="733"/>
      <c r="D231" s="733">
        <v>1325140.728374806</v>
      </c>
      <c r="E231" s="733">
        <v>1325140.728374806</v>
      </c>
      <c r="F231" s="733">
        <v>-98862.31</v>
      </c>
      <c r="G231" s="733">
        <v>539937.18000000005</v>
      </c>
      <c r="H231" s="733">
        <f t="shared" ref="H231:H234" si="94">E231/12*4</f>
        <v>441713.57612493535</v>
      </c>
      <c r="I231" s="408">
        <f t="shared" si="38"/>
        <v>98223.603875064699</v>
      </c>
      <c r="J231" s="408">
        <f t="shared" si="39"/>
        <v>0.22236944749754056</v>
      </c>
      <c r="K231" s="735">
        <f t="shared" ref="K231:K234" si="95">E231</f>
        <v>1325140.728374806</v>
      </c>
      <c r="L231" s="100"/>
    </row>
    <row r="232" spans="1:12" x14ac:dyDescent="0.25">
      <c r="A232" s="695" t="str">
        <f t="shared" si="91"/>
        <v>Sewerage</v>
      </c>
      <c r="B232" s="620"/>
      <c r="C232" s="733"/>
      <c r="D232" s="733">
        <v>225241153.38453153</v>
      </c>
      <c r="E232" s="733">
        <v>225241153.38453153</v>
      </c>
      <c r="F232" s="733">
        <v>17302354.179999996</v>
      </c>
      <c r="G232" s="733">
        <v>69554417.040000021</v>
      </c>
      <c r="H232" s="733">
        <f t="shared" si="94"/>
        <v>75080384.461510509</v>
      </c>
      <c r="I232" s="408">
        <f t="shared" si="38"/>
        <v>-5525967.4215104878</v>
      </c>
      <c r="J232" s="408">
        <f t="shared" si="39"/>
        <v>-7.3600680938752258E-2</v>
      </c>
      <c r="K232" s="735">
        <f t="shared" si="95"/>
        <v>225241153.38453153</v>
      </c>
      <c r="L232" s="100"/>
    </row>
    <row r="233" spans="1:12" x14ac:dyDescent="0.25">
      <c r="A233" s="695" t="str">
        <f t="shared" si="91"/>
        <v>Storm Water Management</v>
      </c>
      <c r="B233" s="620"/>
      <c r="C233" s="733"/>
      <c r="D233" s="733">
        <v>560143.7006000001</v>
      </c>
      <c r="E233" s="733">
        <v>560143.7006000001</v>
      </c>
      <c r="F233" s="733">
        <v>3424938.19</v>
      </c>
      <c r="G233" s="733">
        <v>9817138.0399999991</v>
      </c>
      <c r="H233" s="733">
        <f t="shared" si="94"/>
        <v>186714.56686666669</v>
      </c>
      <c r="I233" s="408">
        <f>G233-H233</f>
        <v>9630423.473133333</v>
      </c>
      <c r="J233" s="408">
        <f>IF(I233=0,"",I233/H233)</f>
        <v>51.578318900048338</v>
      </c>
      <c r="K233" s="735">
        <f t="shared" si="95"/>
        <v>560143.7006000001</v>
      </c>
      <c r="L233" s="100"/>
    </row>
    <row r="234" spans="1:12" x14ac:dyDescent="0.25">
      <c r="A234" s="695" t="str">
        <f t="shared" si="91"/>
        <v>Waste Water Treatment</v>
      </c>
      <c r="B234" s="620"/>
      <c r="C234" s="733"/>
      <c r="D234" s="733">
        <v>704803431.21259034</v>
      </c>
      <c r="E234" s="733">
        <v>704803431.21259034</v>
      </c>
      <c r="F234" s="733"/>
      <c r="G234" s="733"/>
      <c r="H234" s="733">
        <f t="shared" si="94"/>
        <v>234934477.07086346</v>
      </c>
      <c r="I234" s="408">
        <f t="shared" si="38"/>
        <v>-234934477.07086346</v>
      </c>
      <c r="J234" s="408">
        <f t="shared" si="39"/>
        <v>-1</v>
      </c>
      <c r="K234" s="735">
        <f t="shared" si="95"/>
        <v>704803431.21259034</v>
      </c>
      <c r="L234" s="100"/>
    </row>
    <row r="235" spans="1:12" x14ac:dyDescent="0.25">
      <c r="A235" s="607" t="str">
        <f t="shared" si="91"/>
        <v>Waste management</v>
      </c>
      <c r="B235" s="620"/>
      <c r="C235" s="611">
        <f t="shared" ref="C235:H235" si="96">SUM(C236:C239)</f>
        <v>0</v>
      </c>
      <c r="D235" s="611">
        <f t="shared" si="96"/>
        <v>129784404.92762612</v>
      </c>
      <c r="E235" s="611">
        <f t="shared" si="96"/>
        <v>129784404.92762612</v>
      </c>
      <c r="F235" s="611">
        <f t="shared" si="96"/>
        <v>14090122.209999995</v>
      </c>
      <c r="G235" s="611">
        <f t="shared" si="96"/>
        <v>39969306.740000017</v>
      </c>
      <c r="H235" s="611">
        <f t="shared" si="96"/>
        <v>43261468.309208706</v>
      </c>
      <c r="I235" s="611">
        <f t="shared" si="38"/>
        <v>-3292161.569208689</v>
      </c>
      <c r="J235" s="611">
        <f t="shared" si="39"/>
        <v>-7.6099163941412362E-2</v>
      </c>
      <c r="K235" s="611">
        <f>SUM(K236:K239)</f>
        <v>129784404.92762612</v>
      </c>
      <c r="L235" s="100"/>
    </row>
    <row r="236" spans="1:12" x14ac:dyDescent="0.25">
      <c r="A236" s="695" t="str">
        <f t="shared" si="91"/>
        <v>Recycling</v>
      </c>
      <c r="B236" s="620"/>
      <c r="C236" s="733"/>
      <c r="D236" s="733"/>
      <c r="E236" s="733"/>
      <c r="F236" s="733"/>
      <c r="G236" s="733"/>
      <c r="H236" s="733"/>
      <c r="I236" s="408">
        <f>G236-H236</f>
        <v>0</v>
      </c>
      <c r="J236" s="408" t="str">
        <f>IF(I236=0,"",I236/H236)</f>
        <v/>
      </c>
      <c r="K236" s="735"/>
      <c r="L236" s="100"/>
    </row>
    <row r="237" spans="1:12" x14ac:dyDescent="0.25">
      <c r="A237" s="695" t="str">
        <f t="shared" si="91"/>
        <v>Solid Waste Disposal (Landfill Sites)</v>
      </c>
      <c r="B237" s="620"/>
      <c r="C237" s="733"/>
      <c r="D237" s="733">
        <v>13353688.704158884</v>
      </c>
      <c r="E237" s="733">
        <v>13353688.704158884</v>
      </c>
      <c r="F237" s="733">
        <v>236769.34</v>
      </c>
      <c r="G237" s="733">
        <v>1929978.7899999998</v>
      </c>
      <c r="H237" s="733">
        <f t="shared" ref="H237:H238" si="97">E237/12*4</f>
        <v>4451229.5680529615</v>
      </c>
      <c r="I237" s="408">
        <f>G237-H237</f>
        <v>-2521250.7780529615</v>
      </c>
      <c r="J237" s="408">
        <f>IF(I237=0,"",I237/H237)</f>
        <v>-0.56641670340894068</v>
      </c>
      <c r="K237" s="735">
        <f t="shared" ref="K237:K238" si="98">E237</f>
        <v>13353688.704158884</v>
      </c>
      <c r="L237" s="100"/>
    </row>
    <row r="238" spans="1:12" x14ac:dyDescent="0.25">
      <c r="A238" s="695" t="str">
        <f t="shared" si="91"/>
        <v>Solid Waste Removal</v>
      </c>
      <c r="B238" s="620"/>
      <c r="C238" s="733"/>
      <c r="D238" s="733">
        <v>116430716.22346723</v>
      </c>
      <c r="E238" s="733">
        <v>116430716.22346723</v>
      </c>
      <c r="F238" s="733">
        <v>13853352.869999995</v>
      </c>
      <c r="G238" s="733">
        <v>38039327.950000018</v>
      </c>
      <c r="H238" s="733">
        <f t="shared" si="97"/>
        <v>38810238.741155744</v>
      </c>
      <c r="I238" s="408">
        <f>G238-H238</f>
        <v>-770910.79115572572</v>
      </c>
      <c r="J238" s="408">
        <f>IF(I238=0,"",I238/H238)</f>
        <v>-1.9863593117715732E-2</v>
      </c>
      <c r="K238" s="735">
        <f t="shared" si="98"/>
        <v>116430716.22346723</v>
      </c>
      <c r="L238" s="100"/>
    </row>
    <row r="239" spans="1:12" x14ac:dyDescent="0.25">
      <c r="A239" s="695" t="str">
        <f t="shared" si="91"/>
        <v>Street Cleaning</v>
      </c>
      <c r="B239" s="415"/>
      <c r="C239" s="733"/>
      <c r="D239" s="733"/>
      <c r="E239" s="733"/>
      <c r="F239" s="733"/>
      <c r="G239" s="733"/>
      <c r="H239" s="733"/>
      <c r="I239" s="408">
        <f t="shared" si="38"/>
        <v>0</v>
      </c>
      <c r="J239" s="408" t="str">
        <f t="shared" si="39"/>
        <v/>
      </c>
      <c r="K239" s="735"/>
      <c r="L239" s="100"/>
    </row>
    <row r="240" spans="1:12" x14ac:dyDescent="0.25">
      <c r="A240" s="414" t="str">
        <f t="shared" si="91"/>
        <v>Other</v>
      </c>
      <c r="B240" s="415"/>
      <c r="C240" s="611">
        <f t="shared" ref="C240:K240" si="99">SUM(C241:C246)</f>
        <v>0</v>
      </c>
      <c r="D240" s="611">
        <f t="shared" si="99"/>
        <v>81300979.882271051</v>
      </c>
      <c r="E240" s="611">
        <f t="shared" si="99"/>
        <v>81300979.881984949</v>
      </c>
      <c r="F240" s="611">
        <f t="shared" si="99"/>
        <v>5226843.1000000006</v>
      </c>
      <c r="G240" s="611">
        <f t="shared" si="99"/>
        <v>21150864.600000001</v>
      </c>
      <c r="H240" s="611">
        <f t="shared" si="99"/>
        <v>27100326.627328321</v>
      </c>
      <c r="I240" s="611">
        <f t="shared" si="38"/>
        <v>-5949462.0273283198</v>
      </c>
      <c r="J240" s="611">
        <f t="shared" si="39"/>
        <v>-0.21953469820281815</v>
      </c>
      <c r="K240" s="614">
        <f t="shared" si="99"/>
        <v>81300979.881984949</v>
      </c>
      <c r="L240" s="100"/>
    </row>
    <row r="241" spans="1:12" x14ac:dyDescent="0.25">
      <c r="A241" s="607" t="str">
        <f t="shared" si="91"/>
        <v>Abattoirs</v>
      </c>
      <c r="B241" s="415"/>
      <c r="C241" s="733"/>
      <c r="D241" s="733"/>
      <c r="E241" s="733"/>
      <c r="F241" s="733"/>
      <c r="G241" s="733"/>
      <c r="H241" s="735"/>
      <c r="I241" s="408">
        <f t="shared" si="38"/>
        <v>0</v>
      </c>
      <c r="J241" s="408" t="str">
        <f t="shared" si="39"/>
        <v/>
      </c>
      <c r="K241" s="735"/>
      <c r="L241" s="100"/>
    </row>
    <row r="242" spans="1:12" x14ac:dyDescent="0.25">
      <c r="A242" s="607" t="str">
        <f t="shared" si="91"/>
        <v>Air Transport</v>
      </c>
      <c r="B242" s="415"/>
      <c r="C242" s="733"/>
      <c r="D242" s="733">
        <v>30392698.58867228</v>
      </c>
      <c r="E242" s="733">
        <v>30392698.58867228</v>
      </c>
      <c r="F242" s="733">
        <v>1830381.56</v>
      </c>
      <c r="G242" s="733">
        <v>6795574.5300000003</v>
      </c>
      <c r="H242" s="733">
        <f t="shared" ref="H242:H246" si="100">E242/12*4</f>
        <v>10130899.529557427</v>
      </c>
      <c r="I242" s="408">
        <f t="shared" si="38"/>
        <v>-3335324.9995574271</v>
      </c>
      <c r="J242" s="408">
        <f t="shared" si="39"/>
        <v>-0.32922298654985599</v>
      </c>
      <c r="K242" s="735">
        <f t="shared" ref="K242:K246" si="101">E242</f>
        <v>30392698.58867228</v>
      </c>
      <c r="L242" s="100"/>
    </row>
    <row r="243" spans="1:12" x14ac:dyDescent="0.25">
      <c r="A243" s="607" t="str">
        <f t="shared" si="91"/>
        <v xml:space="preserve">Forestry </v>
      </c>
      <c r="B243" s="415"/>
      <c r="C243" s="733"/>
      <c r="D243" s="733">
        <v>5026381.4873491293</v>
      </c>
      <c r="E243" s="733">
        <v>5026381.4873491293</v>
      </c>
      <c r="F243" s="733">
        <v>92561.05</v>
      </c>
      <c r="G243" s="733">
        <v>3222494.32</v>
      </c>
      <c r="H243" s="733">
        <f t="shared" si="100"/>
        <v>1675460.4957830431</v>
      </c>
      <c r="I243" s="408">
        <f>G243-H243</f>
        <v>1547033.8242169567</v>
      </c>
      <c r="J243" s="408">
        <f>IF(I243=0,"",I243/H243)</f>
        <v>0.92334843352659002</v>
      </c>
      <c r="K243" s="735">
        <f t="shared" si="101"/>
        <v>5026381.4873491293</v>
      </c>
      <c r="L243" s="100"/>
    </row>
    <row r="244" spans="1:12" x14ac:dyDescent="0.25">
      <c r="A244" s="607" t="str">
        <f t="shared" si="91"/>
        <v>Licensing and Regulation</v>
      </c>
      <c r="B244" s="415"/>
      <c r="C244" s="733"/>
      <c r="D244" s="733">
        <v>10803274.511466645</v>
      </c>
      <c r="E244" s="733">
        <v>10803274.511466645</v>
      </c>
      <c r="F244" s="733">
        <v>554180.7300000001</v>
      </c>
      <c r="G244" s="733">
        <v>1565175.8900000004</v>
      </c>
      <c r="H244" s="733">
        <f t="shared" si="100"/>
        <v>3601091.5038222149</v>
      </c>
      <c r="I244" s="408">
        <f t="shared" si="38"/>
        <v>-2035915.6138222145</v>
      </c>
      <c r="J244" s="408">
        <f t="shared" si="39"/>
        <v>-0.56536070012697104</v>
      </c>
      <c r="K244" s="735">
        <f t="shared" si="101"/>
        <v>10803274.511466645</v>
      </c>
      <c r="L244" s="100"/>
    </row>
    <row r="245" spans="1:12" x14ac:dyDescent="0.25">
      <c r="A245" s="607" t="str">
        <f t="shared" si="91"/>
        <v>Markets</v>
      </c>
      <c r="B245" s="415"/>
      <c r="C245" s="733"/>
      <c r="D245" s="733">
        <v>32893514.314352129</v>
      </c>
      <c r="E245" s="733">
        <v>32893514.314352129</v>
      </c>
      <c r="F245" s="733">
        <v>2685943.63</v>
      </c>
      <c r="G245" s="733">
        <v>9010095.7899999991</v>
      </c>
      <c r="H245" s="733">
        <f t="shared" si="100"/>
        <v>10964504.77145071</v>
      </c>
      <c r="I245" s="408">
        <f>G245-H245</f>
        <v>-1954408.9814507104</v>
      </c>
      <c r="J245" s="408">
        <f>IF(I245=0,"",I245/H245)</f>
        <v>-0.17824872369425979</v>
      </c>
      <c r="K245" s="735">
        <f t="shared" si="101"/>
        <v>32893514.314352129</v>
      </c>
      <c r="L245" s="100"/>
    </row>
    <row r="246" spans="1:12" x14ac:dyDescent="0.25">
      <c r="A246" s="607" t="str">
        <f t="shared" si="91"/>
        <v>Tourism</v>
      </c>
      <c r="B246" s="415"/>
      <c r="C246" s="733"/>
      <c r="D246" s="733">
        <v>2185110.9804308736</v>
      </c>
      <c r="E246" s="733">
        <v>2185110.9801447713</v>
      </c>
      <c r="F246" s="733">
        <v>63776.130000000005</v>
      </c>
      <c r="G246" s="733">
        <v>557524.06999999995</v>
      </c>
      <c r="H246" s="733">
        <f t="shared" si="100"/>
        <v>728370.32671492372</v>
      </c>
      <c r="I246" s="408">
        <f>G246-H246</f>
        <v>-170846.25671492377</v>
      </c>
      <c r="J246" s="408">
        <f>IF(I246=0,"",I246/H246)</f>
        <v>-0.23455960580584051</v>
      </c>
      <c r="K246" s="735">
        <f t="shared" si="101"/>
        <v>2185110.9801447713</v>
      </c>
      <c r="L246" s="100"/>
    </row>
    <row r="247" spans="1:12" x14ac:dyDescent="0.25">
      <c r="A247" s="615" t="str">
        <f>"Total "&amp;A127</f>
        <v>Total Expenditure - Functional</v>
      </c>
      <c r="B247" s="415">
        <v>3</v>
      </c>
      <c r="C247" s="545">
        <f t="shared" ref="C247:I247" si="102">C128+C148+C197+C221+C240</f>
        <v>0</v>
      </c>
      <c r="D247" s="545">
        <f t="shared" si="102"/>
        <v>5502340406.032732</v>
      </c>
      <c r="E247" s="545">
        <f t="shared" si="102"/>
        <v>5559528170.2307873</v>
      </c>
      <c r="F247" s="545">
        <f t="shared" si="102"/>
        <v>395184939.69000006</v>
      </c>
      <c r="G247" s="545">
        <f t="shared" si="102"/>
        <v>1868319073.1899998</v>
      </c>
      <c r="H247" s="545">
        <f t="shared" si="102"/>
        <v>1853176056.7435958</v>
      </c>
      <c r="I247" s="545">
        <f t="shared" si="102"/>
        <v>15143016.446404032</v>
      </c>
      <c r="J247" s="545">
        <f>IF(I247=0,"",I247/H247)</f>
        <v>8.1713857629983448E-3</v>
      </c>
      <c r="K247" s="597">
        <f>K128+K148+K197+K221+K240</f>
        <v>5559528170.2307873</v>
      </c>
      <c r="L247" s="100"/>
    </row>
    <row r="248" spans="1:12" x14ac:dyDescent="0.25">
      <c r="A248" s="621" t="str">
        <f>result</f>
        <v>Surplus/ (Deficit) for the year</v>
      </c>
      <c r="B248" s="622"/>
      <c r="C248" s="76">
        <f t="shared" ref="C248:H248" si="103">C125-C247</f>
        <v>0</v>
      </c>
      <c r="D248" s="76">
        <f t="shared" si="103"/>
        <v>941737276.83932972</v>
      </c>
      <c r="E248" s="76">
        <f t="shared" si="103"/>
        <v>973171668.64127731</v>
      </c>
      <c r="F248" s="76">
        <f t="shared" si="103"/>
        <v>110557700.12999988</v>
      </c>
      <c r="G248" s="76">
        <f t="shared" si="103"/>
        <v>241050799.99000025</v>
      </c>
      <c r="H248" s="76">
        <f t="shared" si="103"/>
        <v>324390556.21375918</v>
      </c>
      <c r="I248" s="634">
        <f>G248-H248</f>
        <v>-83339756.223758936</v>
      </c>
      <c r="J248" s="634">
        <f>IF(I248=0,"",I248/H248)</f>
        <v>-0.25691178311874679</v>
      </c>
      <c r="K248" s="234">
        <f>K125-K247</f>
        <v>973171668.64127731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6" t="s">
        <v>1207</v>
      </c>
      <c r="B253" s="1046"/>
      <c r="C253" s="1046"/>
      <c r="D253" s="1046"/>
      <c r="E253" s="1046"/>
      <c r="F253" s="1046"/>
      <c r="G253" s="1046"/>
      <c r="H253" s="1046"/>
      <c r="I253" s="1046"/>
      <c r="J253" s="1046"/>
      <c r="K253" s="1046"/>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-68196739.777354956</v>
      </c>
      <c r="J256" s="629"/>
      <c r="K256" s="628">
        <f>K125-'C4-FinPerf RE'!K53</f>
        <v>0</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-6.631016731262207E-7</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6A1DD8-A25A-48CD-A451-F22D1F6BAE4E}">
  <ds:schemaRef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Zama Mutikani</cp:lastModifiedBy>
  <cp:lastPrinted>2016-12-13T05:59:10Z</cp:lastPrinted>
  <dcterms:created xsi:type="dcterms:W3CDTF">2004-04-07T16:19:08Z</dcterms:created>
  <dcterms:modified xsi:type="dcterms:W3CDTF">2020-11-11T06:34:46Z</dcterms:modified>
</cp:coreProperties>
</file>